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enard\Documents\Finished Goods Specification - Project\"/>
    </mc:Choice>
  </mc:AlternateContent>
  <bookViews>
    <workbookView xWindow="0" yWindow="0" windowWidth="28800" windowHeight="12615"/>
  </bookViews>
  <sheets>
    <sheet name="Items (1)" sheetId="1" r:id="rId1"/>
    <sheet name="BOM" sheetId="2" r:id="rId2"/>
    <sheet name="Container_specification" sheetId="3" r:id="rId3"/>
  </sheets>
  <externalReferences>
    <externalReference r:id="rId4"/>
  </externalReferences>
  <definedNames>
    <definedName name="_xlnm._FilterDatabase" localSheetId="1" hidden="1">BOM!$A$3:$J$3</definedName>
    <definedName name="Category">[1]List!$B$3:$B$7</definedName>
    <definedName name="Customer" localSheetId="1">[1]!Customer_wants[Customer or Brand]</definedName>
    <definedName name="Customer">[1]!Customer_wants[Customer or Brand]</definedName>
    <definedName name="Organic">[1]List!$C$3:$C$5</definedName>
    <definedName name="Recipe" localSheetId="1">[1]!Receipe[Recipe '#]</definedName>
    <definedName name="Recipe">[1]!Receipe[Recipe '#]</definedName>
    <definedName name="SlipSheet">[1]List!$D$3:$D$7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27" i="2" l="1"/>
  <c r="G2127" i="2"/>
  <c r="F2127" i="2"/>
  <c r="D2127" i="2"/>
  <c r="B2127" i="2"/>
  <c r="H2126" i="2"/>
  <c r="G2126" i="2"/>
  <c r="F2126" i="2"/>
  <c r="D2126" i="2"/>
  <c r="B2126" i="2"/>
  <c r="H2125" i="2"/>
  <c r="G2125" i="2"/>
  <c r="F2125" i="2"/>
  <c r="D2125" i="2"/>
  <c r="B2125" i="2"/>
  <c r="H2124" i="2"/>
  <c r="G2124" i="2"/>
  <c r="F2124" i="2"/>
  <c r="D2124" i="2"/>
  <c r="B2124" i="2"/>
  <c r="H2123" i="2"/>
  <c r="G2123" i="2"/>
  <c r="F2123" i="2"/>
  <c r="D2123" i="2"/>
  <c r="B2123" i="2"/>
  <c r="H2122" i="2"/>
  <c r="G2122" i="2"/>
  <c r="F2122" i="2"/>
  <c r="D2122" i="2"/>
  <c r="B2122" i="2"/>
  <c r="H2121" i="2"/>
  <c r="G2121" i="2"/>
  <c r="F2121" i="2"/>
  <c r="D2121" i="2"/>
  <c r="B2121" i="2"/>
  <c r="H2120" i="2"/>
  <c r="G2120" i="2"/>
  <c r="F2120" i="2"/>
  <c r="D2120" i="2"/>
  <c r="B2120" i="2"/>
  <c r="H2119" i="2"/>
  <c r="G2119" i="2"/>
  <c r="F2119" i="2"/>
  <c r="D2119" i="2"/>
  <c r="B2119" i="2"/>
  <c r="H2118" i="2"/>
  <c r="G2118" i="2"/>
  <c r="F2118" i="2"/>
  <c r="D2118" i="2"/>
  <c r="B2118" i="2"/>
  <c r="H2117" i="2"/>
  <c r="G2117" i="2"/>
  <c r="F2117" i="2"/>
  <c r="D2117" i="2"/>
  <c r="B2117" i="2"/>
  <c r="H2116" i="2"/>
  <c r="G2116" i="2"/>
  <c r="F2116" i="2"/>
  <c r="D2116" i="2"/>
  <c r="B2116" i="2"/>
  <c r="H2115" i="2"/>
  <c r="G2115" i="2"/>
  <c r="F2115" i="2"/>
  <c r="D2115" i="2"/>
  <c r="B2115" i="2"/>
  <c r="H2114" i="2"/>
  <c r="G2114" i="2"/>
  <c r="F2114" i="2"/>
  <c r="D2114" i="2"/>
  <c r="B2114" i="2"/>
  <c r="H2113" i="2"/>
  <c r="G2113" i="2"/>
  <c r="F2113" i="2"/>
  <c r="D2113" i="2"/>
  <c r="B2113" i="2"/>
  <c r="H2112" i="2"/>
  <c r="G2112" i="2"/>
  <c r="F2112" i="2"/>
  <c r="D2112" i="2"/>
  <c r="B2112" i="2"/>
  <c r="H2111" i="2"/>
  <c r="G2111" i="2"/>
  <c r="F2111" i="2"/>
  <c r="D2111" i="2"/>
  <c r="B2111" i="2"/>
  <c r="H2110" i="2"/>
  <c r="G2110" i="2"/>
  <c r="F2110" i="2"/>
  <c r="D2110" i="2"/>
  <c r="B2110" i="2"/>
  <c r="H2109" i="2"/>
  <c r="G2109" i="2"/>
  <c r="F2109" i="2"/>
  <c r="D2109" i="2"/>
  <c r="B2109" i="2"/>
  <c r="H2108" i="2"/>
  <c r="G2108" i="2"/>
  <c r="F2108" i="2"/>
  <c r="D2108" i="2"/>
  <c r="B2108" i="2"/>
  <c r="H2107" i="2"/>
  <c r="G2107" i="2"/>
  <c r="F2107" i="2"/>
  <c r="D2107" i="2"/>
  <c r="B2107" i="2"/>
  <c r="H2106" i="2"/>
  <c r="G2106" i="2"/>
  <c r="F2106" i="2"/>
  <c r="D2106" i="2"/>
  <c r="B2106" i="2"/>
  <c r="H2105" i="2"/>
  <c r="G2105" i="2"/>
  <c r="F2105" i="2"/>
  <c r="D2105" i="2"/>
  <c r="B2105" i="2"/>
  <c r="H2104" i="2"/>
  <c r="G2104" i="2"/>
  <c r="F2104" i="2"/>
  <c r="D2104" i="2"/>
  <c r="B2104" i="2"/>
  <c r="H2103" i="2"/>
  <c r="G2103" i="2"/>
  <c r="F2103" i="2"/>
  <c r="D2103" i="2"/>
  <c r="B2103" i="2"/>
  <c r="H2102" i="2"/>
  <c r="G2102" i="2"/>
  <c r="F2102" i="2"/>
  <c r="D2102" i="2"/>
  <c r="B2102" i="2"/>
  <c r="H2101" i="2"/>
  <c r="G2101" i="2"/>
  <c r="F2101" i="2"/>
  <c r="D2101" i="2"/>
  <c r="B2101" i="2"/>
  <c r="H2100" i="2"/>
  <c r="G2100" i="2"/>
  <c r="F2100" i="2"/>
  <c r="D2100" i="2"/>
  <c r="B2100" i="2"/>
  <c r="H2099" i="2"/>
  <c r="G2099" i="2"/>
  <c r="F2099" i="2"/>
  <c r="D2099" i="2"/>
  <c r="B2099" i="2"/>
  <c r="H2098" i="2"/>
  <c r="G2098" i="2"/>
  <c r="F2098" i="2"/>
  <c r="D2098" i="2"/>
  <c r="B2098" i="2"/>
  <c r="H2097" i="2"/>
  <c r="G2097" i="2"/>
  <c r="F2097" i="2"/>
  <c r="D2097" i="2"/>
  <c r="B2097" i="2"/>
  <c r="H2096" i="2"/>
  <c r="G2096" i="2"/>
  <c r="F2096" i="2"/>
  <c r="D2096" i="2"/>
  <c r="B2096" i="2"/>
  <c r="H2095" i="2"/>
  <c r="G2095" i="2"/>
  <c r="F2095" i="2"/>
  <c r="D2095" i="2"/>
  <c r="B2095" i="2"/>
  <c r="H2094" i="2"/>
  <c r="G2094" i="2"/>
  <c r="F2094" i="2"/>
  <c r="D2094" i="2"/>
  <c r="B2094" i="2"/>
  <c r="H2093" i="2"/>
  <c r="G2093" i="2"/>
  <c r="F2093" i="2"/>
  <c r="D2093" i="2"/>
  <c r="B2093" i="2"/>
  <c r="H2092" i="2"/>
  <c r="G2092" i="2"/>
  <c r="F2092" i="2"/>
  <c r="D2092" i="2"/>
  <c r="B2092" i="2"/>
  <c r="H2091" i="2"/>
  <c r="G2091" i="2"/>
  <c r="F2091" i="2"/>
  <c r="D2091" i="2"/>
  <c r="B2091" i="2"/>
  <c r="H2090" i="2"/>
  <c r="G2090" i="2"/>
  <c r="F2090" i="2"/>
  <c r="D2090" i="2"/>
  <c r="B2090" i="2"/>
  <c r="H2089" i="2"/>
  <c r="G2089" i="2"/>
  <c r="F2089" i="2"/>
  <c r="D2089" i="2"/>
  <c r="B2089" i="2"/>
  <c r="H2088" i="2"/>
  <c r="G2088" i="2"/>
  <c r="F2088" i="2"/>
  <c r="D2088" i="2"/>
  <c r="B2088" i="2"/>
  <c r="H2087" i="2"/>
  <c r="G2087" i="2"/>
  <c r="F2087" i="2"/>
  <c r="D2087" i="2"/>
  <c r="B2087" i="2"/>
  <c r="H2086" i="2"/>
  <c r="G2086" i="2"/>
  <c r="F2086" i="2"/>
  <c r="D2086" i="2"/>
  <c r="B2086" i="2"/>
  <c r="H2085" i="2"/>
  <c r="G2085" i="2"/>
  <c r="F2085" i="2"/>
  <c r="D2085" i="2"/>
  <c r="B2085" i="2"/>
  <c r="H2084" i="2"/>
  <c r="G2084" i="2"/>
  <c r="F2084" i="2"/>
  <c r="D2084" i="2"/>
  <c r="B2084" i="2"/>
  <c r="H2083" i="2"/>
  <c r="G2083" i="2"/>
  <c r="F2083" i="2"/>
  <c r="D2083" i="2"/>
  <c r="B2083" i="2"/>
  <c r="H2082" i="2"/>
  <c r="G2082" i="2"/>
  <c r="F2082" i="2"/>
  <c r="D2082" i="2"/>
  <c r="B2082" i="2"/>
  <c r="H2081" i="2"/>
  <c r="G2081" i="2"/>
  <c r="F2081" i="2"/>
  <c r="D2081" i="2"/>
  <c r="B2081" i="2"/>
  <c r="H2080" i="2"/>
  <c r="G2080" i="2"/>
  <c r="F2080" i="2"/>
  <c r="D2080" i="2"/>
  <c r="B2080" i="2"/>
  <c r="H2079" i="2"/>
  <c r="G2079" i="2"/>
  <c r="F2079" i="2"/>
  <c r="D2079" i="2"/>
  <c r="B2079" i="2"/>
  <c r="H2078" i="2"/>
  <c r="G2078" i="2"/>
  <c r="F2078" i="2"/>
  <c r="D2078" i="2"/>
  <c r="B2078" i="2"/>
  <c r="H2077" i="2"/>
  <c r="G2077" i="2"/>
  <c r="F2077" i="2"/>
  <c r="D2077" i="2"/>
  <c r="B2077" i="2"/>
  <c r="H2076" i="2"/>
  <c r="G2076" i="2"/>
  <c r="F2076" i="2"/>
  <c r="D2076" i="2"/>
  <c r="B2076" i="2"/>
  <c r="H2075" i="2"/>
  <c r="G2075" i="2"/>
  <c r="F2075" i="2"/>
  <c r="D2075" i="2"/>
  <c r="B2075" i="2"/>
  <c r="H2074" i="2"/>
  <c r="G2074" i="2"/>
  <c r="F2074" i="2"/>
  <c r="D2074" i="2"/>
  <c r="B2074" i="2"/>
  <c r="H2073" i="2"/>
  <c r="G2073" i="2"/>
  <c r="F2073" i="2"/>
  <c r="D2073" i="2"/>
  <c r="B2073" i="2"/>
  <c r="H2072" i="2"/>
  <c r="G2072" i="2"/>
  <c r="F2072" i="2"/>
  <c r="D2072" i="2"/>
  <c r="B2072" i="2"/>
  <c r="H2071" i="2"/>
  <c r="G2071" i="2"/>
  <c r="F2071" i="2"/>
  <c r="D2071" i="2"/>
  <c r="B2071" i="2"/>
  <c r="H2070" i="2"/>
  <c r="G2070" i="2"/>
  <c r="F2070" i="2"/>
  <c r="D2070" i="2"/>
  <c r="B2070" i="2"/>
  <c r="H2069" i="2"/>
  <c r="G2069" i="2"/>
  <c r="F2069" i="2"/>
  <c r="D2069" i="2"/>
  <c r="B2069" i="2"/>
  <c r="H2068" i="2"/>
  <c r="G2068" i="2"/>
  <c r="F2068" i="2"/>
  <c r="D2068" i="2"/>
  <c r="B2068" i="2"/>
  <c r="H2067" i="2"/>
  <c r="G2067" i="2"/>
  <c r="F2067" i="2"/>
  <c r="D2067" i="2"/>
  <c r="B2067" i="2"/>
  <c r="H2066" i="2"/>
  <c r="G2066" i="2"/>
  <c r="F2066" i="2"/>
  <c r="D2066" i="2"/>
  <c r="B2066" i="2"/>
  <c r="H2065" i="2"/>
  <c r="G2065" i="2"/>
  <c r="F2065" i="2"/>
  <c r="D2065" i="2"/>
  <c r="B2065" i="2"/>
  <c r="H2064" i="2"/>
  <c r="G2064" i="2"/>
  <c r="F2064" i="2"/>
  <c r="D2064" i="2"/>
  <c r="B2064" i="2"/>
  <c r="H2063" i="2"/>
  <c r="G2063" i="2"/>
  <c r="F2063" i="2"/>
  <c r="D2063" i="2"/>
  <c r="B2063" i="2"/>
  <c r="H2062" i="2"/>
  <c r="G2062" i="2"/>
  <c r="F2062" i="2"/>
  <c r="D2062" i="2"/>
  <c r="B2062" i="2"/>
  <c r="H2061" i="2"/>
  <c r="G2061" i="2"/>
  <c r="F2061" i="2"/>
  <c r="D2061" i="2"/>
  <c r="B2061" i="2"/>
  <c r="H2060" i="2"/>
  <c r="G2060" i="2"/>
  <c r="F2060" i="2"/>
  <c r="D2060" i="2"/>
  <c r="B2060" i="2"/>
  <c r="H2059" i="2"/>
  <c r="G2059" i="2"/>
  <c r="F2059" i="2"/>
  <c r="D2059" i="2"/>
  <c r="B2059" i="2"/>
  <c r="H2058" i="2"/>
  <c r="G2058" i="2"/>
  <c r="F2058" i="2"/>
  <c r="D2058" i="2"/>
  <c r="B2058" i="2"/>
  <c r="H2057" i="2"/>
  <c r="G2057" i="2"/>
  <c r="F2057" i="2"/>
  <c r="D2057" i="2"/>
  <c r="B2057" i="2"/>
  <c r="H2056" i="2"/>
  <c r="G2056" i="2"/>
  <c r="F2056" i="2"/>
  <c r="D2056" i="2"/>
  <c r="B2056" i="2"/>
  <c r="H2055" i="2"/>
  <c r="G2055" i="2"/>
  <c r="F2055" i="2"/>
  <c r="D2055" i="2"/>
  <c r="B2055" i="2"/>
  <c r="H2054" i="2"/>
  <c r="G2054" i="2"/>
  <c r="F2054" i="2"/>
  <c r="D2054" i="2"/>
  <c r="B2054" i="2"/>
  <c r="H2053" i="2"/>
  <c r="G2053" i="2"/>
  <c r="F2053" i="2"/>
  <c r="D2053" i="2"/>
  <c r="B2053" i="2"/>
  <c r="H2052" i="2"/>
  <c r="G2052" i="2"/>
  <c r="F2052" i="2"/>
  <c r="D2052" i="2"/>
  <c r="B2052" i="2"/>
  <c r="H2051" i="2"/>
  <c r="G2051" i="2"/>
  <c r="F2051" i="2"/>
  <c r="D2051" i="2"/>
  <c r="B2051" i="2"/>
  <c r="H2050" i="2"/>
  <c r="G2050" i="2"/>
  <c r="F2050" i="2"/>
  <c r="D2050" i="2"/>
  <c r="B2050" i="2"/>
  <c r="H2049" i="2"/>
  <c r="G2049" i="2"/>
  <c r="F2049" i="2"/>
  <c r="D2049" i="2"/>
  <c r="B2049" i="2"/>
  <c r="H2048" i="2"/>
  <c r="G2048" i="2"/>
  <c r="F2048" i="2"/>
  <c r="D2048" i="2"/>
  <c r="B2048" i="2"/>
  <c r="H2047" i="2"/>
  <c r="G2047" i="2"/>
  <c r="F2047" i="2"/>
  <c r="D2047" i="2"/>
  <c r="B2047" i="2"/>
  <c r="H2046" i="2"/>
  <c r="G2046" i="2"/>
  <c r="F2046" i="2"/>
  <c r="D2046" i="2"/>
  <c r="B2046" i="2"/>
  <c r="H2045" i="2"/>
  <c r="G2045" i="2"/>
  <c r="F2045" i="2"/>
  <c r="D2045" i="2"/>
  <c r="B2045" i="2"/>
  <c r="H2044" i="2"/>
  <c r="G2044" i="2"/>
  <c r="F2044" i="2"/>
  <c r="D2044" i="2"/>
  <c r="B2044" i="2"/>
  <c r="H2043" i="2"/>
  <c r="G2043" i="2"/>
  <c r="F2043" i="2"/>
  <c r="D2043" i="2"/>
  <c r="B2043" i="2"/>
  <c r="H2042" i="2"/>
  <c r="G2042" i="2"/>
  <c r="F2042" i="2"/>
  <c r="D2042" i="2"/>
  <c r="B2042" i="2"/>
  <c r="H2041" i="2"/>
  <c r="G2041" i="2"/>
  <c r="F2041" i="2"/>
  <c r="D2041" i="2"/>
  <c r="B2041" i="2"/>
  <c r="H2040" i="2"/>
  <c r="G2040" i="2"/>
  <c r="F2040" i="2"/>
  <c r="D2040" i="2"/>
  <c r="B2040" i="2"/>
  <c r="H2039" i="2"/>
  <c r="G2039" i="2"/>
  <c r="F2039" i="2"/>
  <c r="D2039" i="2"/>
  <c r="B2039" i="2"/>
  <c r="H2038" i="2"/>
  <c r="G2038" i="2"/>
  <c r="F2038" i="2"/>
  <c r="D2038" i="2"/>
  <c r="B2038" i="2"/>
  <c r="H2037" i="2"/>
  <c r="G2037" i="2"/>
  <c r="F2037" i="2"/>
  <c r="D2037" i="2"/>
  <c r="B2037" i="2"/>
  <c r="H2036" i="2"/>
  <c r="G2036" i="2"/>
  <c r="F2036" i="2"/>
  <c r="D2036" i="2"/>
  <c r="B2036" i="2"/>
  <c r="H2035" i="2"/>
  <c r="G2035" i="2"/>
  <c r="F2035" i="2"/>
  <c r="D2035" i="2"/>
  <c r="B2035" i="2"/>
  <c r="H2034" i="2"/>
  <c r="G2034" i="2"/>
  <c r="F2034" i="2"/>
  <c r="D2034" i="2"/>
  <c r="B2034" i="2"/>
  <c r="H2033" i="2"/>
  <c r="G2033" i="2"/>
  <c r="F2033" i="2"/>
  <c r="D2033" i="2"/>
  <c r="B2033" i="2"/>
  <c r="H2032" i="2"/>
  <c r="G2032" i="2"/>
  <c r="F2032" i="2"/>
  <c r="D2032" i="2"/>
  <c r="B2032" i="2"/>
  <c r="H2031" i="2"/>
  <c r="G2031" i="2"/>
  <c r="F2031" i="2"/>
  <c r="D2031" i="2"/>
  <c r="B2031" i="2"/>
  <c r="H2030" i="2"/>
  <c r="G2030" i="2"/>
  <c r="F2030" i="2"/>
  <c r="D2030" i="2"/>
  <c r="B2030" i="2"/>
  <c r="H2029" i="2"/>
  <c r="G2029" i="2"/>
  <c r="F2029" i="2"/>
  <c r="D2029" i="2"/>
  <c r="B2029" i="2"/>
  <c r="H2028" i="2"/>
  <c r="G2028" i="2"/>
  <c r="F2028" i="2"/>
  <c r="D2028" i="2"/>
  <c r="B2028" i="2"/>
  <c r="H2027" i="2"/>
  <c r="G2027" i="2"/>
  <c r="F2027" i="2"/>
  <c r="D2027" i="2"/>
  <c r="B2027" i="2"/>
  <c r="H2026" i="2"/>
  <c r="G2026" i="2"/>
  <c r="F2026" i="2"/>
  <c r="D2026" i="2"/>
  <c r="B2026" i="2"/>
  <c r="H2025" i="2"/>
  <c r="G2025" i="2"/>
  <c r="F2025" i="2"/>
  <c r="D2025" i="2"/>
  <c r="B2025" i="2"/>
  <c r="H2024" i="2"/>
  <c r="G2024" i="2"/>
  <c r="F2024" i="2"/>
  <c r="D2024" i="2"/>
  <c r="B2024" i="2"/>
  <c r="H2023" i="2"/>
  <c r="G2023" i="2"/>
  <c r="F2023" i="2"/>
  <c r="D2023" i="2"/>
  <c r="B2023" i="2"/>
  <c r="H2022" i="2"/>
  <c r="G2022" i="2"/>
  <c r="F2022" i="2"/>
  <c r="D2022" i="2"/>
  <c r="B2022" i="2"/>
  <c r="H2021" i="2"/>
  <c r="G2021" i="2"/>
  <c r="F2021" i="2"/>
  <c r="D2021" i="2"/>
  <c r="B2021" i="2"/>
  <c r="H2020" i="2"/>
  <c r="G2020" i="2"/>
  <c r="F2020" i="2"/>
  <c r="D2020" i="2"/>
  <c r="B2020" i="2"/>
  <c r="H2019" i="2"/>
  <c r="G2019" i="2"/>
  <c r="F2019" i="2"/>
  <c r="D2019" i="2"/>
  <c r="B2019" i="2"/>
  <c r="H2018" i="2"/>
  <c r="G2018" i="2"/>
  <c r="F2018" i="2"/>
  <c r="D2018" i="2"/>
  <c r="B2018" i="2"/>
  <c r="H2017" i="2"/>
  <c r="G2017" i="2"/>
  <c r="F2017" i="2"/>
  <c r="D2017" i="2"/>
  <c r="B2017" i="2"/>
  <c r="H2016" i="2"/>
  <c r="G2016" i="2"/>
  <c r="F2016" i="2"/>
  <c r="D2016" i="2"/>
  <c r="B2016" i="2"/>
  <c r="H2015" i="2"/>
  <c r="G2015" i="2"/>
  <c r="F2015" i="2"/>
  <c r="D2015" i="2"/>
  <c r="B2015" i="2"/>
  <c r="H2014" i="2"/>
  <c r="G2014" i="2"/>
  <c r="F2014" i="2"/>
  <c r="D2014" i="2"/>
  <c r="B2014" i="2"/>
  <c r="H2013" i="2"/>
  <c r="G2013" i="2"/>
  <c r="F2013" i="2"/>
  <c r="D2013" i="2"/>
  <c r="B2013" i="2"/>
  <c r="H2012" i="2"/>
  <c r="G2012" i="2"/>
  <c r="F2012" i="2"/>
  <c r="D2012" i="2"/>
  <c r="B2012" i="2"/>
  <c r="H2011" i="2"/>
  <c r="G2011" i="2"/>
  <c r="F2011" i="2"/>
  <c r="D2011" i="2"/>
  <c r="B2011" i="2"/>
  <c r="H2010" i="2"/>
  <c r="G2010" i="2"/>
  <c r="F2010" i="2"/>
  <c r="D2010" i="2"/>
  <c r="B2010" i="2"/>
  <c r="H2009" i="2"/>
  <c r="G2009" i="2"/>
  <c r="F2009" i="2"/>
  <c r="D2009" i="2"/>
  <c r="B2009" i="2"/>
  <c r="H2008" i="2"/>
  <c r="G2008" i="2"/>
  <c r="F2008" i="2"/>
  <c r="D2008" i="2"/>
  <c r="B2008" i="2"/>
  <c r="H2007" i="2"/>
  <c r="G2007" i="2"/>
  <c r="F2007" i="2"/>
  <c r="D2007" i="2"/>
  <c r="B2007" i="2"/>
  <c r="H2006" i="2"/>
  <c r="G2006" i="2"/>
  <c r="F2006" i="2"/>
  <c r="D2006" i="2"/>
  <c r="B2006" i="2"/>
  <c r="H2005" i="2"/>
  <c r="G2005" i="2"/>
  <c r="F2005" i="2"/>
  <c r="D2005" i="2"/>
  <c r="B2005" i="2"/>
  <c r="H2004" i="2"/>
  <c r="G2004" i="2"/>
  <c r="F2004" i="2"/>
  <c r="D2004" i="2"/>
  <c r="B2004" i="2"/>
  <c r="H2003" i="2"/>
  <c r="G2003" i="2"/>
  <c r="F2003" i="2"/>
  <c r="D2003" i="2"/>
  <c r="B2003" i="2"/>
  <c r="H2002" i="2"/>
  <c r="G2002" i="2"/>
  <c r="F2002" i="2"/>
  <c r="D2002" i="2"/>
  <c r="B2002" i="2"/>
  <c r="H2001" i="2"/>
  <c r="G2001" i="2"/>
  <c r="F2001" i="2"/>
  <c r="D2001" i="2"/>
  <c r="B2001" i="2"/>
  <c r="H2000" i="2"/>
  <c r="G2000" i="2"/>
  <c r="F2000" i="2"/>
  <c r="D2000" i="2"/>
  <c r="B2000" i="2"/>
  <c r="H1999" i="2"/>
  <c r="G1999" i="2"/>
  <c r="F1999" i="2"/>
  <c r="D1999" i="2"/>
  <c r="B1999" i="2"/>
  <c r="H1998" i="2"/>
  <c r="G1998" i="2"/>
  <c r="F1998" i="2"/>
  <c r="D1998" i="2"/>
  <c r="B1998" i="2"/>
  <c r="H1997" i="2"/>
  <c r="G1997" i="2"/>
  <c r="F1997" i="2"/>
  <c r="D1997" i="2"/>
  <c r="B1997" i="2"/>
  <c r="H1996" i="2"/>
  <c r="G1996" i="2"/>
  <c r="F1996" i="2"/>
  <c r="D1996" i="2"/>
  <c r="B1996" i="2"/>
  <c r="H1995" i="2"/>
  <c r="G1995" i="2"/>
  <c r="F1995" i="2"/>
  <c r="D1995" i="2"/>
  <c r="B1995" i="2"/>
  <c r="H1994" i="2"/>
  <c r="G1994" i="2"/>
  <c r="F1994" i="2"/>
  <c r="D1994" i="2"/>
  <c r="B1994" i="2"/>
  <c r="H1993" i="2"/>
  <c r="G1993" i="2"/>
  <c r="F1993" i="2"/>
  <c r="D1993" i="2"/>
  <c r="B1993" i="2"/>
  <c r="H1992" i="2"/>
  <c r="G1992" i="2"/>
  <c r="F1992" i="2"/>
  <c r="D1992" i="2"/>
  <c r="B1992" i="2"/>
  <c r="H1991" i="2"/>
  <c r="G1991" i="2"/>
  <c r="F1991" i="2"/>
  <c r="D1991" i="2"/>
  <c r="B1991" i="2"/>
  <c r="H1990" i="2"/>
  <c r="G1990" i="2"/>
  <c r="F1990" i="2"/>
  <c r="D1990" i="2"/>
  <c r="B1990" i="2"/>
  <c r="H1989" i="2"/>
  <c r="G1989" i="2"/>
  <c r="F1989" i="2"/>
  <c r="D1989" i="2"/>
  <c r="B1989" i="2"/>
  <c r="H1988" i="2"/>
  <c r="G1988" i="2"/>
  <c r="F1988" i="2"/>
  <c r="D1988" i="2"/>
  <c r="B1988" i="2"/>
  <c r="H1987" i="2"/>
  <c r="G1987" i="2"/>
  <c r="F1987" i="2"/>
  <c r="D1987" i="2"/>
  <c r="B1987" i="2"/>
  <c r="H1986" i="2"/>
  <c r="G1986" i="2"/>
  <c r="F1986" i="2"/>
  <c r="D1986" i="2"/>
  <c r="B1986" i="2"/>
  <c r="H1985" i="2"/>
  <c r="G1985" i="2"/>
  <c r="F1985" i="2"/>
  <c r="D1985" i="2"/>
  <c r="B1985" i="2"/>
  <c r="H1984" i="2"/>
  <c r="G1984" i="2"/>
  <c r="F1984" i="2"/>
  <c r="D1984" i="2"/>
  <c r="B1984" i="2"/>
  <c r="H1983" i="2"/>
  <c r="G1983" i="2"/>
  <c r="F1983" i="2"/>
  <c r="D1983" i="2"/>
  <c r="B1983" i="2"/>
  <c r="H1982" i="2"/>
  <c r="G1982" i="2"/>
  <c r="F1982" i="2"/>
  <c r="D1982" i="2"/>
  <c r="B1982" i="2"/>
  <c r="H1981" i="2"/>
  <c r="G1981" i="2"/>
  <c r="F1981" i="2"/>
  <c r="D1981" i="2"/>
  <c r="B1981" i="2"/>
  <c r="H1980" i="2"/>
  <c r="G1980" i="2"/>
  <c r="F1980" i="2"/>
  <c r="D1980" i="2"/>
  <c r="B1980" i="2"/>
  <c r="H1979" i="2"/>
  <c r="G1979" i="2"/>
  <c r="F1979" i="2"/>
  <c r="D1979" i="2"/>
  <c r="B1979" i="2"/>
  <c r="H1978" i="2"/>
  <c r="G1978" i="2"/>
  <c r="F1978" i="2"/>
  <c r="D1978" i="2"/>
  <c r="B1978" i="2"/>
  <c r="H1977" i="2"/>
  <c r="G1977" i="2"/>
  <c r="F1977" i="2"/>
  <c r="D1977" i="2"/>
  <c r="B1977" i="2"/>
  <c r="H1976" i="2"/>
  <c r="G1976" i="2"/>
  <c r="F1976" i="2"/>
  <c r="D1976" i="2"/>
  <c r="B1976" i="2"/>
  <c r="H1975" i="2"/>
  <c r="G1975" i="2"/>
  <c r="F1975" i="2"/>
  <c r="D1975" i="2"/>
  <c r="B1975" i="2"/>
  <c r="H1974" i="2"/>
  <c r="G1974" i="2"/>
  <c r="F1974" i="2"/>
  <c r="D1974" i="2"/>
  <c r="B1974" i="2"/>
  <c r="H1973" i="2"/>
  <c r="G1973" i="2"/>
  <c r="F1973" i="2"/>
  <c r="D1973" i="2"/>
  <c r="B1973" i="2"/>
  <c r="H1972" i="2"/>
  <c r="G1972" i="2"/>
  <c r="F1972" i="2"/>
  <c r="D1972" i="2"/>
  <c r="B1972" i="2"/>
  <c r="H1971" i="2"/>
  <c r="G1971" i="2"/>
  <c r="F1971" i="2"/>
  <c r="D1971" i="2"/>
  <c r="B1971" i="2"/>
  <c r="H1970" i="2"/>
  <c r="G1970" i="2"/>
  <c r="F1970" i="2"/>
  <c r="D1970" i="2"/>
  <c r="B1970" i="2"/>
  <c r="H1969" i="2"/>
  <c r="G1969" i="2"/>
  <c r="F1969" i="2"/>
  <c r="D1969" i="2"/>
  <c r="B1969" i="2"/>
  <c r="H1968" i="2"/>
  <c r="G1968" i="2"/>
  <c r="F1968" i="2"/>
  <c r="D1968" i="2"/>
  <c r="B1968" i="2"/>
  <c r="H1967" i="2"/>
  <c r="G1967" i="2"/>
  <c r="F1967" i="2"/>
  <c r="D1967" i="2"/>
  <c r="B1967" i="2"/>
  <c r="H1966" i="2"/>
  <c r="G1966" i="2"/>
  <c r="F1966" i="2"/>
  <c r="D1966" i="2"/>
  <c r="B1966" i="2"/>
  <c r="H1965" i="2"/>
  <c r="G1965" i="2"/>
  <c r="F1965" i="2"/>
  <c r="D1965" i="2"/>
  <c r="B1965" i="2"/>
  <c r="H1964" i="2"/>
  <c r="G1964" i="2"/>
  <c r="F1964" i="2"/>
  <c r="D1964" i="2"/>
  <c r="B1964" i="2"/>
  <c r="H1963" i="2"/>
  <c r="G1963" i="2"/>
  <c r="F1963" i="2"/>
  <c r="D1963" i="2"/>
  <c r="B1963" i="2"/>
  <c r="H1962" i="2"/>
  <c r="G1962" i="2"/>
  <c r="F1962" i="2"/>
  <c r="D1962" i="2"/>
  <c r="B1962" i="2"/>
  <c r="H1961" i="2"/>
  <c r="G1961" i="2"/>
  <c r="F1961" i="2"/>
  <c r="D1961" i="2"/>
  <c r="B1961" i="2"/>
  <c r="H1960" i="2"/>
  <c r="G1960" i="2"/>
  <c r="F1960" i="2"/>
  <c r="D1960" i="2"/>
  <c r="B1960" i="2"/>
  <c r="H1959" i="2"/>
  <c r="G1959" i="2"/>
  <c r="F1959" i="2"/>
  <c r="D1959" i="2"/>
  <c r="B1959" i="2"/>
  <c r="H1958" i="2"/>
  <c r="G1958" i="2"/>
  <c r="F1958" i="2"/>
  <c r="D1958" i="2"/>
  <c r="B1958" i="2"/>
  <c r="H1957" i="2"/>
  <c r="G1957" i="2"/>
  <c r="F1957" i="2"/>
  <c r="D1957" i="2"/>
  <c r="B1957" i="2"/>
  <c r="H1956" i="2"/>
  <c r="G1956" i="2"/>
  <c r="F1956" i="2"/>
  <c r="D1956" i="2"/>
  <c r="B1956" i="2"/>
  <c r="H1955" i="2"/>
  <c r="G1955" i="2"/>
  <c r="F1955" i="2"/>
  <c r="D1955" i="2"/>
  <c r="B1955" i="2"/>
  <c r="H1954" i="2"/>
  <c r="G1954" i="2"/>
  <c r="F1954" i="2"/>
  <c r="D1954" i="2"/>
  <c r="B1954" i="2"/>
  <c r="H1953" i="2"/>
  <c r="G1953" i="2"/>
  <c r="F1953" i="2"/>
  <c r="D1953" i="2"/>
  <c r="B1953" i="2"/>
  <c r="H1952" i="2"/>
  <c r="G1952" i="2"/>
  <c r="F1952" i="2"/>
  <c r="D1952" i="2"/>
  <c r="B1952" i="2"/>
  <c r="H1951" i="2"/>
  <c r="G1951" i="2"/>
  <c r="F1951" i="2"/>
  <c r="D1951" i="2"/>
  <c r="B1951" i="2"/>
  <c r="H1950" i="2"/>
  <c r="G1950" i="2"/>
  <c r="F1950" i="2"/>
  <c r="D1950" i="2"/>
  <c r="B1950" i="2"/>
  <c r="H1949" i="2"/>
  <c r="G1949" i="2"/>
  <c r="F1949" i="2"/>
  <c r="D1949" i="2"/>
  <c r="B1949" i="2"/>
  <c r="H1948" i="2"/>
  <c r="G1948" i="2"/>
  <c r="F1948" i="2"/>
  <c r="D1948" i="2"/>
  <c r="B1948" i="2"/>
  <c r="H1947" i="2"/>
  <c r="G1947" i="2"/>
  <c r="F1947" i="2"/>
  <c r="D1947" i="2"/>
  <c r="B1947" i="2"/>
  <c r="H1946" i="2"/>
  <c r="G1946" i="2"/>
  <c r="F1946" i="2"/>
  <c r="D1946" i="2"/>
  <c r="B1946" i="2"/>
  <c r="H1945" i="2"/>
  <c r="G1945" i="2"/>
  <c r="F1945" i="2"/>
  <c r="D1945" i="2"/>
  <c r="B1945" i="2"/>
  <c r="H1944" i="2"/>
  <c r="G1944" i="2"/>
  <c r="F1944" i="2"/>
  <c r="D1944" i="2"/>
  <c r="B1944" i="2"/>
  <c r="H1943" i="2"/>
  <c r="G1943" i="2"/>
  <c r="F1943" i="2"/>
  <c r="D1943" i="2"/>
  <c r="B1943" i="2"/>
  <c r="H1942" i="2"/>
  <c r="G1942" i="2"/>
  <c r="F1942" i="2"/>
  <c r="D1942" i="2"/>
  <c r="B1942" i="2"/>
  <c r="H1941" i="2"/>
  <c r="G1941" i="2"/>
  <c r="F1941" i="2"/>
  <c r="D1941" i="2"/>
  <c r="B1941" i="2"/>
  <c r="H1940" i="2"/>
  <c r="G1940" i="2"/>
  <c r="F1940" i="2"/>
  <c r="D1940" i="2"/>
  <c r="B1940" i="2"/>
  <c r="H1939" i="2"/>
  <c r="G1939" i="2"/>
  <c r="F1939" i="2"/>
  <c r="D1939" i="2"/>
  <c r="B1939" i="2"/>
  <c r="H1938" i="2"/>
  <c r="G1938" i="2"/>
  <c r="F1938" i="2"/>
  <c r="D1938" i="2"/>
  <c r="B1938" i="2"/>
  <c r="H1937" i="2"/>
  <c r="G1937" i="2"/>
  <c r="F1937" i="2"/>
  <c r="D1937" i="2"/>
  <c r="B1937" i="2"/>
  <c r="H1936" i="2"/>
  <c r="G1936" i="2"/>
  <c r="F1936" i="2"/>
  <c r="D1936" i="2"/>
  <c r="B1936" i="2"/>
  <c r="H1935" i="2"/>
  <c r="G1935" i="2"/>
  <c r="F1935" i="2"/>
  <c r="D1935" i="2"/>
  <c r="B1935" i="2"/>
  <c r="H1934" i="2"/>
  <c r="G1934" i="2"/>
  <c r="F1934" i="2"/>
  <c r="D1934" i="2"/>
  <c r="B1934" i="2"/>
  <c r="H1933" i="2"/>
  <c r="G1933" i="2"/>
  <c r="F1933" i="2"/>
  <c r="D1933" i="2"/>
  <c r="B1933" i="2"/>
  <c r="H1932" i="2"/>
  <c r="G1932" i="2"/>
  <c r="F1932" i="2"/>
  <c r="D1932" i="2"/>
  <c r="B1932" i="2"/>
  <c r="H1931" i="2"/>
  <c r="G1931" i="2"/>
  <c r="F1931" i="2"/>
  <c r="D1931" i="2"/>
  <c r="B1931" i="2"/>
  <c r="H1930" i="2"/>
  <c r="G1930" i="2"/>
  <c r="F1930" i="2"/>
  <c r="D1930" i="2"/>
  <c r="B1930" i="2"/>
  <c r="H1929" i="2"/>
  <c r="G1929" i="2"/>
  <c r="F1929" i="2"/>
  <c r="D1929" i="2"/>
  <c r="B1929" i="2"/>
  <c r="H1928" i="2"/>
  <c r="G1928" i="2"/>
  <c r="F1928" i="2"/>
  <c r="D1928" i="2"/>
  <c r="B1928" i="2"/>
  <c r="H1927" i="2"/>
  <c r="G1927" i="2"/>
  <c r="F1927" i="2"/>
  <c r="D1927" i="2"/>
  <c r="B1927" i="2"/>
  <c r="H1926" i="2"/>
  <c r="G1926" i="2"/>
  <c r="F1926" i="2"/>
  <c r="D1926" i="2"/>
  <c r="B1926" i="2"/>
  <c r="H1925" i="2"/>
  <c r="G1925" i="2"/>
  <c r="F1925" i="2"/>
  <c r="D1925" i="2"/>
  <c r="B1925" i="2"/>
  <c r="H1924" i="2"/>
  <c r="G1924" i="2"/>
  <c r="F1924" i="2"/>
  <c r="D1924" i="2"/>
  <c r="B1924" i="2"/>
  <c r="H1923" i="2"/>
  <c r="G1923" i="2"/>
  <c r="F1923" i="2"/>
  <c r="D1923" i="2"/>
  <c r="B1923" i="2"/>
  <c r="H1922" i="2"/>
  <c r="G1922" i="2"/>
  <c r="F1922" i="2"/>
  <c r="D1922" i="2"/>
  <c r="B1922" i="2"/>
  <c r="H1921" i="2"/>
  <c r="G1921" i="2"/>
  <c r="F1921" i="2"/>
  <c r="D1921" i="2"/>
  <c r="B1921" i="2"/>
  <c r="H1920" i="2"/>
  <c r="G1920" i="2"/>
  <c r="F1920" i="2"/>
  <c r="D1920" i="2"/>
  <c r="B1920" i="2"/>
  <c r="H1919" i="2"/>
  <c r="G1919" i="2"/>
  <c r="F1919" i="2"/>
  <c r="D1919" i="2"/>
  <c r="B1919" i="2"/>
  <c r="H1918" i="2"/>
  <c r="G1918" i="2"/>
  <c r="F1918" i="2"/>
  <c r="D1918" i="2"/>
  <c r="B1918" i="2"/>
  <c r="H1917" i="2"/>
  <c r="G1917" i="2"/>
  <c r="F1917" i="2"/>
  <c r="D1917" i="2"/>
  <c r="B1917" i="2"/>
  <c r="H1916" i="2"/>
  <c r="G1916" i="2"/>
  <c r="F1916" i="2"/>
  <c r="D1916" i="2"/>
  <c r="B1916" i="2"/>
  <c r="H1915" i="2"/>
  <c r="G1915" i="2"/>
  <c r="F1915" i="2"/>
  <c r="D1915" i="2"/>
  <c r="B1915" i="2"/>
  <c r="H1914" i="2"/>
  <c r="G1914" i="2"/>
  <c r="F1914" i="2"/>
  <c r="D1914" i="2"/>
  <c r="B1914" i="2"/>
  <c r="H1913" i="2"/>
  <c r="G1913" i="2"/>
  <c r="F1913" i="2"/>
  <c r="D1913" i="2"/>
  <c r="B1913" i="2"/>
  <c r="H1912" i="2"/>
  <c r="G1912" i="2"/>
  <c r="F1912" i="2"/>
  <c r="D1912" i="2"/>
  <c r="B1912" i="2"/>
  <c r="H1911" i="2"/>
  <c r="G1911" i="2"/>
  <c r="F1911" i="2"/>
  <c r="D1911" i="2"/>
  <c r="B1911" i="2"/>
  <c r="H1910" i="2"/>
  <c r="G1910" i="2"/>
  <c r="F1910" i="2"/>
  <c r="D1910" i="2"/>
  <c r="B1910" i="2"/>
  <c r="H1909" i="2"/>
  <c r="G1909" i="2"/>
  <c r="F1909" i="2"/>
  <c r="D1909" i="2"/>
  <c r="B1909" i="2"/>
  <c r="H1908" i="2"/>
  <c r="G1908" i="2"/>
  <c r="F1908" i="2"/>
  <c r="D1908" i="2"/>
  <c r="B1908" i="2"/>
  <c r="H1907" i="2"/>
  <c r="G1907" i="2"/>
  <c r="F1907" i="2"/>
  <c r="D1907" i="2"/>
  <c r="B1907" i="2"/>
  <c r="H1906" i="2"/>
  <c r="G1906" i="2"/>
  <c r="F1906" i="2"/>
  <c r="D1906" i="2"/>
  <c r="B1906" i="2"/>
  <c r="H1905" i="2"/>
  <c r="G1905" i="2"/>
  <c r="F1905" i="2"/>
  <c r="D1905" i="2"/>
  <c r="B1905" i="2"/>
  <c r="H1904" i="2"/>
  <c r="G1904" i="2"/>
  <c r="F1904" i="2"/>
  <c r="D1904" i="2"/>
  <c r="B1904" i="2"/>
  <c r="H1903" i="2"/>
  <c r="G1903" i="2"/>
  <c r="F1903" i="2"/>
  <c r="D1903" i="2"/>
  <c r="B1903" i="2"/>
  <c r="H1902" i="2"/>
  <c r="G1902" i="2"/>
  <c r="F1902" i="2"/>
  <c r="D1902" i="2"/>
  <c r="B1902" i="2"/>
  <c r="H1901" i="2"/>
  <c r="G1901" i="2"/>
  <c r="F1901" i="2"/>
  <c r="D1901" i="2"/>
  <c r="B1901" i="2"/>
  <c r="H1900" i="2"/>
  <c r="G1900" i="2"/>
  <c r="F1900" i="2"/>
  <c r="D1900" i="2"/>
  <c r="B1900" i="2"/>
  <c r="H1899" i="2"/>
  <c r="G1899" i="2"/>
  <c r="F1899" i="2"/>
  <c r="D1899" i="2"/>
  <c r="B1899" i="2"/>
  <c r="H1898" i="2"/>
  <c r="G1898" i="2"/>
  <c r="F1898" i="2"/>
  <c r="D1898" i="2"/>
  <c r="B1898" i="2"/>
  <c r="H1897" i="2"/>
  <c r="G1897" i="2"/>
  <c r="F1897" i="2"/>
  <c r="D1897" i="2"/>
  <c r="B1897" i="2"/>
  <c r="H1896" i="2"/>
  <c r="G1896" i="2"/>
  <c r="F1896" i="2"/>
  <c r="D1896" i="2"/>
  <c r="B1896" i="2"/>
  <c r="H1895" i="2"/>
  <c r="G1895" i="2"/>
  <c r="F1895" i="2"/>
  <c r="D1895" i="2"/>
  <c r="B1895" i="2"/>
  <c r="H1894" i="2"/>
  <c r="G1894" i="2"/>
  <c r="F1894" i="2"/>
  <c r="D1894" i="2"/>
  <c r="B1894" i="2"/>
  <c r="H1893" i="2"/>
  <c r="G1893" i="2"/>
  <c r="F1893" i="2"/>
  <c r="D1893" i="2"/>
  <c r="B1893" i="2"/>
  <c r="H1892" i="2"/>
  <c r="G1892" i="2"/>
  <c r="F1892" i="2"/>
  <c r="D1892" i="2"/>
  <c r="B1892" i="2"/>
  <c r="H1891" i="2"/>
  <c r="G1891" i="2"/>
  <c r="F1891" i="2"/>
  <c r="D1891" i="2"/>
  <c r="B1891" i="2"/>
  <c r="H1890" i="2"/>
  <c r="G1890" i="2"/>
  <c r="F1890" i="2"/>
  <c r="D1890" i="2"/>
  <c r="B1890" i="2"/>
  <c r="H1889" i="2"/>
  <c r="G1889" i="2"/>
  <c r="F1889" i="2"/>
  <c r="D1889" i="2"/>
  <c r="B1889" i="2"/>
  <c r="H1888" i="2"/>
  <c r="G1888" i="2"/>
  <c r="F1888" i="2"/>
  <c r="D1888" i="2"/>
  <c r="B1888" i="2"/>
  <c r="H1887" i="2"/>
  <c r="G1887" i="2"/>
  <c r="F1887" i="2"/>
  <c r="D1887" i="2"/>
  <c r="B1887" i="2"/>
  <c r="H1886" i="2"/>
  <c r="G1886" i="2"/>
  <c r="F1886" i="2"/>
  <c r="D1886" i="2"/>
  <c r="B1886" i="2"/>
  <c r="H1885" i="2"/>
  <c r="G1885" i="2"/>
  <c r="F1885" i="2"/>
  <c r="D1885" i="2"/>
  <c r="B1885" i="2"/>
  <c r="H1884" i="2"/>
  <c r="G1884" i="2"/>
  <c r="F1884" i="2"/>
  <c r="D1884" i="2"/>
  <c r="B1884" i="2"/>
  <c r="H1883" i="2"/>
  <c r="G1883" i="2"/>
  <c r="F1883" i="2"/>
  <c r="D1883" i="2"/>
  <c r="B1883" i="2"/>
  <c r="H1882" i="2"/>
  <c r="G1882" i="2"/>
  <c r="F1882" i="2"/>
  <c r="D1882" i="2"/>
  <c r="B1882" i="2"/>
  <c r="H1881" i="2"/>
  <c r="G1881" i="2"/>
  <c r="F1881" i="2"/>
  <c r="D1881" i="2"/>
  <c r="B1881" i="2"/>
  <c r="H1880" i="2"/>
  <c r="G1880" i="2"/>
  <c r="F1880" i="2"/>
  <c r="D1880" i="2"/>
  <c r="B1880" i="2"/>
  <c r="H1879" i="2"/>
  <c r="G1879" i="2"/>
  <c r="F1879" i="2"/>
  <c r="D1879" i="2"/>
  <c r="B1879" i="2"/>
  <c r="H1878" i="2"/>
  <c r="G1878" i="2"/>
  <c r="F1878" i="2"/>
  <c r="D1878" i="2"/>
  <c r="B1878" i="2"/>
  <c r="H1877" i="2"/>
  <c r="G1877" i="2"/>
  <c r="F1877" i="2"/>
  <c r="D1877" i="2"/>
  <c r="B1877" i="2"/>
  <c r="H1876" i="2"/>
  <c r="G1876" i="2"/>
  <c r="F1876" i="2"/>
  <c r="D1876" i="2"/>
  <c r="B1876" i="2"/>
  <c r="H1875" i="2"/>
  <c r="G1875" i="2"/>
  <c r="F1875" i="2"/>
  <c r="D1875" i="2"/>
  <c r="B1875" i="2"/>
  <c r="H1874" i="2"/>
  <c r="G1874" i="2"/>
  <c r="F1874" i="2"/>
  <c r="D1874" i="2"/>
  <c r="B1874" i="2"/>
  <c r="H1873" i="2"/>
  <c r="G1873" i="2"/>
  <c r="F1873" i="2"/>
  <c r="D1873" i="2"/>
  <c r="B1873" i="2"/>
  <c r="H1872" i="2"/>
  <c r="G1872" i="2"/>
  <c r="F1872" i="2"/>
  <c r="D1872" i="2"/>
  <c r="B1872" i="2"/>
  <c r="H1871" i="2"/>
  <c r="G1871" i="2"/>
  <c r="F1871" i="2"/>
  <c r="D1871" i="2"/>
  <c r="B1871" i="2"/>
  <c r="H1870" i="2"/>
  <c r="G1870" i="2"/>
  <c r="F1870" i="2"/>
  <c r="D1870" i="2"/>
  <c r="B1870" i="2"/>
  <c r="H1869" i="2"/>
  <c r="G1869" i="2"/>
  <c r="F1869" i="2"/>
  <c r="D1869" i="2"/>
  <c r="B1869" i="2"/>
  <c r="H1868" i="2"/>
  <c r="G1868" i="2"/>
  <c r="F1868" i="2"/>
  <c r="D1868" i="2"/>
  <c r="B1868" i="2"/>
  <c r="H1867" i="2"/>
  <c r="G1867" i="2"/>
  <c r="F1867" i="2"/>
  <c r="D1867" i="2"/>
  <c r="B1867" i="2"/>
  <c r="H1866" i="2"/>
  <c r="G1866" i="2"/>
  <c r="F1866" i="2"/>
  <c r="D1866" i="2"/>
  <c r="B1866" i="2"/>
  <c r="H1865" i="2"/>
  <c r="G1865" i="2"/>
  <c r="F1865" i="2"/>
  <c r="D1865" i="2"/>
  <c r="B1865" i="2"/>
  <c r="H1864" i="2"/>
  <c r="G1864" i="2"/>
  <c r="F1864" i="2"/>
  <c r="D1864" i="2"/>
  <c r="B1864" i="2"/>
  <c r="H1863" i="2"/>
  <c r="G1863" i="2"/>
  <c r="F1863" i="2"/>
  <c r="D1863" i="2"/>
  <c r="B1863" i="2"/>
  <c r="H1862" i="2"/>
  <c r="G1862" i="2"/>
  <c r="F1862" i="2"/>
  <c r="D1862" i="2"/>
  <c r="B1862" i="2"/>
  <c r="H1861" i="2"/>
  <c r="G1861" i="2"/>
  <c r="F1861" i="2"/>
  <c r="D1861" i="2"/>
  <c r="B1861" i="2"/>
  <c r="H1860" i="2"/>
  <c r="G1860" i="2"/>
  <c r="F1860" i="2"/>
  <c r="D1860" i="2"/>
  <c r="B1860" i="2"/>
  <c r="H1859" i="2"/>
  <c r="G1859" i="2"/>
  <c r="F1859" i="2"/>
  <c r="D1859" i="2"/>
  <c r="B1859" i="2"/>
  <c r="H1858" i="2"/>
  <c r="G1858" i="2"/>
  <c r="F1858" i="2"/>
  <c r="D1858" i="2"/>
  <c r="B1858" i="2"/>
  <c r="H1857" i="2"/>
  <c r="G1857" i="2"/>
  <c r="F1857" i="2"/>
  <c r="D1857" i="2"/>
  <c r="B1857" i="2"/>
  <c r="H1856" i="2"/>
  <c r="G1856" i="2"/>
  <c r="F1856" i="2"/>
  <c r="D1856" i="2"/>
  <c r="B1856" i="2"/>
  <c r="H1855" i="2"/>
  <c r="G1855" i="2"/>
  <c r="F1855" i="2"/>
  <c r="D1855" i="2"/>
  <c r="B1855" i="2"/>
  <c r="H1854" i="2"/>
  <c r="G1854" i="2"/>
  <c r="F1854" i="2"/>
  <c r="D1854" i="2"/>
  <c r="B1854" i="2"/>
  <c r="H1853" i="2"/>
  <c r="G1853" i="2"/>
  <c r="F1853" i="2"/>
  <c r="D1853" i="2"/>
  <c r="B1853" i="2"/>
  <c r="H1852" i="2"/>
  <c r="G1852" i="2"/>
  <c r="F1852" i="2"/>
  <c r="D1852" i="2"/>
  <c r="B1852" i="2"/>
  <c r="H1851" i="2"/>
  <c r="G1851" i="2"/>
  <c r="F1851" i="2"/>
  <c r="D1851" i="2"/>
  <c r="B1851" i="2"/>
  <c r="H1850" i="2"/>
  <c r="G1850" i="2"/>
  <c r="F1850" i="2"/>
  <c r="D1850" i="2"/>
  <c r="B1850" i="2"/>
  <c r="H1849" i="2"/>
  <c r="G1849" i="2"/>
  <c r="F1849" i="2"/>
  <c r="D1849" i="2"/>
  <c r="B1849" i="2"/>
  <c r="H1848" i="2"/>
  <c r="G1848" i="2"/>
  <c r="F1848" i="2"/>
  <c r="D1848" i="2"/>
  <c r="B1848" i="2"/>
  <c r="H1847" i="2"/>
  <c r="G1847" i="2"/>
  <c r="F1847" i="2"/>
  <c r="D1847" i="2"/>
  <c r="B1847" i="2"/>
  <c r="H1846" i="2"/>
  <c r="G1846" i="2"/>
  <c r="F1846" i="2"/>
  <c r="D1846" i="2"/>
  <c r="B1846" i="2"/>
  <c r="H1845" i="2"/>
  <c r="G1845" i="2"/>
  <c r="F1845" i="2"/>
  <c r="D1845" i="2"/>
  <c r="B1845" i="2"/>
  <c r="H1844" i="2"/>
  <c r="G1844" i="2"/>
  <c r="F1844" i="2"/>
  <c r="D1844" i="2"/>
  <c r="B1844" i="2"/>
  <c r="H1843" i="2"/>
  <c r="G1843" i="2"/>
  <c r="F1843" i="2"/>
  <c r="D1843" i="2"/>
  <c r="B1843" i="2"/>
  <c r="H1842" i="2"/>
  <c r="G1842" i="2"/>
  <c r="F1842" i="2"/>
  <c r="D1842" i="2"/>
  <c r="B1842" i="2"/>
  <c r="H1841" i="2"/>
  <c r="G1841" i="2"/>
  <c r="F1841" i="2"/>
  <c r="D1841" i="2"/>
  <c r="B1841" i="2"/>
  <c r="H1840" i="2"/>
  <c r="G1840" i="2"/>
  <c r="F1840" i="2"/>
  <c r="D1840" i="2"/>
  <c r="B1840" i="2"/>
  <c r="H1839" i="2"/>
  <c r="G1839" i="2"/>
  <c r="F1839" i="2"/>
  <c r="D1839" i="2"/>
  <c r="B1839" i="2"/>
  <c r="H1838" i="2"/>
  <c r="G1838" i="2"/>
  <c r="F1838" i="2"/>
  <c r="D1838" i="2"/>
  <c r="B1838" i="2"/>
  <c r="H1837" i="2"/>
  <c r="G1837" i="2"/>
  <c r="F1837" i="2"/>
  <c r="D1837" i="2"/>
  <c r="B1837" i="2"/>
  <c r="H1836" i="2"/>
  <c r="G1836" i="2"/>
  <c r="F1836" i="2"/>
  <c r="D1836" i="2"/>
  <c r="B1836" i="2"/>
  <c r="H1835" i="2"/>
  <c r="G1835" i="2"/>
  <c r="F1835" i="2"/>
  <c r="D1835" i="2"/>
  <c r="B1835" i="2"/>
  <c r="H1834" i="2"/>
  <c r="G1834" i="2"/>
  <c r="F1834" i="2"/>
  <c r="D1834" i="2"/>
  <c r="B1834" i="2"/>
  <c r="H1833" i="2"/>
  <c r="G1833" i="2"/>
  <c r="F1833" i="2"/>
  <c r="D1833" i="2"/>
  <c r="B1833" i="2"/>
  <c r="H1832" i="2"/>
  <c r="G1832" i="2"/>
  <c r="F1832" i="2"/>
  <c r="D1832" i="2"/>
  <c r="B1832" i="2"/>
  <c r="H1831" i="2"/>
  <c r="G1831" i="2"/>
  <c r="F1831" i="2"/>
  <c r="D1831" i="2"/>
  <c r="B1831" i="2"/>
  <c r="H1830" i="2"/>
  <c r="G1830" i="2"/>
  <c r="F1830" i="2"/>
  <c r="D1830" i="2"/>
  <c r="B1830" i="2"/>
  <c r="H1829" i="2"/>
  <c r="G1829" i="2"/>
  <c r="F1829" i="2"/>
  <c r="D1829" i="2"/>
  <c r="B1829" i="2"/>
  <c r="H1828" i="2"/>
  <c r="G1828" i="2"/>
  <c r="F1828" i="2"/>
  <c r="D1828" i="2"/>
  <c r="B1828" i="2"/>
  <c r="H1827" i="2"/>
  <c r="G1827" i="2"/>
  <c r="F1827" i="2"/>
  <c r="D1827" i="2"/>
  <c r="B1827" i="2"/>
  <c r="H1826" i="2"/>
  <c r="G1826" i="2"/>
  <c r="F1826" i="2"/>
  <c r="D1826" i="2"/>
  <c r="B1826" i="2"/>
  <c r="H1825" i="2"/>
  <c r="G1825" i="2"/>
  <c r="F1825" i="2"/>
  <c r="D1825" i="2"/>
  <c r="B1825" i="2"/>
  <c r="H1824" i="2"/>
  <c r="G1824" i="2"/>
  <c r="F1824" i="2"/>
  <c r="D1824" i="2"/>
  <c r="B1824" i="2"/>
  <c r="H1823" i="2"/>
  <c r="G1823" i="2"/>
  <c r="F1823" i="2"/>
  <c r="D1823" i="2"/>
  <c r="B1823" i="2"/>
  <c r="H1822" i="2"/>
  <c r="G1822" i="2"/>
  <c r="F1822" i="2"/>
  <c r="D1822" i="2"/>
  <c r="B1822" i="2"/>
  <c r="H1821" i="2"/>
  <c r="G1821" i="2"/>
  <c r="F1821" i="2"/>
  <c r="D1821" i="2"/>
  <c r="B1821" i="2"/>
  <c r="H1820" i="2"/>
  <c r="G1820" i="2"/>
  <c r="F1820" i="2"/>
  <c r="D1820" i="2"/>
  <c r="B1820" i="2"/>
  <c r="H1819" i="2"/>
  <c r="G1819" i="2"/>
  <c r="F1819" i="2"/>
  <c r="D1819" i="2"/>
  <c r="B1819" i="2"/>
  <c r="H1818" i="2"/>
  <c r="G1818" i="2"/>
  <c r="F1818" i="2"/>
  <c r="D1818" i="2"/>
  <c r="B1818" i="2"/>
  <c r="H1817" i="2"/>
  <c r="G1817" i="2"/>
  <c r="F1817" i="2"/>
  <c r="D1817" i="2"/>
  <c r="B1817" i="2"/>
  <c r="H1816" i="2"/>
  <c r="G1816" i="2"/>
  <c r="F1816" i="2"/>
  <c r="D1816" i="2"/>
  <c r="B1816" i="2"/>
  <c r="H1815" i="2"/>
  <c r="G1815" i="2"/>
  <c r="F1815" i="2"/>
  <c r="D1815" i="2"/>
  <c r="B1815" i="2"/>
  <c r="H1814" i="2"/>
  <c r="G1814" i="2"/>
  <c r="F1814" i="2"/>
  <c r="D1814" i="2"/>
  <c r="B1814" i="2"/>
  <c r="H1813" i="2"/>
  <c r="G1813" i="2"/>
  <c r="F1813" i="2"/>
  <c r="D1813" i="2"/>
  <c r="B1813" i="2"/>
  <c r="H1812" i="2"/>
  <c r="G1812" i="2"/>
  <c r="F1812" i="2"/>
  <c r="D1812" i="2"/>
  <c r="B1812" i="2"/>
  <c r="H1811" i="2"/>
  <c r="G1811" i="2"/>
  <c r="F1811" i="2"/>
  <c r="D1811" i="2"/>
  <c r="B1811" i="2"/>
  <c r="H1810" i="2"/>
  <c r="G1810" i="2"/>
  <c r="F1810" i="2"/>
  <c r="D1810" i="2"/>
  <c r="B1810" i="2"/>
  <c r="H1809" i="2"/>
  <c r="G1809" i="2"/>
  <c r="F1809" i="2"/>
  <c r="D1809" i="2"/>
  <c r="B1809" i="2"/>
  <c r="H1808" i="2"/>
  <c r="G1808" i="2"/>
  <c r="F1808" i="2"/>
  <c r="D1808" i="2"/>
  <c r="B1808" i="2"/>
  <c r="H1807" i="2"/>
  <c r="G1807" i="2"/>
  <c r="F1807" i="2"/>
  <c r="D1807" i="2"/>
  <c r="B1807" i="2"/>
  <c r="H1806" i="2"/>
  <c r="G1806" i="2"/>
  <c r="F1806" i="2"/>
  <c r="D1806" i="2"/>
  <c r="B1806" i="2"/>
  <c r="H1805" i="2"/>
  <c r="G1805" i="2"/>
  <c r="F1805" i="2"/>
  <c r="D1805" i="2"/>
  <c r="B1805" i="2"/>
  <c r="H1804" i="2"/>
  <c r="G1804" i="2"/>
  <c r="F1804" i="2"/>
  <c r="D1804" i="2"/>
  <c r="B1804" i="2"/>
  <c r="H1803" i="2"/>
  <c r="G1803" i="2"/>
  <c r="F1803" i="2"/>
  <c r="D1803" i="2"/>
  <c r="B1803" i="2"/>
  <c r="H1802" i="2"/>
  <c r="G1802" i="2"/>
  <c r="F1802" i="2"/>
  <c r="D1802" i="2"/>
  <c r="B1802" i="2"/>
  <c r="H1801" i="2"/>
  <c r="G1801" i="2"/>
  <c r="F1801" i="2"/>
  <c r="D1801" i="2"/>
  <c r="B1801" i="2"/>
  <c r="H1800" i="2"/>
  <c r="G1800" i="2"/>
  <c r="F1800" i="2"/>
  <c r="D1800" i="2"/>
  <c r="B1800" i="2"/>
  <c r="H1799" i="2"/>
  <c r="G1799" i="2"/>
  <c r="F1799" i="2"/>
  <c r="D1799" i="2"/>
  <c r="B1799" i="2"/>
  <c r="H1798" i="2"/>
  <c r="G1798" i="2"/>
  <c r="F1798" i="2"/>
  <c r="D1798" i="2"/>
  <c r="B1798" i="2"/>
  <c r="H1797" i="2"/>
  <c r="G1797" i="2"/>
  <c r="F1797" i="2"/>
  <c r="D1797" i="2"/>
  <c r="B1797" i="2"/>
  <c r="H1796" i="2"/>
  <c r="G1796" i="2"/>
  <c r="F1796" i="2"/>
  <c r="D1796" i="2"/>
  <c r="B1796" i="2"/>
  <c r="H1795" i="2"/>
  <c r="G1795" i="2"/>
  <c r="F1795" i="2"/>
  <c r="D1795" i="2"/>
  <c r="B1795" i="2"/>
  <c r="H1794" i="2"/>
  <c r="G1794" i="2"/>
  <c r="F1794" i="2"/>
  <c r="D1794" i="2"/>
  <c r="B1794" i="2"/>
  <c r="H1793" i="2"/>
  <c r="G1793" i="2"/>
  <c r="F1793" i="2"/>
  <c r="D1793" i="2"/>
  <c r="B1793" i="2"/>
  <c r="H1792" i="2"/>
  <c r="G1792" i="2"/>
  <c r="F1792" i="2"/>
  <c r="D1792" i="2"/>
  <c r="B1792" i="2"/>
  <c r="H1791" i="2"/>
  <c r="G1791" i="2"/>
  <c r="F1791" i="2"/>
  <c r="D1791" i="2"/>
  <c r="B1791" i="2"/>
  <c r="H1790" i="2"/>
  <c r="G1790" i="2"/>
  <c r="F1790" i="2"/>
  <c r="D1790" i="2"/>
  <c r="B1790" i="2"/>
  <c r="H1789" i="2"/>
  <c r="G1789" i="2"/>
  <c r="F1789" i="2"/>
  <c r="D1789" i="2"/>
  <c r="B1789" i="2"/>
  <c r="H1788" i="2"/>
  <c r="G1788" i="2"/>
  <c r="F1788" i="2"/>
  <c r="D1788" i="2"/>
  <c r="B1788" i="2"/>
  <c r="H1787" i="2"/>
  <c r="G1787" i="2"/>
  <c r="F1787" i="2"/>
  <c r="D1787" i="2"/>
  <c r="B1787" i="2"/>
  <c r="H1786" i="2"/>
  <c r="G1786" i="2"/>
  <c r="F1786" i="2"/>
  <c r="D1786" i="2"/>
  <c r="B1786" i="2"/>
  <c r="H1785" i="2"/>
  <c r="G1785" i="2"/>
  <c r="F1785" i="2"/>
  <c r="D1785" i="2"/>
  <c r="B1785" i="2"/>
  <c r="H1784" i="2"/>
  <c r="G1784" i="2"/>
  <c r="F1784" i="2"/>
  <c r="D1784" i="2"/>
  <c r="B1784" i="2"/>
  <c r="H1783" i="2"/>
  <c r="G1783" i="2"/>
  <c r="F1783" i="2"/>
  <c r="D1783" i="2"/>
  <c r="B1783" i="2"/>
  <c r="H1782" i="2"/>
  <c r="G1782" i="2"/>
  <c r="F1782" i="2"/>
  <c r="D1782" i="2"/>
  <c r="B1782" i="2"/>
  <c r="H1781" i="2"/>
  <c r="G1781" i="2"/>
  <c r="F1781" i="2"/>
  <c r="D1781" i="2"/>
  <c r="B1781" i="2"/>
  <c r="H1780" i="2"/>
  <c r="G1780" i="2"/>
  <c r="F1780" i="2"/>
  <c r="D1780" i="2"/>
  <c r="B1780" i="2"/>
  <c r="H1779" i="2"/>
  <c r="G1779" i="2"/>
  <c r="F1779" i="2"/>
  <c r="D1779" i="2"/>
  <c r="B1779" i="2"/>
  <c r="H1778" i="2"/>
  <c r="G1778" i="2"/>
  <c r="F1778" i="2"/>
  <c r="D1778" i="2"/>
  <c r="B1778" i="2"/>
  <c r="H1777" i="2"/>
  <c r="G1777" i="2"/>
  <c r="F1777" i="2"/>
  <c r="D1777" i="2"/>
  <c r="B1777" i="2"/>
  <c r="H1776" i="2"/>
  <c r="G1776" i="2"/>
  <c r="F1776" i="2"/>
  <c r="D1776" i="2"/>
  <c r="B1776" i="2"/>
  <c r="H1775" i="2"/>
  <c r="G1775" i="2"/>
  <c r="F1775" i="2"/>
  <c r="D1775" i="2"/>
  <c r="B1775" i="2"/>
  <c r="H1774" i="2"/>
  <c r="G1774" i="2"/>
  <c r="F1774" i="2"/>
  <c r="D1774" i="2"/>
  <c r="B1774" i="2"/>
  <c r="H1773" i="2"/>
  <c r="G1773" i="2"/>
  <c r="F1773" i="2"/>
  <c r="D1773" i="2"/>
  <c r="B1773" i="2"/>
  <c r="H1772" i="2"/>
  <c r="G1772" i="2"/>
  <c r="F1772" i="2"/>
  <c r="D1772" i="2"/>
  <c r="B1772" i="2"/>
  <c r="H1771" i="2"/>
  <c r="G1771" i="2"/>
  <c r="F1771" i="2"/>
  <c r="D1771" i="2"/>
  <c r="B1771" i="2"/>
  <c r="H1770" i="2"/>
  <c r="G1770" i="2"/>
  <c r="F1770" i="2"/>
  <c r="D1770" i="2"/>
  <c r="B1770" i="2"/>
  <c r="H1769" i="2"/>
  <c r="G1769" i="2"/>
  <c r="F1769" i="2"/>
  <c r="D1769" i="2"/>
  <c r="B1769" i="2"/>
  <c r="H1768" i="2"/>
  <c r="G1768" i="2"/>
  <c r="F1768" i="2"/>
  <c r="D1768" i="2"/>
  <c r="B1768" i="2"/>
  <c r="H1767" i="2"/>
  <c r="G1767" i="2"/>
  <c r="F1767" i="2"/>
  <c r="D1767" i="2"/>
  <c r="B1767" i="2"/>
  <c r="H1766" i="2"/>
  <c r="G1766" i="2"/>
  <c r="F1766" i="2"/>
  <c r="D1766" i="2"/>
  <c r="B1766" i="2"/>
  <c r="H1765" i="2"/>
  <c r="G1765" i="2"/>
  <c r="F1765" i="2"/>
  <c r="D1765" i="2"/>
  <c r="B1765" i="2"/>
  <c r="H1764" i="2"/>
  <c r="G1764" i="2"/>
  <c r="F1764" i="2"/>
  <c r="D1764" i="2"/>
  <c r="B1764" i="2"/>
  <c r="H1763" i="2"/>
  <c r="G1763" i="2"/>
  <c r="F1763" i="2"/>
  <c r="D1763" i="2"/>
  <c r="B1763" i="2"/>
  <c r="H1762" i="2"/>
  <c r="G1762" i="2"/>
  <c r="F1762" i="2"/>
  <c r="D1762" i="2"/>
  <c r="B1762" i="2"/>
  <c r="H1761" i="2"/>
  <c r="G1761" i="2"/>
  <c r="F1761" i="2"/>
  <c r="D1761" i="2"/>
  <c r="B1761" i="2"/>
  <c r="H1760" i="2"/>
  <c r="G1760" i="2"/>
  <c r="F1760" i="2"/>
  <c r="D1760" i="2"/>
  <c r="B1760" i="2"/>
  <c r="H1759" i="2"/>
  <c r="G1759" i="2"/>
  <c r="F1759" i="2"/>
  <c r="D1759" i="2"/>
  <c r="B1759" i="2"/>
  <c r="H1758" i="2"/>
  <c r="G1758" i="2"/>
  <c r="F1758" i="2"/>
  <c r="D1758" i="2"/>
  <c r="B1758" i="2"/>
  <c r="H1757" i="2"/>
  <c r="G1757" i="2"/>
  <c r="F1757" i="2"/>
  <c r="D1757" i="2"/>
  <c r="B1757" i="2"/>
  <c r="H1756" i="2"/>
  <c r="G1756" i="2"/>
  <c r="F1756" i="2"/>
  <c r="D1756" i="2"/>
  <c r="B1756" i="2"/>
  <c r="H1755" i="2"/>
  <c r="G1755" i="2"/>
  <c r="F1755" i="2"/>
  <c r="D1755" i="2"/>
  <c r="B1755" i="2"/>
  <c r="H1754" i="2"/>
  <c r="G1754" i="2"/>
  <c r="F1754" i="2"/>
  <c r="D1754" i="2"/>
  <c r="B1754" i="2"/>
  <c r="G1753" i="2"/>
  <c r="D1753" i="2"/>
  <c r="B1753" i="2"/>
  <c r="G1752" i="2"/>
  <c r="D1752" i="2"/>
  <c r="B1752" i="2"/>
  <c r="G1751" i="2"/>
  <c r="D1751" i="2"/>
  <c r="B1751" i="2"/>
  <c r="G1750" i="2"/>
  <c r="D1750" i="2"/>
  <c r="B1750" i="2"/>
  <c r="G1749" i="2"/>
  <c r="D1749" i="2"/>
  <c r="B1749" i="2"/>
  <c r="G1748" i="2"/>
  <c r="D1748" i="2"/>
  <c r="B1748" i="2"/>
  <c r="G1747" i="2"/>
  <c r="D1747" i="2"/>
  <c r="B1747" i="2"/>
  <c r="H1746" i="2"/>
  <c r="G1746" i="2"/>
  <c r="F1746" i="2"/>
  <c r="D1746" i="2"/>
  <c r="B1746" i="2"/>
  <c r="H1745" i="2"/>
  <c r="G1745" i="2"/>
  <c r="F1745" i="2"/>
  <c r="D1745" i="2"/>
  <c r="B1745" i="2"/>
  <c r="H1744" i="2"/>
  <c r="G1744" i="2"/>
  <c r="F1744" i="2"/>
  <c r="D1744" i="2"/>
  <c r="B1744" i="2"/>
  <c r="H1743" i="2"/>
  <c r="G1743" i="2"/>
  <c r="F1743" i="2"/>
  <c r="D1743" i="2"/>
  <c r="B1743" i="2"/>
  <c r="H1742" i="2"/>
  <c r="G1742" i="2"/>
  <c r="F1742" i="2"/>
  <c r="D1742" i="2"/>
  <c r="B1742" i="2"/>
  <c r="H1741" i="2"/>
  <c r="G1741" i="2"/>
  <c r="F1741" i="2"/>
  <c r="D1741" i="2"/>
  <c r="B1741" i="2"/>
  <c r="H1740" i="2"/>
  <c r="G1740" i="2"/>
  <c r="F1740" i="2"/>
  <c r="D1740" i="2"/>
  <c r="B1740" i="2"/>
  <c r="H1739" i="2"/>
  <c r="G1739" i="2"/>
  <c r="F1739" i="2"/>
  <c r="D1739" i="2"/>
  <c r="B1739" i="2"/>
  <c r="H1738" i="2"/>
  <c r="G1738" i="2"/>
  <c r="F1738" i="2"/>
  <c r="D1738" i="2"/>
  <c r="B1738" i="2"/>
  <c r="H1737" i="2"/>
  <c r="G1737" i="2"/>
  <c r="F1737" i="2"/>
  <c r="D1737" i="2"/>
  <c r="B1737" i="2"/>
  <c r="H1736" i="2"/>
  <c r="G1736" i="2"/>
  <c r="F1736" i="2"/>
  <c r="D1736" i="2"/>
  <c r="B1736" i="2"/>
  <c r="H1735" i="2"/>
  <c r="G1735" i="2"/>
  <c r="F1735" i="2"/>
  <c r="D1735" i="2"/>
  <c r="B1735" i="2"/>
  <c r="H1734" i="2"/>
  <c r="G1734" i="2"/>
  <c r="F1734" i="2"/>
  <c r="D1734" i="2"/>
  <c r="B1734" i="2"/>
  <c r="H1733" i="2"/>
  <c r="G1733" i="2"/>
  <c r="F1733" i="2"/>
  <c r="D1733" i="2"/>
  <c r="B1733" i="2"/>
  <c r="H1732" i="2"/>
  <c r="G1732" i="2"/>
  <c r="F1732" i="2"/>
  <c r="D1732" i="2"/>
  <c r="B1732" i="2"/>
  <c r="H1731" i="2"/>
  <c r="G1731" i="2"/>
  <c r="F1731" i="2"/>
  <c r="D1731" i="2"/>
  <c r="B1731" i="2"/>
  <c r="H1730" i="2"/>
  <c r="G1730" i="2"/>
  <c r="F1730" i="2"/>
  <c r="D1730" i="2"/>
  <c r="B1730" i="2"/>
  <c r="H1729" i="2"/>
  <c r="G1729" i="2"/>
  <c r="F1729" i="2"/>
  <c r="D1729" i="2"/>
  <c r="B1729" i="2"/>
  <c r="H1728" i="2"/>
  <c r="G1728" i="2"/>
  <c r="F1728" i="2"/>
  <c r="D1728" i="2"/>
  <c r="B1728" i="2"/>
  <c r="H1727" i="2"/>
  <c r="G1727" i="2"/>
  <c r="F1727" i="2"/>
  <c r="D1727" i="2"/>
  <c r="B1727" i="2"/>
  <c r="H1726" i="2"/>
  <c r="G1726" i="2"/>
  <c r="F1726" i="2"/>
  <c r="D1726" i="2"/>
  <c r="B1726" i="2"/>
  <c r="H1725" i="2"/>
  <c r="G1725" i="2"/>
  <c r="F1725" i="2"/>
  <c r="D1725" i="2"/>
  <c r="B1725" i="2"/>
  <c r="H1724" i="2"/>
  <c r="G1724" i="2"/>
  <c r="F1724" i="2"/>
  <c r="D1724" i="2"/>
  <c r="B1724" i="2"/>
  <c r="H1723" i="2"/>
  <c r="G1723" i="2"/>
  <c r="F1723" i="2"/>
  <c r="D1723" i="2"/>
  <c r="B1723" i="2"/>
  <c r="H1722" i="2"/>
  <c r="G1722" i="2"/>
  <c r="F1722" i="2"/>
  <c r="D1722" i="2"/>
  <c r="B1722" i="2"/>
  <c r="H1721" i="2"/>
  <c r="G1721" i="2"/>
  <c r="F1721" i="2"/>
  <c r="D1721" i="2"/>
  <c r="B1721" i="2"/>
  <c r="H1720" i="2"/>
  <c r="G1720" i="2"/>
  <c r="F1720" i="2"/>
  <c r="D1720" i="2"/>
  <c r="B1720" i="2"/>
  <c r="H1719" i="2"/>
  <c r="G1719" i="2"/>
  <c r="F1719" i="2"/>
  <c r="D1719" i="2"/>
  <c r="B1719" i="2"/>
  <c r="H1718" i="2"/>
  <c r="G1718" i="2"/>
  <c r="F1718" i="2"/>
  <c r="D1718" i="2"/>
  <c r="B1718" i="2"/>
  <c r="H1717" i="2"/>
  <c r="G1717" i="2"/>
  <c r="F1717" i="2"/>
  <c r="D1717" i="2"/>
  <c r="B1717" i="2"/>
  <c r="H1716" i="2"/>
  <c r="G1716" i="2"/>
  <c r="F1716" i="2"/>
  <c r="D1716" i="2"/>
  <c r="B1716" i="2"/>
  <c r="H1715" i="2"/>
  <c r="G1715" i="2"/>
  <c r="F1715" i="2"/>
  <c r="D1715" i="2"/>
  <c r="B1715" i="2"/>
  <c r="H1714" i="2"/>
  <c r="G1714" i="2"/>
  <c r="F1714" i="2"/>
  <c r="D1714" i="2"/>
  <c r="B1714" i="2"/>
  <c r="H1713" i="2"/>
  <c r="G1713" i="2"/>
  <c r="F1713" i="2"/>
  <c r="D1713" i="2"/>
  <c r="B1713" i="2"/>
  <c r="H1712" i="2"/>
  <c r="G1712" i="2"/>
  <c r="F1712" i="2"/>
  <c r="D1712" i="2"/>
  <c r="B1712" i="2"/>
  <c r="H1711" i="2"/>
  <c r="G1711" i="2"/>
  <c r="F1711" i="2"/>
  <c r="D1711" i="2"/>
  <c r="B1711" i="2"/>
  <c r="H1710" i="2"/>
  <c r="G1710" i="2"/>
  <c r="F1710" i="2"/>
  <c r="D1710" i="2"/>
  <c r="B1710" i="2"/>
  <c r="H1709" i="2"/>
  <c r="G1709" i="2"/>
  <c r="F1709" i="2"/>
  <c r="D1709" i="2"/>
  <c r="B1709" i="2"/>
  <c r="H1708" i="2"/>
  <c r="G1708" i="2"/>
  <c r="F1708" i="2"/>
  <c r="D1708" i="2"/>
  <c r="B1708" i="2"/>
  <c r="H1707" i="2"/>
  <c r="G1707" i="2"/>
  <c r="F1707" i="2"/>
  <c r="D1707" i="2"/>
  <c r="B1707" i="2"/>
  <c r="H1706" i="2"/>
  <c r="G1706" i="2"/>
  <c r="F1706" i="2"/>
  <c r="D1706" i="2"/>
  <c r="B1706" i="2"/>
  <c r="H1705" i="2"/>
  <c r="G1705" i="2"/>
  <c r="F1705" i="2"/>
  <c r="D1705" i="2"/>
  <c r="B1705" i="2"/>
  <c r="H1704" i="2"/>
  <c r="G1704" i="2"/>
  <c r="F1704" i="2"/>
  <c r="D1704" i="2"/>
  <c r="B1704" i="2"/>
  <c r="H1703" i="2"/>
  <c r="G1703" i="2"/>
  <c r="F1703" i="2"/>
  <c r="D1703" i="2"/>
  <c r="B1703" i="2"/>
  <c r="H1702" i="2"/>
  <c r="G1702" i="2"/>
  <c r="F1702" i="2"/>
  <c r="D1702" i="2"/>
  <c r="B1702" i="2"/>
  <c r="H1701" i="2"/>
  <c r="G1701" i="2"/>
  <c r="F1701" i="2"/>
  <c r="D1701" i="2"/>
  <c r="B1701" i="2"/>
  <c r="H1700" i="2"/>
  <c r="G1700" i="2"/>
  <c r="F1700" i="2"/>
  <c r="D1700" i="2"/>
  <c r="B1700" i="2"/>
  <c r="H1699" i="2"/>
  <c r="G1699" i="2"/>
  <c r="F1699" i="2"/>
  <c r="D1699" i="2"/>
  <c r="B1699" i="2"/>
  <c r="H1698" i="2"/>
  <c r="G1698" i="2"/>
  <c r="F1698" i="2"/>
  <c r="D1698" i="2"/>
  <c r="B1698" i="2"/>
  <c r="H1697" i="2"/>
  <c r="G1697" i="2"/>
  <c r="F1697" i="2"/>
  <c r="D1697" i="2"/>
  <c r="B1697" i="2"/>
  <c r="H1696" i="2"/>
  <c r="G1696" i="2"/>
  <c r="F1696" i="2"/>
  <c r="D1696" i="2"/>
  <c r="B1696" i="2"/>
  <c r="H1695" i="2"/>
  <c r="G1695" i="2"/>
  <c r="F1695" i="2"/>
  <c r="D1695" i="2"/>
  <c r="B1695" i="2"/>
  <c r="H1694" i="2"/>
  <c r="G1694" i="2"/>
  <c r="F1694" i="2"/>
  <c r="D1694" i="2"/>
  <c r="B1694" i="2"/>
  <c r="H1693" i="2"/>
  <c r="G1693" i="2"/>
  <c r="F1693" i="2"/>
  <c r="D1693" i="2"/>
  <c r="B1693" i="2"/>
  <c r="H1692" i="2"/>
  <c r="G1692" i="2"/>
  <c r="F1692" i="2"/>
  <c r="D1692" i="2"/>
  <c r="B1692" i="2"/>
  <c r="H1691" i="2"/>
  <c r="G1691" i="2"/>
  <c r="F1691" i="2"/>
  <c r="D1691" i="2"/>
  <c r="B1691" i="2"/>
  <c r="H1690" i="2"/>
  <c r="G1690" i="2"/>
  <c r="F1690" i="2"/>
  <c r="D1690" i="2"/>
  <c r="B1690" i="2"/>
  <c r="H1689" i="2"/>
  <c r="G1689" i="2"/>
  <c r="F1689" i="2"/>
  <c r="D1689" i="2"/>
  <c r="B1689" i="2"/>
  <c r="H1688" i="2"/>
  <c r="G1688" i="2"/>
  <c r="F1688" i="2"/>
  <c r="D1688" i="2"/>
  <c r="B1688" i="2"/>
  <c r="H1687" i="2"/>
  <c r="G1687" i="2"/>
  <c r="F1687" i="2"/>
  <c r="D1687" i="2"/>
  <c r="B1687" i="2"/>
  <c r="H1686" i="2"/>
  <c r="G1686" i="2"/>
  <c r="F1686" i="2"/>
  <c r="D1686" i="2"/>
  <c r="B1686" i="2"/>
  <c r="H1685" i="2"/>
  <c r="G1685" i="2"/>
  <c r="F1685" i="2"/>
  <c r="D1685" i="2"/>
  <c r="B1685" i="2"/>
  <c r="H1684" i="2"/>
  <c r="G1684" i="2"/>
  <c r="F1684" i="2"/>
  <c r="D1684" i="2"/>
  <c r="B1684" i="2"/>
  <c r="H1683" i="2"/>
  <c r="G1683" i="2"/>
  <c r="F1683" i="2"/>
  <c r="D1683" i="2"/>
  <c r="B1683" i="2"/>
  <c r="H1682" i="2"/>
  <c r="G1682" i="2"/>
  <c r="F1682" i="2"/>
  <c r="D1682" i="2"/>
  <c r="B1682" i="2"/>
  <c r="H1681" i="2"/>
  <c r="G1681" i="2"/>
  <c r="F1681" i="2"/>
  <c r="D1681" i="2"/>
  <c r="B1681" i="2"/>
  <c r="H1680" i="2"/>
  <c r="G1680" i="2"/>
  <c r="F1680" i="2"/>
  <c r="D1680" i="2"/>
  <c r="B1680" i="2"/>
  <c r="H1679" i="2"/>
  <c r="G1679" i="2"/>
  <c r="F1679" i="2"/>
  <c r="D1679" i="2"/>
  <c r="B1679" i="2"/>
  <c r="H1678" i="2"/>
  <c r="G1678" i="2"/>
  <c r="F1678" i="2"/>
  <c r="D1678" i="2"/>
  <c r="B1678" i="2"/>
  <c r="H1677" i="2"/>
  <c r="G1677" i="2"/>
  <c r="F1677" i="2"/>
  <c r="D1677" i="2"/>
  <c r="B1677" i="2"/>
  <c r="H1676" i="2"/>
  <c r="G1676" i="2"/>
  <c r="F1676" i="2"/>
  <c r="D1676" i="2"/>
  <c r="B1676" i="2"/>
  <c r="H1675" i="2"/>
  <c r="G1675" i="2"/>
  <c r="F1675" i="2"/>
  <c r="D1675" i="2"/>
  <c r="B1675" i="2"/>
  <c r="H1674" i="2"/>
  <c r="G1674" i="2"/>
  <c r="F1674" i="2"/>
  <c r="D1674" i="2"/>
  <c r="B1674" i="2"/>
  <c r="H1673" i="2"/>
  <c r="G1673" i="2"/>
  <c r="F1673" i="2"/>
  <c r="D1673" i="2"/>
  <c r="B1673" i="2"/>
  <c r="H1672" i="2"/>
  <c r="G1672" i="2"/>
  <c r="F1672" i="2"/>
  <c r="D1672" i="2"/>
  <c r="B1672" i="2"/>
  <c r="H1671" i="2"/>
  <c r="G1671" i="2"/>
  <c r="F1671" i="2"/>
  <c r="D1671" i="2"/>
  <c r="B1671" i="2"/>
  <c r="H1670" i="2"/>
  <c r="G1670" i="2"/>
  <c r="F1670" i="2"/>
  <c r="D1670" i="2"/>
  <c r="B1670" i="2"/>
  <c r="H1669" i="2"/>
  <c r="G1669" i="2"/>
  <c r="F1669" i="2"/>
  <c r="D1669" i="2"/>
  <c r="B1669" i="2"/>
  <c r="H1668" i="2"/>
  <c r="G1668" i="2"/>
  <c r="F1668" i="2"/>
  <c r="D1668" i="2"/>
  <c r="B1668" i="2"/>
  <c r="H1667" i="2"/>
  <c r="G1667" i="2"/>
  <c r="F1667" i="2"/>
  <c r="D1667" i="2"/>
  <c r="B1667" i="2"/>
  <c r="H1666" i="2"/>
  <c r="G1666" i="2"/>
  <c r="F1666" i="2"/>
  <c r="D1666" i="2"/>
  <c r="B1666" i="2"/>
  <c r="H1665" i="2"/>
  <c r="G1665" i="2"/>
  <c r="F1665" i="2"/>
  <c r="D1665" i="2"/>
  <c r="B1665" i="2"/>
  <c r="H1664" i="2"/>
  <c r="G1664" i="2"/>
  <c r="F1664" i="2"/>
  <c r="D1664" i="2"/>
  <c r="B1664" i="2"/>
  <c r="H1663" i="2"/>
  <c r="G1663" i="2"/>
  <c r="F1663" i="2"/>
  <c r="D1663" i="2"/>
  <c r="B1663" i="2"/>
  <c r="H1662" i="2"/>
  <c r="G1662" i="2"/>
  <c r="F1662" i="2"/>
  <c r="D1662" i="2"/>
  <c r="B1662" i="2"/>
  <c r="H1661" i="2"/>
  <c r="G1661" i="2"/>
  <c r="F1661" i="2"/>
  <c r="D1661" i="2"/>
  <c r="B1661" i="2"/>
  <c r="H1660" i="2"/>
  <c r="G1660" i="2"/>
  <c r="F1660" i="2"/>
  <c r="D1660" i="2"/>
  <c r="B1660" i="2"/>
  <c r="H1659" i="2"/>
  <c r="G1659" i="2"/>
  <c r="F1659" i="2"/>
  <c r="D1659" i="2"/>
  <c r="B1659" i="2"/>
  <c r="H1658" i="2"/>
  <c r="G1658" i="2"/>
  <c r="F1658" i="2"/>
  <c r="D1658" i="2"/>
  <c r="B1658" i="2"/>
  <c r="H1657" i="2"/>
  <c r="G1657" i="2"/>
  <c r="F1657" i="2"/>
  <c r="D1657" i="2"/>
  <c r="B1657" i="2"/>
  <c r="H1656" i="2"/>
  <c r="G1656" i="2"/>
  <c r="F1656" i="2"/>
  <c r="D1656" i="2"/>
  <c r="B1656" i="2"/>
  <c r="H1655" i="2"/>
  <c r="G1655" i="2"/>
  <c r="F1655" i="2"/>
  <c r="D1655" i="2"/>
  <c r="B1655" i="2"/>
  <c r="H1654" i="2"/>
  <c r="G1654" i="2"/>
  <c r="F1654" i="2"/>
  <c r="D1654" i="2"/>
  <c r="B1654" i="2"/>
  <c r="H1653" i="2"/>
  <c r="G1653" i="2"/>
  <c r="F1653" i="2"/>
  <c r="D1653" i="2"/>
  <c r="B1653" i="2"/>
  <c r="H1652" i="2"/>
  <c r="G1652" i="2"/>
  <c r="F1652" i="2"/>
  <c r="D1652" i="2"/>
  <c r="B1652" i="2"/>
  <c r="H1651" i="2"/>
  <c r="G1651" i="2"/>
  <c r="F1651" i="2"/>
  <c r="D1651" i="2"/>
  <c r="B1651" i="2"/>
  <c r="H1650" i="2"/>
  <c r="G1650" i="2"/>
  <c r="F1650" i="2"/>
  <c r="D1650" i="2"/>
  <c r="B1650" i="2"/>
  <c r="H1649" i="2"/>
  <c r="G1649" i="2"/>
  <c r="F1649" i="2"/>
  <c r="D1649" i="2"/>
  <c r="B1649" i="2"/>
  <c r="H1648" i="2"/>
  <c r="G1648" i="2"/>
  <c r="F1648" i="2"/>
  <c r="D1648" i="2"/>
  <c r="B1648" i="2"/>
  <c r="H1647" i="2"/>
  <c r="G1647" i="2"/>
  <c r="F1647" i="2"/>
  <c r="D1647" i="2"/>
  <c r="B1647" i="2"/>
  <c r="H1646" i="2"/>
  <c r="G1646" i="2"/>
  <c r="F1646" i="2"/>
  <c r="D1646" i="2"/>
  <c r="B1646" i="2"/>
  <c r="H1645" i="2"/>
  <c r="G1645" i="2"/>
  <c r="F1645" i="2"/>
  <c r="D1645" i="2"/>
  <c r="B1645" i="2"/>
  <c r="H1644" i="2"/>
  <c r="G1644" i="2"/>
  <c r="F1644" i="2"/>
  <c r="D1644" i="2"/>
  <c r="B1644" i="2"/>
  <c r="H1643" i="2"/>
  <c r="G1643" i="2"/>
  <c r="F1643" i="2"/>
  <c r="D1643" i="2"/>
  <c r="B1643" i="2"/>
  <c r="H1642" i="2"/>
  <c r="G1642" i="2"/>
  <c r="F1642" i="2"/>
  <c r="D1642" i="2"/>
  <c r="B1642" i="2"/>
  <c r="H1641" i="2"/>
  <c r="G1641" i="2"/>
  <c r="F1641" i="2"/>
  <c r="D1641" i="2"/>
  <c r="B1641" i="2"/>
  <c r="H1640" i="2"/>
  <c r="G1640" i="2"/>
  <c r="F1640" i="2"/>
  <c r="D1640" i="2"/>
  <c r="B1640" i="2"/>
  <c r="H1639" i="2"/>
  <c r="G1639" i="2"/>
  <c r="F1639" i="2"/>
  <c r="D1639" i="2"/>
  <c r="B1639" i="2"/>
  <c r="H1638" i="2"/>
  <c r="G1638" i="2"/>
  <c r="F1638" i="2"/>
  <c r="D1638" i="2"/>
  <c r="B1638" i="2"/>
  <c r="H1637" i="2"/>
  <c r="G1637" i="2"/>
  <c r="F1637" i="2"/>
  <c r="D1637" i="2"/>
  <c r="B1637" i="2"/>
  <c r="H1636" i="2"/>
  <c r="G1636" i="2"/>
  <c r="F1636" i="2"/>
  <c r="D1636" i="2"/>
  <c r="B1636" i="2"/>
  <c r="H1635" i="2"/>
  <c r="G1635" i="2"/>
  <c r="F1635" i="2"/>
  <c r="D1635" i="2"/>
  <c r="B1635" i="2"/>
  <c r="H1634" i="2"/>
  <c r="G1634" i="2"/>
  <c r="F1634" i="2"/>
  <c r="D1634" i="2"/>
  <c r="B1634" i="2"/>
  <c r="H1633" i="2"/>
  <c r="G1633" i="2"/>
  <c r="F1633" i="2"/>
  <c r="D1633" i="2"/>
  <c r="B1633" i="2"/>
  <c r="H1632" i="2"/>
  <c r="G1632" i="2"/>
  <c r="F1632" i="2"/>
  <c r="D1632" i="2"/>
  <c r="B1632" i="2"/>
  <c r="H1631" i="2"/>
  <c r="G1631" i="2"/>
  <c r="F1631" i="2"/>
  <c r="D1631" i="2"/>
  <c r="B1631" i="2"/>
  <c r="H1630" i="2"/>
  <c r="G1630" i="2"/>
  <c r="F1630" i="2"/>
  <c r="D1630" i="2"/>
  <c r="B1630" i="2"/>
  <c r="H1629" i="2"/>
  <c r="G1629" i="2"/>
  <c r="F1629" i="2"/>
  <c r="D1629" i="2"/>
  <c r="B1629" i="2"/>
  <c r="H1628" i="2"/>
  <c r="G1628" i="2"/>
  <c r="F1628" i="2"/>
  <c r="D1628" i="2"/>
  <c r="B1628" i="2"/>
  <c r="H1627" i="2"/>
  <c r="G1627" i="2"/>
  <c r="F1627" i="2"/>
  <c r="D1627" i="2"/>
  <c r="B1627" i="2"/>
  <c r="H1626" i="2"/>
  <c r="G1626" i="2"/>
  <c r="F1626" i="2"/>
  <c r="D1626" i="2"/>
  <c r="B1626" i="2"/>
  <c r="H1625" i="2"/>
  <c r="G1625" i="2"/>
  <c r="F1625" i="2"/>
  <c r="D1625" i="2"/>
  <c r="B1625" i="2"/>
  <c r="H1624" i="2"/>
  <c r="G1624" i="2"/>
  <c r="F1624" i="2"/>
  <c r="D1624" i="2"/>
  <c r="B1624" i="2"/>
  <c r="H1623" i="2"/>
  <c r="G1623" i="2"/>
  <c r="F1623" i="2"/>
  <c r="D1623" i="2"/>
  <c r="B1623" i="2"/>
  <c r="H1622" i="2"/>
  <c r="G1622" i="2"/>
  <c r="F1622" i="2"/>
  <c r="D1622" i="2"/>
  <c r="B1622" i="2"/>
  <c r="H1621" i="2"/>
  <c r="G1621" i="2"/>
  <c r="F1621" i="2"/>
  <c r="D1621" i="2"/>
  <c r="B1621" i="2"/>
  <c r="H1620" i="2"/>
  <c r="G1620" i="2"/>
  <c r="F1620" i="2"/>
  <c r="D1620" i="2"/>
  <c r="B1620" i="2"/>
  <c r="H1619" i="2"/>
  <c r="G1619" i="2"/>
  <c r="F1619" i="2"/>
  <c r="D1619" i="2"/>
  <c r="B1619" i="2"/>
  <c r="H1618" i="2"/>
  <c r="G1618" i="2"/>
  <c r="F1618" i="2"/>
  <c r="D1618" i="2"/>
  <c r="B1618" i="2"/>
  <c r="H1617" i="2"/>
  <c r="G1617" i="2"/>
  <c r="F1617" i="2"/>
  <c r="D1617" i="2"/>
  <c r="B1617" i="2"/>
  <c r="H1616" i="2"/>
  <c r="G1616" i="2"/>
  <c r="F1616" i="2"/>
  <c r="D1616" i="2"/>
  <c r="B1616" i="2"/>
  <c r="H1615" i="2"/>
  <c r="G1615" i="2"/>
  <c r="F1615" i="2"/>
  <c r="D1615" i="2"/>
  <c r="B1615" i="2"/>
  <c r="H1614" i="2"/>
  <c r="G1614" i="2"/>
  <c r="F1614" i="2"/>
  <c r="D1614" i="2"/>
  <c r="B1614" i="2"/>
  <c r="H1613" i="2"/>
  <c r="G1613" i="2"/>
  <c r="F1613" i="2"/>
  <c r="D1613" i="2"/>
  <c r="B1613" i="2"/>
  <c r="H1612" i="2"/>
  <c r="G1612" i="2"/>
  <c r="F1612" i="2"/>
  <c r="D1612" i="2"/>
  <c r="B1612" i="2"/>
  <c r="H1611" i="2"/>
  <c r="G1611" i="2"/>
  <c r="F1611" i="2"/>
  <c r="D1611" i="2"/>
  <c r="B1611" i="2"/>
  <c r="H1610" i="2"/>
  <c r="G1610" i="2"/>
  <c r="F1610" i="2"/>
  <c r="D1610" i="2"/>
  <c r="B1610" i="2"/>
  <c r="H1609" i="2"/>
  <c r="G1609" i="2"/>
  <c r="F1609" i="2"/>
  <c r="D1609" i="2"/>
  <c r="B1609" i="2"/>
  <c r="H1608" i="2"/>
  <c r="G1608" i="2"/>
  <c r="F1608" i="2"/>
  <c r="D1608" i="2"/>
  <c r="B1608" i="2"/>
  <c r="H1607" i="2"/>
  <c r="G1607" i="2"/>
  <c r="F1607" i="2"/>
  <c r="D1607" i="2"/>
  <c r="B1607" i="2"/>
  <c r="H1606" i="2"/>
  <c r="G1606" i="2"/>
  <c r="F1606" i="2"/>
  <c r="D1606" i="2"/>
  <c r="B1606" i="2"/>
  <c r="H1605" i="2"/>
  <c r="G1605" i="2"/>
  <c r="F1605" i="2"/>
  <c r="D1605" i="2"/>
  <c r="B1605" i="2"/>
  <c r="H1604" i="2"/>
  <c r="G1604" i="2"/>
  <c r="F1604" i="2"/>
  <c r="D1604" i="2"/>
  <c r="B1604" i="2"/>
  <c r="H1603" i="2"/>
  <c r="G1603" i="2"/>
  <c r="F1603" i="2"/>
  <c r="D1603" i="2"/>
  <c r="B1603" i="2"/>
  <c r="H1602" i="2"/>
  <c r="G1602" i="2"/>
  <c r="F1602" i="2"/>
  <c r="D1602" i="2"/>
  <c r="B1602" i="2"/>
  <c r="H1601" i="2"/>
  <c r="G1601" i="2"/>
  <c r="F1601" i="2"/>
  <c r="D1601" i="2"/>
  <c r="B1601" i="2"/>
  <c r="H1600" i="2"/>
  <c r="G1600" i="2"/>
  <c r="F1600" i="2"/>
  <c r="D1600" i="2"/>
  <c r="B1600" i="2"/>
  <c r="H1599" i="2"/>
  <c r="G1599" i="2"/>
  <c r="F1599" i="2"/>
  <c r="D1599" i="2"/>
  <c r="B1599" i="2"/>
  <c r="H1598" i="2"/>
  <c r="G1598" i="2"/>
  <c r="F1598" i="2"/>
  <c r="D1598" i="2"/>
  <c r="B1598" i="2"/>
  <c r="H1597" i="2"/>
  <c r="G1597" i="2"/>
  <c r="F1597" i="2"/>
  <c r="D1597" i="2"/>
  <c r="B1597" i="2"/>
  <c r="H1596" i="2"/>
  <c r="G1596" i="2"/>
  <c r="F1596" i="2"/>
  <c r="D1596" i="2"/>
  <c r="B1596" i="2"/>
  <c r="H1595" i="2"/>
  <c r="G1595" i="2"/>
  <c r="F1595" i="2"/>
  <c r="D1595" i="2"/>
  <c r="B1595" i="2"/>
  <c r="H1594" i="2"/>
  <c r="G1594" i="2"/>
  <c r="F1594" i="2"/>
  <c r="D1594" i="2"/>
  <c r="B1594" i="2"/>
  <c r="H1593" i="2"/>
  <c r="G1593" i="2"/>
  <c r="F1593" i="2"/>
  <c r="D1593" i="2"/>
  <c r="B1593" i="2"/>
  <c r="H1592" i="2"/>
  <c r="G1592" i="2"/>
  <c r="F1592" i="2"/>
  <c r="D1592" i="2"/>
  <c r="B1592" i="2"/>
  <c r="H1591" i="2"/>
  <c r="G1591" i="2"/>
  <c r="F1591" i="2"/>
  <c r="D1591" i="2"/>
  <c r="B1591" i="2"/>
  <c r="H1590" i="2"/>
  <c r="G1590" i="2"/>
  <c r="F1590" i="2"/>
  <c r="D1590" i="2"/>
  <c r="B1590" i="2"/>
  <c r="H1589" i="2"/>
  <c r="G1589" i="2"/>
  <c r="F1589" i="2"/>
  <c r="D1589" i="2"/>
  <c r="B1589" i="2"/>
  <c r="H1588" i="2"/>
  <c r="G1588" i="2"/>
  <c r="F1588" i="2"/>
  <c r="D1588" i="2"/>
  <c r="B1588" i="2"/>
  <c r="H1587" i="2"/>
  <c r="G1587" i="2"/>
  <c r="F1587" i="2"/>
  <c r="D1587" i="2"/>
  <c r="B1587" i="2"/>
  <c r="H1586" i="2"/>
  <c r="G1586" i="2"/>
  <c r="F1586" i="2"/>
  <c r="D1586" i="2"/>
  <c r="B1586" i="2"/>
  <c r="H1585" i="2"/>
  <c r="G1585" i="2"/>
  <c r="F1585" i="2"/>
  <c r="D1585" i="2"/>
  <c r="B1585" i="2"/>
  <c r="H1584" i="2"/>
  <c r="G1584" i="2"/>
  <c r="F1584" i="2"/>
  <c r="D1584" i="2"/>
  <c r="B1584" i="2"/>
  <c r="H1583" i="2"/>
  <c r="G1583" i="2"/>
  <c r="F1583" i="2"/>
  <c r="D1583" i="2"/>
  <c r="B1583" i="2"/>
  <c r="H1582" i="2"/>
  <c r="G1582" i="2"/>
  <c r="F1582" i="2"/>
  <c r="D1582" i="2"/>
  <c r="B1582" i="2"/>
  <c r="H1581" i="2"/>
  <c r="G1581" i="2"/>
  <c r="F1581" i="2"/>
  <c r="D1581" i="2"/>
  <c r="B1581" i="2"/>
  <c r="H1580" i="2"/>
  <c r="G1580" i="2"/>
  <c r="F1580" i="2"/>
  <c r="D1580" i="2"/>
  <c r="B1580" i="2"/>
  <c r="H1579" i="2"/>
  <c r="G1579" i="2"/>
  <c r="F1579" i="2"/>
  <c r="D1579" i="2"/>
  <c r="B1579" i="2"/>
  <c r="H1578" i="2"/>
  <c r="G1578" i="2"/>
  <c r="F1578" i="2"/>
  <c r="D1578" i="2"/>
  <c r="B1578" i="2"/>
  <c r="H1577" i="2"/>
  <c r="G1577" i="2"/>
  <c r="F1577" i="2"/>
  <c r="D1577" i="2"/>
  <c r="B1577" i="2"/>
  <c r="H1576" i="2"/>
  <c r="G1576" i="2"/>
  <c r="F1576" i="2"/>
  <c r="D1576" i="2"/>
  <c r="B1576" i="2"/>
  <c r="H1575" i="2"/>
  <c r="G1575" i="2"/>
  <c r="F1575" i="2"/>
  <c r="D1575" i="2"/>
  <c r="B1575" i="2"/>
  <c r="H1574" i="2"/>
  <c r="G1574" i="2"/>
  <c r="F1574" i="2"/>
  <c r="D1574" i="2"/>
  <c r="B1574" i="2"/>
  <c r="H1573" i="2"/>
  <c r="G1573" i="2"/>
  <c r="F1573" i="2"/>
  <c r="D1573" i="2"/>
  <c r="B1573" i="2"/>
  <c r="H1572" i="2"/>
  <c r="G1572" i="2"/>
  <c r="F1572" i="2"/>
  <c r="D1572" i="2"/>
  <c r="B1572" i="2"/>
  <c r="H1571" i="2"/>
  <c r="G1571" i="2"/>
  <c r="F1571" i="2"/>
  <c r="D1571" i="2"/>
  <c r="B1571" i="2"/>
  <c r="H1570" i="2"/>
  <c r="G1570" i="2"/>
  <c r="F1570" i="2"/>
  <c r="D1570" i="2"/>
  <c r="B1570" i="2"/>
  <c r="H1569" i="2"/>
  <c r="G1569" i="2"/>
  <c r="F1569" i="2"/>
  <c r="D1569" i="2"/>
  <c r="B1569" i="2"/>
  <c r="H1568" i="2"/>
  <c r="G1568" i="2"/>
  <c r="F1568" i="2"/>
  <c r="D1568" i="2"/>
  <c r="B1568" i="2"/>
  <c r="H1567" i="2"/>
  <c r="G1567" i="2"/>
  <c r="F1567" i="2"/>
  <c r="D1567" i="2"/>
  <c r="B1567" i="2"/>
  <c r="H1566" i="2"/>
  <c r="G1566" i="2"/>
  <c r="F1566" i="2"/>
  <c r="D1566" i="2"/>
  <c r="B1566" i="2"/>
  <c r="H1565" i="2"/>
  <c r="G1565" i="2"/>
  <c r="F1565" i="2"/>
  <c r="D1565" i="2"/>
  <c r="B1565" i="2"/>
  <c r="H1564" i="2"/>
  <c r="G1564" i="2"/>
  <c r="F1564" i="2"/>
  <c r="D1564" i="2"/>
  <c r="B1564" i="2"/>
  <c r="H1563" i="2"/>
  <c r="G1563" i="2"/>
  <c r="F1563" i="2"/>
  <c r="D1563" i="2"/>
  <c r="B1563" i="2"/>
  <c r="H1562" i="2"/>
  <c r="G1562" i="2"/>
  <c r="F1562" i="2"/>
  <c r="D1562" i="2"/>
  <c r="B1562" i="2"/>
  <c r="H1561" i="2"/>
  <c r="G1561" i="2"/>
  <c r="F1561" i="2"/>
  <c r="D1561" i="2"/>
  <c r="B1561" i="2"/>
  <c r="H1560" i="2"/>
  <c r="G1560" i="2"/>
  <c r="F1560" i="2"/>
  <c r="D1560" i="2"/>
  <c r="B1560" i="2"/>
  <c r="H1559" i="2"/>
  <c r="G1559" i="2"/>
  <c r="F1559" i="2"/>
  <c r="D1559" i="2"/>
  <c r="B1559" i="2"/>
  <c r="H1558" i="2"/>
  <c r="G1558" i="2"/>
  <c r="F1558" i="2"/>
  <c r="D1558" i="2"/>
  <c r="B1558" i="2"/>
  <c r="H1557" i="2"/>
  <c r="G1557" i="2"/>
  <c r="F1557" i="2"/>
  <c r="D1557" i="2"/>
  <c r="B1557" i="2"/>
  <c r="H1556" i="2"/>
  <c r="G1556" i="2"/>
  <c r="F1556" i="2"/>
  <c r="D1556" i="2"/>
  <c r="B1556" i="2"/>
  <c r="H1555" i="2"/>
  <c r="G1555" i="2"/>
  <c r="F1555" i="2"/>
  <c r="D1555" i="2"/>
  <c r="B1555" i="2"/>
  <c r="H1554" i="2"/>
  <c r="G1554" i="2"/>
  <c r="F1554" i="2"/>
  <c r="D1554" i="2"/>
  <c r="B1554" i="2"/>
  <c r="H1553" i="2"/>
  <c r="G1553" i="2"/>
  <c r="F1553" i="2"/>
  <c r="D1553" i="2"/>
  <c r="B1553" i="2"/>
  <c r="H1552" i="2"/>
  <c r="G1552" i="2"/>
  <c r="F1552" i="2"/>
  <c r="D1552" i="2"/>
  <c r="B1552" i="2"/>
  <c r="H1551" i="2"/>
  <c r="G1551" i="2"/>
  <c r="F1551" i="2"/>
  <c r="D1551" i="2"/>
  <c r="B1551" i="2"/>
  <c r="H1550" i="2"/>
  <c r="G1550" i="2"/>
  <c r="F1550" i="2"/>
  <c r="D1550" i="2"/>
  <c r="B1550" i="2"/>
  <c r="H1549" i="2"/>
  <c r="G1549" i="2"/>
  <c r="F1549" i="2"/>
  <c r="D1549" i="2"/>
  <c r="B1549" i="2"/>
  <c r="H1548" i="2"/>
  <c r="G1548" i="2"/>
  <c r="F1548" i="2"/>
  <c r="D1548" i="2"/>
  <c r="B1548" i="2"/>
  <c r="H1547" i="2"/>
  <c r="G1547" i="2"/>
  <c r="F1547" i="2"/>
  <c r="D1547" i="2"/>
  <c r="B1547" i="2"/>
  <c r="H1546" i="2"/>
  <c r="G1546" i="2"/>
  <c r="F1546" i="2"/>
  <c r="D1546" i="2"/>
  <c r="B1546" i="2"/>
  <c r="H1545" i="2"/>
  <c r="G1545" i="2"/>
  <c r="F1545" i="2"/>
  <c r="D1545" i="2"/>
  <c r="B1545" i="2"/>
  <c r="H1544" i="2"/>
  <c r="G1544" i="2"/>
  <c r="F1544" i="2"/>
  <c r="D1544" i="2"/>
  <c r="B1544" i="2"/>
  <c r="H1543" i="2"/>
  <c r="G1543" i="2"/>
  <c r="F1543" i="2"/>
  <c r="D1543" i="2"/>
  <c r="B1543" i="2"/>
  <c r="H1542" i="2"/>
  <c r="G1542" i="2"/>
  <c r="F1542" i="2"/>
  <c r="D1542" i="2"/>
  <c r="B1542" i="2"/>
  <c r="H1541" i="2"/>
  <c r="G1541" i="2"/>
  <c r="F1541" i="2"/>
  <c r="D1541" i="2"/>
  <c r="B1541" i="2"/>
  <c r="H1540" i="2"/>
  <c r="G1540" i="2"/>
  <c r="F1540" i="2"/>
  <c r="D1540" i="2"/>
  <c r="B1540" i="2"/>
  <c r="H1539" i="2"/>
  <c r="G1539" i="2"/>
  <c r="F1539" i="2"/>
  <c r="D1539" i="2"/>
  <c r="B1539" i="2"/>
  <c r="H1538" i="2"/>
  <c r="G1538" i="2"/>
  <c r="F1538" i="2"/>
  <c r="D1538" i="2"/>
  <c r="B1538" i="2"/>
  <c r="H1537" i="2"/>
  <c r="G1537" i="2"/>
  <c r="F1537" i="2"/>
  <c r="D1537" i="2"/>
  <c r="B1537" i="2"/>
  <c r="H1536" i="2"/>
  <c r="G1536" i="2"/>
  <c r="F1536" i="2"/>
  <c r="D1536" i="2"/>
  <c r="B1536" i="2"/>
  <c r="H1535" i="2"/>
  <c r="G1535" i="2"/>
  <c r="F1535" i="2"/>
  <c r="D1535" i="2"/>
  <c r="B1535" i="2"/>
  <c r="H1534" i="2"/>
  <c r="G1534" i="2"/>
  <c r="F1534" i="2"/>
  <c r="D1534" i="2"/>
  <c r="B1534" i="2"/>
  <c r="H1533" i="2"/>
  <c r="G1533" i="2"/>
  <c r="F1533" i="2"/>
  <c r="D1533" i="2"/>
  <c r="B1533" i="2"/>
  <c r="H1532" i="2"/>
  <c r="G1532" i="2"/>
  <c r="F1532" i="2"/>
  <c r="D1532" i="2"/>
  <c r="B1532" i="2"/>
  <c r="H1531" i="2"/>
  <c r="G1531" i="2"/>
  <c r="F1531" i="2"/>
  <c r="D1531" i="2"/>
  <c r="B1531" i="2"/>
  <c r="H1530" i="2"/>
  <c r="G1530" i="2"/>
  <c r="F1530" i="2"/>
  <c r="D1530" i="2"/>
  <c r="B1530" i="2"/>
  <c r="H1529" i="2"/>
  <c r="G1529" i="2"/>
  <c r="F1529" i="2"/>
  <c r="D1529" i="2"/>
  <c r="B1529" i="2"/>
  <c r="H1528" i="2"/>
  <c r="G1528" i="2"/>
  <c r="F1528" i="2"/>
  <c r="D1528" i="2"/>
  <c r="B1528" i="2"/>
  <c r="H1527" i="2"/>
  <c r="G1527" i="2"/>
  <c r="F1527" i="2"/>
  <c r="D1527" i="2"/>
  <c r="B1527" i="2"/>
  <c r="H1526" i="2"/>
  <c r="G1526" i="2"/>
  <c r="F1526" i="2"/>
  <c r="D1526" i="2"/>
  <c r="B1526" i="2"/>
  <c r="H1525" i="2"/>
  <c r="G1525" i="2"/>
  <c r="F1525" i="2"/>
  <c r="D1525" i="2"/>
  <c r="B1525" i="2"/>
  <c r="H1524" i="2"/>
  <c r="G1524" i="2"/>
  <c r="F1524" i="2"/>
  <c r="D1524" i="2"/>
  <c r="B1524" i="2"/>
  <c r="H1523" i="2"/>
  <c r="G1523" i="2"/>
  <c r="F1523" i="2"/>
  <c r="D1523" i="2"/>
  <c r="B1523" i="2"/>
  <c r="H1522" i="2"/>
  <c r="G1522" i="2"/>
  <c r="F1522" i="2"/>
  <c r="D1522" i="2"/>
  <c r="B1522" i="2"/>
  <c r="H1521" i="2"/>
  <c r="G1521" i="2"/>
  <c r="F1521" i="2"/>
  <c r="D1521" i="2"/>
  <c r="B1521" i="2"/>
  <c r="H1520" i="2"/>
  <c r="G1520" i="2"/>
  <c r="F1520" i="2"/>
  <c r="D1520" i="2"/>
  <c r="B1520" i="2"/>
  <c r="H1519" i="2"/>
  <c r="G1519" i="2"/>
  <c r="F1519" i="2"/>
  <c r="D1519" i="2"/>
  <c r="B1519" i="2"/>
  <c r="H1518" i="2"/>
  <c r="G1518" i="2"/>
  <c r="F1518" i="2"/>
  <c r="D1518" i="2"/>
  <c r="B1518" i="2"/>
  <c r="H1517" i="2"/>
  <c r="G1517" i="2"/>
  <c r="F1517" i="2"/>
  <c r="D1517" i="2"/>
  <c r="B1517" i="2"/>
  <c r="H1516" i="2"/>
  <c r="G1516" i="2"/>
  <c r="F1516" i="2"/>
  <c r="D1516" i="2"/>
  <c r="B1516" i="2"/>
  <c r="H1515" i="2"/>
  <c r="G1515" i="2"/>
  <c r="F1515" i="2"/>
  <c r="D1515" i="2"/>
  <c r="B1515" i="2"/>
  <c r="H1514" i="2"/>
  <c r="G1514" i="2"/>
  <c r="F1514" i="2"/>
  <c r="D1514" i="2"/>
  <c r="B1514" i="2"/>
  <c r="H1513" i="2"/>
  <c r="G1513" i="2"/>
  <c r="F1513" i="2"/>
  <c r="D1513" i="2"/>
  <c r="B1513" i="2"/>
  <c r="H1512" i="2"/>
  <c r="G1512" i="2"/>
  <c r="F1512" i="2"/>
  <c r="D1512" i="2"/>
  <c r="B1512" i="2"/>
  <c r="H1511" i="2"/>
  <c r="G1511" i="2"/>
  <c r="F1511" i="2"/>
  <c r="D1511" i="2"/>
  <c r="B1511" i="2"/>
  <c r="H1510" i="2"/>
  <c r="G1510" i="2"/>
  <c r="F1510" i="2"/>
  <c r="D1510" i="2"/>
  <c r="B1510" i="2"/>
  <c r="H1509" i="2"/>
  <c r="G1509" i="2"/>
  <c r="F1509" i="2"/>
  <c r="D1509" i="2"/>
  <c r="B1509" i="2"/>
  <c r="H1508" i="2"/>
  <c r="G1508" i="2"/>
  <c r="F1508" i="2"/>
  <c r="D1508" i="2"/>
  <c r="B1508" i="2"/>
  <c r="H1507" i="2"/>
  <c r="G1507" i="2"/>
  <c r="F1507" i="2"/>
  <c r="D1507" i="2"/>
  <c r="B1507" i="2"/>
  <c r="H1506" i="2"/>
  <c r="G1506" i="2"/>
  <c r="F1506" i="2"/>
  <c r="D1506" i="2"/>
  <c r="B1506" i="2"/>
  <c r="H1505" i="2"/>
  <c r="G1505" i="2"/>
  <c r="F1505" i="2"/>
  <c r="D1505" i="2"/>
  <c r="B1505" i="2"/>
  <c r="H1504" i="2"/>
  <c r="G1504" i="2"/>
  <c r="F1504" i="2"/>
  <c r="D1504" i="2"/>
  <c r="B1504" i="2"/>
  <c r="H1503" i="2"/>
  <c r="G1503" i="2"/>
  <c r="F1503" i="2"/>
  <c r="D1503" i="2"/>
  <c r="B1503" i="2"/>
  <c r="H1502" i="2"/>
  <c r="G1502" i="2"/>
  <c r="F1502" i="2"/>
  <c r="D1502" i="2"/>
  <c r="B1502" i="2"/>
  <c r="H1501" i="2"/>
  <c r="G1501" i="2"/>
  <c r="F1501" i="2"/>
  <c r="D1501" i="2"/>
  <c r="B1501" i="2"/>
  <c r="H1500" i="2"/>
  <c r="G1500" i="2"/>
  <c r="F1500" i="2"/>
  <c r="D1500" i="2"/>
  <c r="B1500" i="2"/>
  <c r="H1499" i="2"/>
  <c r="G1499" i="2"/>
  <c r="F1499" i="2"/>
  <c r="D1499" i="2"/>
  <c r="B1499" i="2"/>
  <c r="H1498" i="2"/>
  <c r="G1498" i="2"/>
  <c r="F1498" i="2"/>
  <c r="D1498" i="2"/>
  <c r="B1498" i="2"/>
  <c r="H1497" i="2"/>
  <c r="G1497" i="2"/>
  <c r="F1497" i="2"/>
  <c r="D1497" i="2"/>
  <c r="B1497" i="2"/>
  <c r="H1496" i="2"/>
  <c r="G1496" i="2"/>
  <c r="F1496" i="2"/>
  <c r="D1496" i="2"/>
  <c r="B1496" i="2"/>
  <c r="H1495" i="2"/>
  <c r="G1495" i="2"/>
  <c r="F1495" i="2"/>
  <c r="D1495" i="2"/>
  <c r="B1495" i="2"/>
  <c r="H1494" i="2"/>
  <c r="G1494" i="2"/>
  <c r="F1494" i="2"/>
  <c r="D1494" i="2"/>
  <c r="B1494" i="2"/>
  <c r="H1493" i="2"/>
  <c r="G1493" i="2"/>
  <c r="F1493" i="2"/>
  <c r="D1493" i="2"/>
  <c r="B1493" i="2"/>
  <c r="H1492" i="2"/>
  <c r="G1492" i="2"/>
  <c r="F1492" i="2"/>
  <c r="D1492" i="2"/>
  <c r="B1492" i="2"/>
  <c r="H1491" i="2"/>
  <c r="G1491" i="2"/>
  <c r="F1491" i="2"/>
  <c r="D1491" i="2"/>
  <c r="B1491" i="2"/>
  <c r="H1490" i="2"/>
  <c r="G1490" i="2"/>
  <c r="F1490" i="2"/>
  <c r="D1490" i="2"/>
  <c r="B1490" i="2"/>
  <c r="H1489" i="2"/>
  <c r="G1489" i="2"/>
  <c r="F1489" i="2"/>
  <c r="D1489" i="2"/>
  <c r="B1489" i="2"/>
  <c r="H1488" i="2"/>
  <c r="G1488" i="2"/>
  <c r="F1488" i="2"/>
  <c r="D1488" i="2"/>
  <c r="B1488" i="2"/>
  <c r="H1487" i="2"/>
  <c r="G1487" i="2"/>
  <c r="F1487" i="2"/>
  <c r="D1487" i="2"/>
  <c r="B1487" i="2"/>
  <c r="H1486" i="2"/>
  <c r="G1486" i="2"/>
  <c r="F1486" i="2"/>
  <c r="D1486" i="2"/>
  <c r="B1486" i="2"/>
  <c r="H1485" i="2"/>
  <c r="G1485" i="2"/>
  <c r="F1485" i="2"/>
  <c r="D1485" i="2"/>
  <c r="B1485" i="2"/>
  <c r="H1484" i="2"/>
  <c r="G1484" i="2"/>
  <c r="F1484" i="2"/>
  <c r="D1484" i="2"/>
  <c r="B1484" i="2"/>
  <c r="H1483" i="2"/>
  <c r="G1483" i="2"/>
  <c r="F1483" i="2"/>
  <c r="D1483" i="2"/>
  <c r="B1483" i="2"/>
  <c r="H1482" i="2"/>
  <c r="G1482" i="2"/>
  <c r="F1482" i="2"/>
  <c r="D1482" i="2"/>
  <c r="B1482" i="2"/>
  <c r="H1481" i="2"/>
  <c r="G1481" i="2"/>
  <c r="F1481" i="2"/>
  <c r="D1481" i="2"/>
  <c r="B1481" i="2"/>
  <c r="H1480" i="2"/>
  <c r="G1480" i="2"/>
  <c r="F1480" i="2"/>
  <c r="D1480" i="2"/>
  <c r="B1480" i="2"/>
  <c r="H1479" i="2"/>
  <c r="G1479" i="2"/>
  <c r="F1479" i="2"/>
  <c r="D1479" i="2"/>
  <c r="B1479" i="2"/>
  <c r="H1478" i="2"/>
  <c r="G1478" i="2"/>
  <c r="F1478" i="2"/>
  <c r="D1478" i="2"/>
  <c r="B1478" i="2"/>
  <c r="H1477" i="2"/>
  <c r="G1477" i="2"/>
  <c r="F1477" i="2"/>
  <c r="D1477" i="2"/>
  <c r="B1477" i="2"/>
  <c r="H1476" i="2"/>
  <c r="G1476" i="2"/>
  <c r="F1476" i="2"/>
  <c r="D1476" i="2"/>
  <c r="B1476" i="2"/>
  <c r="H1475" i="2"/>
  <c r="G1475" i="2"/>
  <c r="F1475" i="2"/>
  <c r="D1475" i="2"/>
  <c r="B1475" i="2"/>
  <c r="H1474" i="2"/>
  <c r="G1474" i="2"/>
  <c r="F1474" i="2"/>
  <c r="D1474" i="2"/>
  <c r="B1474" i="2"/>
  <c r="H1473" i="2"/>
  <c r="G1473" i="2"/>
  <c r="F1473" i="2"/>
  <c r="D1473" i="2"/>
  <c r="B1473" i="2"/>
  <c r="H1472" i="2"/>
  <c r="G1472" i="2"/>
  <c r="F1472" i="2"/>
  <c r="D1472" i="2"/>
  <c r="B1472" i="2"/>
  <c r="H1471" i="2"/>
  <c r="G1471" i="2"/>
  <c r="F1471" i="2"/>
  <c r="D1471" i="2"/>
  <c r="B1471" i="2"/>
  <c r="H1470" i="2"/>
  <c r="G1470" i="2"/>
  <c r="F1470" i="2"/>
  <c r="D1470" i="2"/>
  <c r="B1470" i="2"/>
  <c r="H1469" i="2"/>
  <c r="G1469" i="2"/>
  <c r="F1469" i="2"/>
  <c r="D1469" i="2"/>
  <c r="B1469" i="2"/>
  <c r="H1468" i="2"/>
  <c r="G1468" i="2"/>
  <c r="F1468" i="2"/>
  <c r="D1468" i="2"/>
  <c r="B1468" i="2"/>
  <c r="H1467" i="2"/>
  <c r="G1467" i="2"/>
  <c r="F1467" i="2"/>
  <c r="D1467" i="2"/>
  <c r="B1467" i="2"/>
  <c r="H1466" i="2"/>
  <c r="G1466" i="2"/>
  <c r="F1466" i="2"/>
  <c r="D1466" i="2"/>
  <c r="B1466" i="2"/>
  <c r="H1465" i="2"/>
  <c r="G1465" i="2"/>
  <c r="F1465" i="2"/>
  <c r="D1465" i="2"/>
  <c r="B1465" i="2"/>
  <c r="H1464" i="2"/>
  <c r="G1464" i="2"/>
  <c r="F1464" i="2"/>
  <c r="D1464" i="2"/>
  <c r="B1464" i="2"/>
  <c r="H1463" i="2"/>
  <c r="G1463" i="2"/>
  <c r="F1463" i="2"/>
  <c r="D1463" i="2"/>
  <c r="B1463" i="2"/>
  <c r="H1462" i="2"/>
  <c r="G1462" i="2"/>
  <c r="F1462" i="2"/>
  <c r="D1462" i="2"/>
  <c r="B1462" i="2"/>
  <c r="H1461" i="2"/>
  <c r="G1461" i="2"/>
  <c r="F1461" i="2"/>
  <c r="D1461" i="2"/>
  <c r="B1461" i="2"/>
  <c r="H1460" i="2"/>
  <c r="G1460" i="2"/>
  <c r="F1460" i="2"/>
  <c r="D1460" i="2"/>
  <c r="B1460" i="2"/>
  <c r="H1459" i="2"/>
  <c r="G1459" i="2"/>
  <c r="F1459" i="2"/>
  <c r="D1459" i="2"/>
  <c r="B1459" i="2"/>
  <c r="H1458" i="2"/>
  <c r="G1458" i="2"/>
  <c r="F1458" i="2"/>
  <c r="D1458" i="2"/>
  <c r="B1458" i="2"/>
  <c r="H1457" i="2"/>
  <c r="G1457" i="2"/>
  <c r="F1457" i="2"/>
  <c r="D1457" i="2"/>
  <c r="B1457" i="2"/>
  <c r="H1456" i="2"/>
  <c r="G1456" i="2"/>
  <c r="F1456" i="2"/>
  <c r="D1456" i="2"/>
  <c r="B1456" i="2"/>
  <c r="H1455" i="2"/>
  <c r="G1455" i="2"/>
  <c r="F1455" i="2"/>
  <c r="D1455" i="2"/>
  <c r="B1455" i="2"/>
  <c r="H1454" i="2"/>
  <c r="G1454" i="2"/>
  <c r="F1454" i="2"/>
  <c r="D1454" i="2"/>
  <c r="B1454" i="2"/>
  <c r="H1453" i="2"/>
  <c r="G1453" i="2"/>
  <c r="F1453" i="2"/>
  <c r="D1453" i="2"/>
  <c r="B1453" i="2"/>
  <c r="H1452" i="2"/>
  <c r="G1452" i="2"/>
  <c r="F1452" i="2"/>
  <c r="D1452" i="2"/>
  <c r="B1452" i="2"/>
  <c r="H1451" i="2"/>
  <c r="G1451" i="2"/>
  <c r="F1451" i="2"/>
  <c r="D1451" i="2"/>
  <c r="B1451" i="2"/>
  <c r="H1450" i="2"/>
  <c r="G1450" i="2"/>
  <c r="F1450" i="2"/>
  <c r="D1450" i="2"/>
  <c r="B1450" i="2"/>
  <c r="H1449" i="2"/>
  <c r="G1449" i="2"/>
  <c r="F1449" i="2"/>
  <c r="D1449" i="2"/>
  <c r="B1449" i="2"/>
  <c r="H1448" i="2"/>
  <c r="G1448" i="2"/>
  <c r="F1448" i="2"/>
  <c r="D1448" i="2"/>
  <c r="B1448" i="2"/>
  <c r="H1447" i="2"/>
  <c r="G1447" i="2"/>
  <c r="F1447" i="2"/>
  <c r="D1447" i="2"/>
  <c r="B1447" i="2"/>
  <c r="H1446" i="2"/>
  <c r="G1446" i="2"/>
  <c r="F1446" i="2"/>
  <c r="D1446" i="2"/>
  <c r="B1446" i="2"/>
  <c r="H1445" i="2"/>
  <c r="G1445" i="2"/>
  <c r="F1445" i="2"/>
  <c r="D1445" i="2"/>
  <c r="B1445" i="2"/>
  <c r="H1444" i="2"/>
  <c r="G1444" i="2"/>
  <c r="F1444" i="2"/>
  <c r="D1444" i="2"/>
  <c r="B1444" i="2"/>
  <c r="H1443" i="2"/>
  <c r="G1443" i="2"/>
  <c r="F1443" i="2"/>
  <c r="D1443" i="2"/>
  <c r="B1443" i="2"/>
  <c r="H1442" i="2"/>
  <c r="G1442" i="2"/>
  <c r="F1442" i="2"/>
  <c r="D1442" i="2"/>
  <c r="B1442" i="2"/>
  <c r="H1441" i="2"/>
  <c r="G1441" i="2"/>
  <c r="F1441" i="2"/>
  <c r="D1441" i="2"/>
  <c r="B1441" i="2"/>
  <c r="H1440" i="2"/>
  <c r="G1440" i="2"/>
  <c r="F1440" i="2"/>
  <c r="D1440" i="2"/>
  <c r="B1440" i="2"/>
  <c r="H1439" i="2"/>
  <c r="G1439" i="2"/>
  <c r="F1439" i="2"/>
  <c r="D1439" i="2"/>
  <c r="B1439" i="2"/>
  <c r="H1438" i="2"/>
  <c r="G1438" i="2"/>
  <c r="F1438" i="2"/>
  <c r="D1438" i="2"/>
  <c r="B1438" i="2"/>
  <c r="H1437" i="2"/>
  <c r="G1437" i="2"/>
  <c r="F1437" i="2"/>
  <c r="D1437" i="2"/>
  <c r="B1437" i="2"/>
  <c r="H1436" i="2"/>
  <c r="G1436" i="2"/>
  <c r="F1436" i="2"/>
  <c r="D1436" i="2"/>
  <c r="B1436" i="2"/>
  <c r="H1435" i="2"/>
  <c r="G1435" i="2"/>
  <c r="F1435" i="2"/>
  <c r="D1435" i="2"/>
  <c r="B1435" i="2"/>
  <c r="H1434" i="2"/>
  <c r="G1434" i="2"/>
  <c r="F1434" i="2"/>
  <c r="D1434" i="2"/>
  <c r="B1434" i="2"/>
  <c r="H1433" i="2"/>
  <c r="G1433" i="2"/>
  <c r="F1433" i="2"/>
  <c r="D1433" i="2"/>
  <c r="B1433" i="2"/>
  <c r="H1432" i="2"/>
  <c r="G1432" i="2"/>
  <c r="F1432" i="2"/>
  <c r="D1432" i="2"/>
  <c r="B1432" i="2"/>
  <c r="H1431" i="2"/>
  <c r="G1431" i="2"/>
  <c r="F1431" i="2"/>
  <c r="D1431" i="2"/>
  <c r="B1431" i="2"/>
  <c r="H1430" i="2"/>
  <c r="G1430" i="2"/>
  <c r="F1430" i="2"/>
  <c r="D1430" i="2"/>
  <c r="B1430" i="2"/>
  <c r="H1429" i="2"/>
  <c r="G1429" i="2"/>
  <c r="F1429" i="2"/>
  <c r="D1429" i="2"/>
  <c r="B1429" i="2"/>
  <c r="H1428" i="2"/>
  <c r="G1428" i="2"/>
  <c r="F1428" i="2"/>
  <c r="D1428" i="2"/>
  <c r="B1428" i="2"/>
  <c r="H1427" i="2"/>
  <c r="G1427" i="2"/>
  <c r="F1427" i="2"/>
  <c r="D1427" i="2"/>
  <c r="B1427" i="2"/>
  <c r="H1426" i="2"/>
  <c r="G1426" i="2"/>
  <c r="F1426" i="2"/>
  <c r="D1426" i="2"/>
  <c r="B1426" i="2"/>
  <c r="H1425" i="2"/>
  <c r="G1425" i="2"/>
  <c r="F1425" i="2"/>
  <c r="D1425" i="2"/>
  <c r="B1425" i="2"/>
  <c r="H1424" i="2"/>
  <c r="G1424" i="2"/>
  <c r="F1424" i="2"/>
  <c r="D1424" i="2"/>
  <c r="B1424" i="2"/>
  <c r="H1423" i="2"/>
  <c r="G1423" i="2"/>
  <c r="F1423" i="2"/>
  <c r="D1423" i="2"/>
  <c r="B1423" i="2"/>
  <c r="H1422" i="2"/>
  <c r="G1422" i="2"/>
  <c r="F1422" i="2"/>
  <c r="D1422" i="2"/>
  <c r="B1422" i="2"/>
  <c r="H1421" i="2"/>
  <c r="G1421" i="2"/>
  <c r="F1421" i="2"/>
  <c r="D1421" i="2"/>
  <c r="B1421" i="2"/>
  <c r="H1420" i="2"/>
  <c r="G1420" i="2"/>
  <c r="F1420" i="2"/>
  <c r="D1420" i="2"/>
  <c r="B1420" i="2"/>
  <c r="H1419" i="2"/>
  <c r="G1419" i="2"/>
  <c r="F1419" i="2"/>
  <c r="D1419" i="2"/>
  <c r="B1419" i="2"/>
  <c r="H1418" i="2"/>
  <c r="G1418" i="2"/>
  <c r="F1418" i="2"/>
  <c r="D1418" i="2"/>
  <c r="B1418" i="2"/>
  <c r="H1417" i="2"/>
  <c r="G1417" i="2"/>
  <c r="F1417" i="2"/>
  <c r="D1417" i="2"/>
  <c r="B1417" i="2"/>
  <c r="H1416" i="2"/>
  <c r="G1416" i="2"/>
  <c r="F1416" i="2"/>
  <c r="D1416" i="2"/>
  <c r="B1416" i="2"/>
  <c r="H1415" i="2"/>
  <c r="G1415" i="2"/>
  <c r="F1415" i="2"/>
  <c r="D1415" i="2"/>
  <c r="B1415" i="2"/>
  <c r="H1414" i="2"/>
  <c r="G1414" i="2"/>
  <c r="F1414" i="2"/>
  <c r="D1414" i="2"/>
  <c r="B1414" i="2"/>
  <c r="H1413" i="2"/>
  <c r="G1413" i="2"/>
  <c r="F1413" i="2"/>
  <c r="D1413" i="2"/>
  <c r="B1413" i="2"/>
  <c r="H1412" i="2"/>
  <c r="G1412" i="2"/>
  <c r="F1412" i="2"/>
  <c r="D1412" i="2"/>
  <c r="B1412" i="2"/>
  <c r="H1411" i="2"/>
  <c r="G1411" i="2"/>
  <c r="F1411" i="2"/>
  <c r="D1411" i="2"/>
  <c r="B1411" i="2"/>
  <c r="H1410" i="2"/>
  <c r="G1410" i="2"/>
  <c r="F1410" i="2"/>
  <c r="D1410" i="2"/>
  <c r="B1410" i="2"/>
  <c r="H1409" i="2"/>
  <c r="G1409" i="2"/>
  <c r="F1409" i="2"/>
  <c r="D1409" i="2"/>
  <c r="B1409" i="2"/>
  <c r="H1408" i="2"/>
  <c r="G1408" i="2"/>
  <c r="F1408" i="2"/>
  <c r="D1408" i="2"/>
  <c r="B1408" i="2"/>
  <c r="H1407" i="2"/>
  <c r="G1407" i="2"/>
  <c r="F1407" i="2"/>
  <c r="D1407" i="2"/>
  <c r="B1407" i="2"/>
  <c r="H1406" i="2"/>
  <c r="G1406" i="2"/>
  <c r="F1406" i="2"/>
  <c r="D1406" i="2"/>
  <c r="B1406" i="2"/>
  <c r="H1405" i="2"/>
  <c r="G1405" i="2"/>
  <c r="F1405" i="2"/>
  <c r="D1405" i="2"/>
  <c r="B1405" i="2"/>
  <c r="H1404" i="2"/>
  <c r="G1404" i="2"/>
  <c r="F1404" i="2"/>
  <c r="D1404" i="2"/>
  <c r="B1404" i="2"/>
  <c r="H1403" i="2"/>
  <c r="G1403" i="2"/>
  <c r="F1403" i="2"/>
  <c r="D1403" i="2"/>
  <c r="B1403" i="2"/>
  <c r="H1402" i="2"/>
  <c r="G1402" i="2"/>
  <c r="F1402" i="2"/>
  <c r="D1402" i="2"/>
  <c r="B1402" i="2"/>
  <c r="H1401" i="2"/>
  <c r="G1401" i="2"/>
  <c r="F1401" i="2"/>
  <c r="D1401" i="2"/>
  <c r="B1401" i="2"/>
  <c r="H1400" i="2"/>
  <c r="G1400" i="2"/>
  <c r="F1400" i="2"/>
  <c r="D1400" i="2"/>
  <c r="B1400" i="2"/>
  <c r="H1399" i="2"/>
  <c r="G1399" i="2"/>
  <c r="F1399" i="2"/>
  <c r="D1399" i="2"/>
  <c r="B1399" i="2"/>
  <c r="H1398" i="2"/>
  <c r="G1398" i="2"/>
  <c r="F1398" i="2"/>
  <c r="D1398" i="2"/>
  <c r="B1398" i="2"/>
  <c r="H1397" i="2"/>
  <c r="G1397" i="2"/>
  <c r="F1397" i="2"/>
  <c r="D1397" i="2"/>
  <c r="B1397" i="2"/>
  <c r="H1396" i="2"/>
  <c r="G1396" i="2"/>
  <c r="F1396" i="2"/>
  <c r="D1396" i="2"/>
  <c r="B1396" i="2"/>
  <c r="H1395" i="2"/>
  <c r="G1395" i="2"/>
  <c r="F1395" i="2"/>
  <c r="D1395" i="2"/>
  <c r="B1395" i="2"/>
  <c r="H1394" i="2"/>
  <c r="G1394" i="2"/>
  <c r="F1394" i="2"/>
  <c r="D1394" i="2"/>
  <c r="B1394" i="2"/>
  <c r="H1393" i="2"/>
  <c r="G1393" i="2"/>
  <c r="F1393" i="2"/>
  <c r="D1393" i="2"/>
  <c r="B1393" i="2"/>
  <c r="H1392" i="2"/>
  <c r="G1392" i="2"/>
  <c r="F1392" i="2"/>
  <c r="D1392" i="2"/>
  <c r="B1392" i="2"/>
  <c r="H1391" i="2"/>
  <c r="G1391" i="2"/>
  <c r="F1391" i="2"/>
  <c r="D1391" i="2"/>
  <c r="B1391" i="2"/>
  <c r="H1390" i="2"/>
  <c r="G1390" i="2"/>
  <c r="F1390" i="2"/>
  <c r="D1390" i="2"/>
  <c r="B1390" i="2"/>
  <c r="H1389" i="2"/>
  <c r="G1389" i="2"/>
  <c r="F1389" i="2"/>
  <c r="D1389" i="2"/>
  <c r="B1389" i="2"/>
  <c r="H1388" i="2"/>
  <c r="G1388" i="2"/>
  <c r="F1388" i="2"/>
  <c r="D1388" i="2"/>
  <c r="B1388" i="2"/>
  <c r="H1387" i="2"/>
  <c r="G1387" i="2"/>
  <c r="F1387" i="2"/>
  <c r="D1387" i="2"/>
  <c r="B1387" i="2"/>
  <c r="H1386" i="2"/>
  <c r="G1386" i="2"/>
  <c r="F1386" i="2"/>
  <c r="D1386" i="2"/>
  <c r="B1386" i="2"/>
  <c r="H1385" i="2"/>
  <c r="G1385" i="2"/>
  <c r="F1385" i="2"/>
  <c r="D1385" i="2"/>
  <c r="B1385" i="2"/>
  <c r="H1384" i="2"/>
  <c r="G1384" i="2"/>
  <c r="F1384" i="2"/>
  <c r="D1384" i="2"/>
  <c r="B1384" i="2"/>
  <c r="H1383" i="2"/>
  <c r="G1383" i="2"/>
  <c r="F1383" i="2"/>
  <c r="D1383" i="2"/>
  <c r="B1383" i="2"/>
  <c r="H1382" i="2"/>
  <c r="G1382" i="2"/>
  <c r="F1382" i="2"/>
  <c r="D1382" i="2"/>
  <c r="B1382" i="2"/>
  <c r="H1381" i="2"/>
  <c r="G1381" i="2"/>
  <c r="F1381" i="2"/>
  <c r="D1381" i="2"/>
  <c r="B1381" i="2"/>
  <c r="H1380" i="2"/>
  <c r="G1380" i="2"/>
  <c r="F1380" i="2"/>
  <c r="D1380" i="2"/>
  <c r="B1380" i="2"/>
  <c r="H1379" i="2"/>
  <c r="G1379" i="2"/>
  <c r="F1379" i="2"/>
  <c r="D1379" i="2"/>
  <c r="B1379" i="2"/>
  <c r="H1378" i="2"/>
  <c r="G1378" i="2"/>
  <c r="F1378" i="2"/>
  <c r="D1378" i="2"/>
  <c r="B1378" i="2"/>
  <c r="H1377" i="2"/>
  <c r="G1377" i="2"/>
  <c r="F1377" i="2"/>
  <c r="D1377" i="2"/>
  <c r="B1377" i="2"/>
  <c r="H1376" i="2"/>
  <c r="G1376" i="2"/>
  <c r="F1376" i="2"/>
  <c r="D1376" i="2"/>
  <c r="B1376" i="2"/>
  <c r="H1375" i="2"/>
  <c r="G1375" i="2"/>
  <c r="F1375" i="2"/>
  <c r="D1375" i="2"/>
  <c r="B1375" i="2"/>
  <c r="H1374" i="2"/>
  <c r="G1374" i="2"/>
  <c r="F1374" i="2"/>
  <c r="D1374" i="2"/>
  <c r="B1374" i="2"/>
  <c r="H1373" i="2"/>
  <c r="G1373" i="2"/>
  <c r="F1373" i="2"/>
  <c r="D1373" i="2"/>
  <c r="B1373" i="2"/>
  <c r="H1372" i="2"/>
  <c r="G1372" i="2"/>
  <c r="F1372" i="2"/>
  <c r="D1372" i="2"/>
  <c r="B1372" i="2"/>
  <c r="H1371" i="2"/>
  <c r="G1371" i="2"/>
  <c r="F1371" i="2"/>
  <c r="D1371" i="2"/>
  <c r="B1371" i="2"/>
  <c r="H1370" i="2"/>
  <c r="G1370" i="2"/>
  <c r="F1370" i="2"/>
  <c r="D1370" i="2"/>
  <c r="B1370" i="2"/>
  <c r="H1369" i="2"/>
  <c r="G1369" i="2"/>
  <c r="F1369" i="2"/>
  <c r="D1369" i="2"/>
  <c r="B1369" i="2"/>
  <c r="H1368" i="2"/>
  <c r="G1368" i="2"/>
  <c r="F1368" i="2"/>
  <c r="D1368" i="2"/>
  <c r="B1368" i="2"/>
  <c r="H1367" i="2"/>
  <c r="G1367" i="2"/>
  <c r="F1367" i="2"/>
  <c r="D1367" i="2"/>
  <c r="B1367" i="2"/>
  <c r="H1366" i="2"/>
  <c r="G1366" i="2"/>
  <c r="F1366" i="2"/>
  <c r="D1366" i="2"/>
  <c r="B1366" i="2"/>
  <c r="H1365" i="2"/>
  <c r="G1365" i="2"/>
  <c r="F1365" i="2"/>
  <c r="D1365" i="2"/>
  <c r="B1365" i="2"/>
  <c r="H1364" i="2"/>
  <c r="G1364" i="2"/>
  <c r="F1364" i="2"/>
  <c r="D1364" i="2"/>
  <c r="B1364" i="2"/>
  <c r="H1363" i="2"/>
  <c r="G1363" i="2"/>
  <c r="F1363" i="2"/>
  <c r="D1363" i="2"/>
  <c r="B1363" i="2"/>
  <c r="H1362" i="2"/>
  <c r="G1362" i="2"/>
  <c r="F1362" i="2"/>
  <c r="D1362" i="2"/>
  <c r="B1362" i="2"/>
  <c r="H1361" i="2"/>
  <c r="G1361" i="2"/>
  <c r="F1361" i="2"/>
  <c r="D1361" i="2"/>
  <c r="B1361" i="2"/>
  <c r="H1360" i="2"/>
  <c r="G1360" i="2"/>
  <c r="F1360" i="2"/>
  <c r="D1360" i="2"/>
  <c r="B1360" i="2"/>
  <c r="H1359" i="2"/>
  <c r="G1359" i="2"/>
  <c r="F1359" i="2"/>
  <c r="D1359" i="2"/>
  <c r="B1359" i="2"/>
  <c r="H1358" i="2"/>
  <c r="G1358" i="2"/>
  <c r="F1358" i="2"/>
  <c r="D1358" i="2"/>
  <c r="B1358" i="2"/>
  <c r="H1357" i="2"/>
  <c r="G1357" i="2"/>
  <c r="F1357" i="2"/>
  <c r="D1357" i="2"/>
  <c r="B1357" i="2"/>
  <c r="H1356" i="2"/>
  <c r="G1356" i="2"/>
  <c r="F1356" i="2"/>
  <c r="D1356" i="2"/>
  <c r="B1356" i="2"/>
  <c r="H1355" i="2"/>
  <c r="G1355" i="2"/>
  <c r="F1355" i="2"/>
  <c r="D1355" i="2"/>
  <c r="B1355" i="2"/>
  <c r="H1354" i="2"/>
  <c r="G1354" i="2"/>
  <c r="F1354" i="2"/>
  <c r="D1354" i="2"/>
  <c r="B1354" i="2"/>
  <c r="H1353" i="2"/>
  <c r="G1353" i="2"/>
  <c r="F1353" i="2"/>
  <c r="D1353" i="2"/>
  <c r="B1353" i="2"/>
  <c r="H1352" i="2"/>
  <c r="G1352" i="2"/>
  <c r="F1352" i="2"/>
  <c r="D1352" i="2"/>
  <c r="B1352" i="2"/>
  <c r="H1351" i="2"/>
  <c r="G1351" i="2"/>
  <c r="F1351" i="2"/>
  <c r="D1351" i="2"/>
  <c r="B1351" i="2"/>
  <c r="H1350" i="2"/>
  <c r="G1350" i="2"/>
  <c r="F1350" i="2"/>
  <c r="D1350" i="2"/>
  <c r="B1350" i="2"/>
  <c r="H1349" i="2"/>
  <c r="G1349" i="2"/>
  <c r="F1349" i="2"/>
  <c r="D1349" i="2"/>
  <c r="B1349" i="2"/>
  <c r="H1348" i="2"/>
  <c r="G1348" i="2"/>
  <c r="F1348" i="2"/>
  <c r="D1348" i="2"/>
  <c r="B1348" i="2"/>
  <c r="H1347" i="2"/>
  <c r="G1347" i="2"/>
  <c r="F1347" i="2"/>
  <c r="D1347" i="2"/>
  <c r="B1347" i="2"/>
  <c r="H1346" i="2"/>
  <c r="G1346" i="2"/>
  <c r="F1346" i="2"/>
  <c r="D1346" i="2"/>
  <c r="B1346" i="2"/>
  <c r="H1345" i="2"/>
  <c r="G1345" i="2"/>
  <c r="F1345" i="2"/>
  <c r="D1345" i="2"/>
  <c r="B1345" i="2"/>
  <c r="H1344" i="2"/>
  <c r="G1344" i="2"/>
  <c r="F1344" i="2"/>
  <c r="D1344" i="2"/>
  <c r="B1344" i="2"/>
  <c r="H1343" i="2"/>
  <c r="G1343" i="2"/>
  <c r="F1343" i="2"/>
  <c r="D1343" i="2"/>
  <c r="B1343" i="2"/>
  <c r="H1342" i="2"/>
  <c r="G1342" i="2"/>
  <c r="F1342" i="2"/>
  <c r="D1342" i="2"/>
  <c r="B1342" i="2"/>
  <c r="H1341" i="2"/>
  <c r="G1341" i="2"/>
  <c r="F1341" i="2"/>
  <c r="D1341" i="2"/>
  <c r="B1341" i="2"/>
  <c r="H1340" i="2"/>
  <c r="G1340" i="2"/>
  <c r="F1340" i="2"/>
  <c r="D1340" i="2"/>
  <c r="B1340" i="2"/>
  <c r="H1339" i="2"/>
  <c r="G1339" i="2"/>
  <c r="F1339" i="2"/>
  <c r="D1339" i="2"/>
  <c r="B1339" i="2"/>
  <c r="H1338" i="2"/>
  <c r="G1338" i="2"/>
  <c r="F1338" i="2"/>
  <c r="D1338" i="2"/>
  <c r="B1338" i="2"/>
  <c r="H1337" i="2"/>
  <c r="G1337" i="2"/>
  <c r="F1337" i="2"/>
  <c r="D1337" i="2"/>
  <c r="B1337" i="2"/>
  <c r="H1336" i="2"/>
  <c r="G1336" i="2"/>
  <c r="F1336" i="2"/>
  <c r="D1336" i="2"/>
  <c r="B1336" i="2"/>
  <c r="H1335" i="2"/>
  <c r="G1335" i="2"/>
  <c r="F1335" i="2"/>
  <c r="D1335" i="2"/>
  <c r="B1335" i="2"/>
  <c r="H1334" i="2"/>
  <c r="G1334" i="2"/>
  <c r="F1334" i="2"/>
  <c r="D1334" i="2"/>
  <c r="B1334" i="2"/>
  <c r="H1333" i="2"/>
  <c r="G1333" i="2"/>
  <c r="F1333" i="2"/>
  <c r="D1333" i="2"/>
  <c r="B1333" i="2"/>
  <c r="H1332" i="2"/>
  <c r="G1332" i="2"/>
  <c r="F1332" i="2"/>
  <c r="D1332" i="2"/>
  <c r="B1332" i="2"/>
  <c r="H1331" i="2"/>
  <c r="G1331" i="2"/>
  <c r="F1331" i="2"/>
  <c r="D1331" i="2"/>
  <c r="B1331" i="2"/>
  <c r="H1330" i="2"/>
  <c r="G1330" i="2"/>
  <c r="F1330" i="2"/>
  <c r="D1330" i="2"/>
  <c r="B1330" i="2"/>
  <c r="H1329" i="2"/>
  <c r="G1329" i="2"/>
  <c r="F1329" i="2"/>
  <c r="D1329" i="2"/>
  <c r="B1329" i="2"/>
  <c r="H1328" i="2"/>
  <c r="G1328" i="2"/>
  <c r="F1328" i="2"/>
  <c r="D1328" i="2"/>
  <c r="B1328" i="2"/>
  <c r="H1327" i="2"/>
  <c r="G1327" i="2"/>
  <c r="F1327" i="2"/>
  <c r="D1327" i="2"/>
  <c r="B1327" i="2"/>
  <c r="H1326" i="2"/>
  <c r="G1326" i="2"/>
  <c r="F1326" i="2"/>
  <c r="D1326" i="2"/>
  <c r="B1326" i="2"/>
  <c r="H1325" i="2"/>
  <c r="G1325" i="2"/>
  <c r="F1325" i="2"/>
  <c r="D1325" i="2"/>
  <c r="B1325" i="2"/>
  <c r="H1324" i="2"/>
  <c r="G1324" i="2"/>
  <c r="F1324" i="2"/>
  <c r="D1324" i="2"/>
  <c r="B1324" i="2"/>
  <c r="H1323" i="2"/>
  <c r="G1323" i="2"/>
  <c r="F1323" i="2"/>
  <c r="D1323" i="2"/>
  <c r="B1323" i="2"/>
  <c r="H1322" i="2"/>
  <c r="G1322" i="2"/>
  <c r="F1322" i="2"/>
  <c r="D1322" i="2"/>
  <c r="B1322" i="2"/>
  <c r="H1321" i="2"/>
  <c r="G1321" i="2"/>
  <c r="F1321" i="2"/>
  <c r="D1321" i="2"/>
  <c r="B1321" i="2"/>
  <c r="H1320" i="2"/>
  <c r="G1320" i="2"/>
  <c r="F1320" i="2"/>
  <c r="D1320" i="2"/>
  <c r="B1320" i="2"/>
  <c r="H1319" i="2"/>
  <c r="G1319" i="2"/>
  <c r="F1319" i="2"/>
  <c r="D1319" i="2"/>
  <c r="B1319" i="2"/>
  <c r="H1318" i="2"/>
  <c r="G1318" i="2"/>
  <c r="F1318" i="2"/>
  <c r="D1318" i="2"/>
  <c r="B1318" i="2"/>
  <c r="H1317" i="2"/>
  <c r="G1317" i="2"/>
  <c r="F1317" i="2"/>
  <c r="D1317" i="2"/>
  <c r="B1317" i="2"/>
  <c r="H1316" i="2"/>
  <c r="G1316" i="2"/>
  <c r="F1316" i="2"/>
  <c r="D1316" i="2"/>
  <c r="B1316" i="2"/>
  <c r="H1315" i="2"/>
  <c r="G1315" i="2"/>
  <c r="F1315" i="2"/>
  <c r="D1315" i="2"/>
  <c r="B1315" i="2"/>
  <c r="H1314" i="2"/>
  <c r="G1314" i="2"/>
  <c r="F1314" i="2"/>
  <c r="D1314" i="2"/>
  <c r="B1314" i="2"/>
  <c r="H1313" i="2"/>
  <c r="G1313" i="2"/>
  <c r="F1313" i="2"/>
  <c r="D1313" i="2"/>
  <c r="B1313" i="2"/>
  <c r="H1312" i="2"/>
  <c r="G1312" i="2"/>
  <c r="F1312" i="2"/>
  <c r="D1312" i="2"/>
  <c r="B1312" i="2"/>
  <c r="H1311" i="2"/>
  <c r="G1311" i="2"/>
  <c r="F1311" i="2"/>
  <c r="D1311" i="2"/>
  <c r="B1311" i="2"/>
  <c r="H1310" i="2"/>
  <c r="G1310" i="2"/>
  <c r="F1310" i="2"/>
  <c r="D1310" i="2"/>
  <c r="B1310" i="2"/>
  <c r="H1309" i="2"/>
  <c r="G1309" i="2"/>
  <c r="F1309" i="2"/>
  <c r="D1309" i="2"/>
  <c r="B1309" i="2"/>
  <c r="H1308" i="2"/>
  <c r="G1308" i="2"/>
  <c r="F1308" i="2"/>
  <c r="D1308" i="2"/>
  <c r="B1308" i="2"/>
  <c r="H1307" i="2"/>
  <c r="G1307" i="2"/>
  <c r="F1307" i="2"/>
  <c r="D1307" i="2"/>
  <c r="B1307" i="2"/>
  <c r="H1306" i="2"/>
  <c r="G1306" i="2"/>
  <c r="F1306" i="2"/>
  <c r="D1306" i="2"/>
  <c r="B1306" i="2"/>
  <c r="H1305" i="2"/>
  <c r="G1305" i="2"/>
  <c r="F1305" i="2"/>
  <c r="D1305" i="2"/>
  <c r="B1305" i="2"/>
  <c r="H1304" i="2"/>
  <c r="G1304" i="2"/>
  <c r="F1304" i="2"/>
  <c r="D1304" i="2"/>
  <c r="B1304" i="2"/>
  <c r="H1303" i="2"/>
  <c r="G1303" i="2"/>
  <c r="F1303" i="2"/>
  <c r="D1303" i="2"/>
  <c r="B1303" i="2"/>
  <c r="H1302" i="2"/>
  <c r="G1302" i="2"/>
  <c r="F1302" i="2"/>
  <c r="D1302" i="2"/>
  <c r="B1302" i="2"/>
  <c r="H1301" i="2"/>
  <c r="G1301" i="2"/>
  <c r="F1301" i="2"/>
  <c r="D1301" i="2"/>
  <c r="B1301" i="2"/>
  <c r="H1300" i="2"/>
  <c r="G1300" i="2"/>
  <c r="F1300" i="2"/>
  <c r="D1300" i="2"/>
  <c r="B1300" i="2"/>
  <c r="H1299" i="2"/>
  <c r="G1299" i="2"/>
  <c r="F1299" i="2"/>
  <c r="D1299" i="2"/>
  <c r="B1299" i="2"/>
  <c r="H1298" i="2"/>
  <c r="G1298" i="2"/>
  <c r="F1298" i="2"/>
  <c r="D1298" i="2"/>
  <c r="B1298" i="2"/>
  <c r="H1297" i="2"/>
  <c r="G1297" i="2"/>
  <c r="F1297" i="2"/>
  <c r="D1297" i="2"/>
  <c r="B1297" i="2"/>
  <c r="H1296" i="2"/>
  <c r="G1296" i="2"/>
  <c r="F1296" i="2"/>
  <c r="D1296" i="2"/>
  <c r="B1296" i="2"/>
  <c r="H1295" i="2"/>
  <c r="G1295" i="2"/>
  <c r="F1295" i="2"/>
  <c r="D1295" i="2"/>
  <c r="B1295" i="2"/>
  <c r="H1294" i="2"/>
  <c r="G1294" i="2"/>
  <c r="F1294" i="2"/>
  <c r="D1294" i="2"/>
  <c r="B1294" i="2"/>
  <c r="H1293" i="2"/>
  <c r="G1293" i="2"/>
  <c r="F1293" i="2"/>
  <c r="D1293" i="2"/>
  <c r="B1293" i="2"/>
  <c r="H1292" i="2"/>
  <c r="G1292" i="2"/>
  <c r="F1292" i="2"/>
  <c r="D1292" i="2"/>
  <c r="B1292" i="2"/>
  <c r="H1291" i="2"/>
  <c r="G1291" i="2"/>
  <c r="F1291" i="2"/>
  <c r="D1291" i="2"/>
  <c r="B1291" i="2"/>
  <c r="H1290" i="2"/>
  <c r="G1290" i="2"/>
  <c r="F1290" i="2"/>
  <c r="D1290" i="2"/>
  <c r="B1290" i="2"/>
  <c r="H1289" i="2"/>
  <c r="G1289" i="2"/>
  <c r="F1289" i="2"/>
  <c r="D1289" i="2"/>
  <c r="B1289" i="2"/>
  <c r="H1288" i="2"/>
  <c r="G1288" i="2"/>
  <c r="F1288" i="2"/>
  <c r="D1288" i="2"/>
  <c r="B1288" i="2"/>
  <c r="H1287" i="2"/>
  <c r="G1287" i="2"/>
  <c r="F1287" i="2"/>
  <c r="D1287" i="2"/>
  <c r="B1287" i="2"/>
  <c r="H1286" i="2"/>
  <c r="G1286" i="2"/>
  <c r="F1286" i="2"/>
  <c r="D1286" i="2"/>
  <c r="B1286" i="2"/>
  <c r="H1285" i="2"/>
  <c r="G1285" i="2"/>
  <c r="F1285" i="2"/>
  <c r="D1285" i="2"/>
  <c r="B1285" i="2"/>
  <c r="H1284" i="2"/>
  <c r="G1284" i="2"/>
  <c r="F1284" i="2"/>
  <c r="D1284" i="2"/>
  <c r="B1284" i="2"/>
  <c r="H1283" i="2"/>
  <c r="G1283" i="2"/>
  <c r="F1283" i="2"/>
  <c r="D1283" i="2"/>
  <c r="B1283" i="2"/>
  <c r="H1282" i="2"/>
  <c r="G1282" i="2"/>
  <c r="F1282" i="2"/>
  <c r="D1282" i="2"/>
  <c r="B1282" i="2"/>
  <c r="H1281" i="2"/>
  <c r="G1281" i="2"/>
  <c r="F1281" i="2"/>
  <c r="D1281" i="2"/>
  <c r="B1281" i="2"/>
  <c r="H1280" i="2"/>
  <c r="G1280" i="2"/>
  <c r="F1280" i="2"/>
  <c r="D1280" i="2"/>
  <c r="B1280" i="2"/>
  <c r="H1279" i="2"/>
  <c r="G1279" i="2"/>
  <c r="F1279" i="2"/>
  <c r="D1279" i="2"/>
  <c r="B1279" i="2"/>
  <c r="H1278" i="2"/>
  <c r="G1278" i="2"/>
  <c r="F1278" i="2"/>
  <c r="D1278" i="2"/>
  <c r="B1278" i="2"/>
  <c r="H1277" i="2"/>
  <c r="G1277" i="2"/>
  <c r="F1277" i="2"/>
  <c r="D1277" i="2"/>
  <c r="B1277" i="2"/>
  <c r="H1276" i="2"/>
  <c r="G1276" i="2"/>
  <c r="F1276" i="2"/>
  <c r="D1276" i="2"/>
  <c r="B1276" i="2"/>
  <c r="H1275" i="2"/>
  <c r="G1275" i="2"/>
  <c r="F1275" i="2"/>
  <c r="D1275" i="2"/>
  <c r="B1275" i="2"/>
  <c r="H1274" i="2"/>
  <c r="G1274" i="2"/>
  <c r="F1274" i="2"/>
  <c r="D1274" i="2"/>
  <c r="B1274" i="2"/>
  <c r="H1273" i="2"/>
  <c r="G1273" i="2"/>
  <c r="F1273" i="2"/>
  <c r="D1273" i="2"/>
  <c r="B1273" i="2"/>
  <c r="H1272" i="2"/>
  <c r="G1272" i="2"/>
  <c r="F1272" i="2"/>
  <c r="D1272" i="2"/>
  <c r="B1272" i="2"/>
  <c r="H1271" i="2"/>
  <c r="G1271" i="2"/>
  <c r="F1271" i="2"/>
  <c r="D1271" i="2"/>
  <c r="B1271" i="2"/>
  <c r="H1270" i="2"/>
  <c r="G1270" i="2"/>
  <c r="F1270" i="2"/>
  <c r="D1270" i="2"/>
  <c r="B1270" i="2"/>
  <c r="H1269" i="2"/>
  <c r="G1269" i="2"/>
  <c r="F1269" i="2"/>
  <c r="D1269" i="2"/>
  <c r="B1269" i="2"/>
  <c r="H1268" i="2"/>
  <c r="G1268" i="2"/>
  <c r="F1268" i="2"/>
  <c r="D1268" i="2"/>
  <c r="B1268" i="2"/>
  <c r="H1267" i="2"/>
  <c r="G1267" i="2"/>
  <c r="F1267" i="2"/>
  <c r="D1267" i="2"/>
  <c r="B1267" i="2"/>
  <c r="H1266" i="2"/>
  <c r="G1266" i="2"/>
  <c r="F1266" i="2"/>
  <c r="D1266" i="2"/>
  <c r="B1266" i="2"/>
  <c r="H1265" i="2"/>
  <c r="G1265" i="2"/>
  <c r="F1265" i="2"/>
  <c r="D1265" i="2"/>
  <c r="B1265" i="2"/>
  <c r="H1264" i="2"/>
  <c r="G1264" i="2"/>
  <c r="F1264" i="2"/>
  <c r="D1264" i="2"/>
  <c r="B1264" i="2"/>
  <c r="H1263" i="2"/>
  <c r="G1263" i="2"/>
  <c r="F1263" i="2"/>
  <c r="D1263" i="2"/>
  <c r="B1263" i="2"/>
  <c r="H1262" i="2"/>
  <c r="G1262" i="2"/>
  <c r="F1262" i="2"/>
  <c r="D1262" i="2"/>
  <c r="B1262" i="2"/>
  <c r="H1261" i="2"/>
  <c r="G1261" i="2"/>
  <c r="F1261" i="2"/>
  <c r="D1261" i="2"/>
  <c r="B1261" i="2"/>
  <c r="H1260" i="2"/>
  <c r="G1260" i="2"/>
  <c r="F1260" i="2"/>
  <c r="D1260" i="2"/>
  <c r="B1260" i="2"/>
  <c r="H1259" i="2"/>
  <c r="G1259" i="2"/>
  <c r="F1259" i="2"/>
  <c r="D1259" i="2"/>
  <c r="B1259" i="2"/>
  <c r="H1258" i="2"/>
  <c r="G1258" i="2"/>
  <c r="F1258" i="2"/>
  <c r="D1258" i="2"/>
  <c r="B1258" i="2"/>
  <c r="H1257" i="2"/>
  <c r="G1257" i="2"/>
  <c r="F1257" i="2"/>
  <c r="D1257" i="2"/>
  <c r="B1257" i="2"/>
  <c r="H1256" i="2"/>
  <c r="G1256" i="2"/>
  <c r="F1256" i="2"/>
  <c r="D1256" i="2"/>
  <c r="B1256" i="2"/>
  <c r="H1255" i="2"/>
  <c r="G1255" i="2"/>
  <c r="F1255" i="2"/>
  <c r="D1255" i="2"/>
  <c r="B1255" i="2"/>
  <c r="H1254" i="2"/>
  <c r="G1254" i="2"/>
  <c r="F1254" i="2"/>
  <c r="D1254" i="2"/>
  <c r="B1254" i="2"/>
  <c r="H1253" i="2"/>
  <c r="G1253" i="2"/>
  <c r="F1253" i="2"/>
  <c r="D1253" i="2"/>
  <c r="B1253" i="2"/>
  <c r="H1252" i="2"/>
  <c r="G1252" i="2"/>
  <c r="F1252" i="2"/>
  <c r="D1252" i="2"/>
  <c r="B1252" i="2"/>
  <c r="H1251" i="2"/>
  <c r="G1251" i="2"/>
  <c r="F1251" i="2"/>
  <c r="D1251" i="2"/>
  <c r="B1251" i="2"/>
  <c r="H1250" i="2"/>
  <c r="G1250" i="2"/>
  <c r="F1250" i="2"/>
  <c r="D1250" i="2"/>
  <c r="B1250" i="2"/>
  <c r="H1249" i="2"/>
  <c r="G1249" i="2"/>
  <c r="F1249" i="2"/>
  <c r="D1249" i="2"/>
  <c r="B1249" i="2"/>
  <c r="H1248" i="2"/>
  <c r="G1248" i="2"/>
  <c r="F1248" i="2"/>
  <c r="D1248" i="2"/>
  <c r="B1248" i="2"/>
  <c r="H1247" i="2"/>
  <c r="G1247" i="2"/>
  <c r="F1247" i="2"/>
  <c r="D1247" i="2"/>
  <c r="B1247" i="2"/>
  <c r="H1246" i="2"/>
  <c r="G1246" i="2"/>
  <c r="F1246" i="2"/>
  <c r="D1246" i="2"/>
  <c r="B1246" i="2"/>
  <c r="H1245" i="2"/>
  <c r="G1245" i="2"/>
  <c r="F1245" i="2"/>
  <c r="D1245" i="2"/>
  <c r="B1245" i="2"/>
  <c r="H1244" i="2"/>
  <c r="G1244" i="2"/>
  <c r="F1244" i="2"/>
  <c r="D1244" i="2"/>
  <c r="B1244" i="2"/>
  <c r="H1243" i="2"/>
  <c r="G1243" i="2"/>
  <c r="F1243" i="2"/>
  <c r="D1243" i="2"/>
  <c r="B1243" i="2"/>
  <c r="H1242" i="2"/>
  <c r="G1242" i="2"/>
  <c r="F1242" i="2"/>
  <c r="D1242" i="2"/>
  <c r="B1242" i="2"/>
  <c r="H1241" i="2"/>
  <c r="G1241" i="2"/>
  <c r="F1241" i="2"/>
  <c r="D1241" i="2"/>
  <c r="B1241" i="2"/>
  <c r="H1240" i="2"/>
  <c r="G1240" i="2"/>
  <c r="F1240" i="2"/>
  <c r="D1240" i="2"/>
  <c r="B1240" i="2"/>
  <c r="H1239" i="2"/>
  <c r="G1239" i="2"/>
  <c r="F1239" i="2"/>
  <c r="D1239" i="2"/>
  <c r="B1239" i="2"/>
  <c r="H1238" i="2"/>
  <c r="G1238" i="2"/>
  <c r="F1238" i="2"/>
  <c r="D1238" i="2"/>
  <c r="B1238" i="2"/>
  <c r="H1237" i="2"/>
  <c r="G1237" i="2"/>
  <c r="F1237" i="2"/>
  <c r="D1237" i="2"/>
  <c r="B1237" i="2"/>
  <c r="H1236" i="2"/>
  <c r="G1236" i="2"/>
  <c r="F1236" i="2"/>
  <c r="D1236" i="2"/>
  <c r="B1236" i="2"/>
  <c r="H1235" i="2"/>
  <c r="G1235" i="2"/>
  <c r="F1235" i="2"/>
  <c r="D1235" i="2"/>
  <c r="B1235" i="2"/>
  <c r="H1234" i="2"/>
  <c r="G1234" i="2"/>
  <c r="F1234" i="2"/>
  <c r="D1234" i="2"/>
  <c r="B1234" i="2"/>
  <c r="H1233" i="2"/>
  <c r="G1233" i="2"/>
  <c r="F1233" i="2"/>
  <c r="D1233" i="2"/>
  <c r="B1233" i="2"/>
  <c r="H1232" i="2"/>
  <c r="G1232" i="2"/>
  <c r="F1232" i="2"/>
  <c r="D1232" i="2"/>
  <c r="B1232" i="2"/>
  <c r="H1231" i="2"/>
  <c r="G1231" i="2"/>
  <c r="F1231" i="2"/>
  <c r="D1231" i="2"/>
  <c r="B1231" i="2"/>
  <c r="H1230" i="2"/>
  <c r="G1230" i="2"/>
  <c r="F1230" i="2"/>
  <c r="D1230" i="2"/>
  <c r="B1230" i="2"/>
  <c r="H1229" i="2"/>
  <c r="G1229" i="2"/>
  <c r="F1229" i="2"/>
  <c r="D1229" i="2"/>
  <c r="B1229" i="2"/>
  <c r="H1228" i="2"/>
  <c r="G1228" i="2"/>
  <c r="F1228" i="2"/>
  <c r="D1228" i="2"/>
  <c r="B1228" i="2"/>
  <c r="H1227" i="2"/>
  <c r="G1227" i="2"/>
  <c r="F1227" i="2"/>
  <c r="D1227" i="2"/>
  <c r="B1227" i="2"/>
  <c r="H1226" i="2"/>
  <c r="G1226" i="2"/>
  <c r="F1226" i="2"/>
  <c r="D1226" i="2"/>
  <c r="B1226" i="2"/>
  <c r="H1225" i="2"/>
  <c r="G1225" i="2"/>
  <c r="F1225" i="2"/>
  <c r="D1225" i="2"/>
  <c r="B1225" i="2"/>
  <c r="H1224" i="2"/>
  <c r="G1224" i="2"/>
  <c r="F1224" i="2"/>
  <c r="D1224" i="2"/>
  <c r="B1224" i="2"/>
  <c r="H1223" i="2"/>
  <c r="G1223" i="2"/>
  <c r="F1223" i="2"/>
  <c r="D1223" i="2"/>
  <c r="B1223" i="2"/>
  <c r="H1222" i="2"/>
  <c r="G1222" i="2"/>
  <c r="F1222" i="2"/>
  <c r="D1222" i="2"/>
  <c r="B1222" i="2"/>
  <c r="H1221" i="2"/>
  <c r="G1221" i="2"/>
  <c r="F1221" i="2"/>
  <c r="D1221" i="2"/>
  <c r="B1221" i="2"/>
  <c r="H1220" i="2"/>
  <c r="G1220" i="2"/>
  <c r="F1220" i="2"/>
  <c r="D1220" i="2"/>
  <c r="B1220" i="2"/>
  <c r="H1219" i="2"/>
  <c r="G1219" i="2"/>
  <c r="F1219" i="2"/>
  <c r="D1219" i="2"/>
  <c r="B1219" i="2"/>
  <c r="H1218" i="2"/>
  <c r="G1218" i="2"/>
  <c r="F1218" i="2"/>
  <c r="D1218" i="2"/>
  <c r="B1218" i="2"/>
  <c r="H1217" i="2"/>
  <c r="G1217" i="2"/>
  <c r="F1217" i="2"/>
  <c r="D1217" i="2"/>
  <c r="B1217" i="2"/>
  <c r="H1216" i="2"/>
  <c r="G1216" i="2"/>
  <c r="F1216" i="2"/>
  <c r="D1216" i="2"/>
  <c r="B1216" i="2"/>
  <c r="H1215" i="2"/>
  <c r="G1215" i="2"/>
  <c r="F1215" i="2"/>
  <c r="D1215" i="2"/>
  <c r="B1215" i="2"/>
  <c r="H1214" i="2"/>
  <c r="G1214" i="2"/>
  <c r="F1214" i="2"/>
  <c r="D1214" i="2"/>
  <c r="B1214" i="2"/>
  <c r="H1213" i="2"/>
  <c r="G1213" i="2"/>
  <c r="F1213" i="2"/>
  <c r="D1213" i="2"/>
  <c r="B1213" i="2"/>
  <c r="H1212" i="2"/>
  <c r="G1212" i="2"/>
  <c r="F1212" i="2"/>
  <c r="D1212" i="2"/>
  <c r="B1212" i="2"/>
  <c r="H1211" i="2"/>
  <c r="G1211" i="2"/>
  <c r="F1211" i="2"/>
  <c r="D1211" i="2"/>
  <c r="B1211" i="2"/>
  <c r="H1210" i="2"/>
  <c r="G1210" i="2"/>
  <c r="F1210" i="2"/>
  <c r="D1210" i="2"/>
  <c r="B1210" i="2"/>
  <c r="H1209" i="2"/>
  <c r="G1209" i="2"/>
  <c r="F1209" i="2"/>
  <c r="D1209" i="2"/>
  <c r="B1209" i="2"/>
  <c r="H1208" i="2"/>
  <c r="G1208" i="2"/>
  <c r="F1208" i="2"/>
  <c r="D1208" i="2"/>
  <c r="B1208" i="2"/>
  <c r="H1207" i="2"/>
  <c r="G1207" i="2"/>
  <c r="F1207" i="2"/>
  <c r="D1207" i="2"/>
  <c r="B1207" i="2"/>
  <c r="H1206" i="2"/>
  <c r="G1206" i="2"/>
  <c r="F1206" i="2"/>
  <c r="D1206" i="2"/>
  <c r="B1206" i="2"/>
  <c r="H1205" i="2"/>
  <c r="G1205" i="2"/>
  <c r="F1205" i="2"/>
  <c r="D1205" i="2"/>
  <c r="B1205" i="2"/>
  <c r="H1204" i="2"/>
  <c r="G1204" i="2"/>
  <c r="F1204" i="2"/>
  <c r="D1204" i="2"/>
  <c r="B1204" i="2"/>
  <c r="H1203" i="2"/>
  <c r="G1203" i="2"/>
  <c r="F1203" i="2"/>
  <c r="D1203" i="2"/>
  <c r="B1203" i="2"/>
  <c r="H1202" i="2"/>
  <c r="G1202" i="2"/>
  <c r="F1202" i="2"/>
  <c r="D1202" i="2"/>
  <c r="B1202" i="2"/>
  <c r="H1201" i="2"/>
  <c r="G1201" i="2"/>
  <c r="F1201" i="2"/>
  <c r="D1201" i="2"/>
  <c r="B1201" i="2"/>
  <c r="H1200" i="2"/>
  <c r="G1200" i="2"/>
  <c r="F1200" i="2"/>
  <c r="D1200" i="2"/>
  <c r="B1200" i="2"/>
  <c r="H1199" i="2"/>
  <c r="G1199" i="2"/>
  <c r="F1199" i="2"/>
  <c r="D1199" i="2"/>
  <c r="B1199" i="2"/>
  <c r="H1198" i="2"/>
  <c r="G1198" i="2"/>
  <c r="F1198" i="2"/>
  <c r="D1198" i="2"/>
  <c r="B1198" i="2"/>
  <c r="H1197" i="2"/>
  <c r="G1197" i="2"/>
  <c r="F1197" i="2"/>
  <c r="D1197" i="2"/>
  <c r="B1197" i="2"/>
  <c r="H1196" i="2"/>
  <c r="G1196" i="2"/>
  <c r="F1196" i="2"/>
  <c r="D1196" i="2"/>
  <c r="B1196" i="2"/>
  <c r="H1195" i="2"/>
  <c r="G1195" i="2"/>
  <c r="F1195" i="2"/>
  <c r="D1195" i="2"/>
  <c r="B1195" i="2"/>
  <c r="H1194" i="2"/>
  <c r="G1194" i="2"/>
  <c r="F1194" i="2"/>
  <c r="D1194" i="2"/>
  <c r="B1194" i="2"/>
  <c r="H1193" i="2"/>
  <c r="G1193" i="2"/>
  <c r="F1193" i="2"/>
  <c r="D1193" i="2"/>
  <c r="B1193" i="2"/>
  <c r="H1192" i="2"/>
  <c r="G1192" i="2"/>
  <c r="F1192" i="2"/>
  <c r="D1192" i="2"/>
  <c r="B1192" i="2"/>
  <c r="H1191" i="2"/>
  <c r="G1191" i="2"/>
  <c r="F1191" i="2"/>
  <c r="D1191" i="2"/>
  <c r="B1191" i="2"/>
  <c r="H1190" i="2"/>
  <c r="G1190" i="2"/>
  <c r="F1190" i="2"/>
  <c r="D1190" i="2"/>
  <c r="B1190" i="2"/>
  <c r="H1189" i="2"/>
  <c r="G1189" i="2"/>
  <c r="F1189" i="2"/>
  <c r="D1189" i="2"/>
  <c r="B1189" i="2"/>
  <c r="H1188" i="2"/>
  <c r="G1188" i="2"/>
  <c r="F1188" i="2"/>
  <c r="D1188" i="2"/>
  <c r="B1188" i="2"/>
  <c r="H1187" i="2"/>
  <c r="G1187" i="2"/>
  <c r="F1187" i="2"/>
  <c r="D1187" i="2"/>
  <c r="B1187" i="2"/>
  <c r="H1186" i="2"/>
  <c r="G1186" i="2"/>
  <c r="F1186" i="2"/>
  <c r="D1186" i="2"/>
  <c r="B1186" i="2"/>
  <c r="H1185" i="2"/>
  <c r="G1185" i="2"/>
  <c r="F1185" i="2"/>
  <c r="D1185" i="2"/>
  <c r="B1185" i="2"/>
  <c r="H1184" i="2"/>
  <c r="G1184" i="2"/>
  <c r="F1184" i="2"/>
  <c r="D1184" i="2"/>
  <c r="B1184" i="2"/>
  <c r="H1183" i="2"/>
  <c r="G1183" i="2"/>
  <c r="F1183" i="2"/>
  <c r="D1183" i="2"/>
  <c r="B1183" i="2"/>
  <c r="H1182" i="2"/>
  <c r="G1182" i="2"/>
  <c r="F1182" i="2"/>
  <c r="D1182" i="2"/>
  <c r="B1182" i="2"/>
  <c r="H1181" i="2"/>
  <c r="G1181" i="2"/>
  <c r="F1181" i="2"/>
  <c r="D1181" i="2"/>
  <c r="B1181" i="2"/>
  <c r="H1180" i="2"/>
  <c r="G1180" i="2"/>
  <c r="F1180" i="2"/>
  <c r="D1180" i="2"/>
  <c r="B1180" i="2"/>
  <c r="H1179" i="2"/>
  <c r="G1179" i="2"/>
  <c r="F1179" i="2"/>
  <c r="D1179" i="2"/>
  <c r="B1179" i="2"/>
  <c r="H1178" i="2"/>
  <c r="G1178" i="2"/>
  <c r="F1178" i="2"/>
  <c r="D1178" i="2"/>
  <c r="B1178" i="2"/>
  <c r="H1177" i="2"/>
  <c r="G1177" i="2"/>
  <c r="F1177" i="2"/>
  <c r="D1177" i="2"/>
  <c r="B1177" i="2"/>
  <c r="H1176" i="2"/>
  <c r="G1176" i="2"/>
  <c r="F1176" i="2"/>
  <c r="D1176" i="2"/>
  <c r="B1176" i="2"/>
  <c r="H1175" i="2"/>
  <c r="G1175" i="2"/>
  <c r="F1175" i="2"/>
  <c r="D1175" i="2"/>
  <c r="B1175" i="2"/>
  <c r="H1174" i="2"/>
  <c r="G1174" i="2"/>
  <c r="F1174" i="2"/>
  <c r="D1174" i="2"/>
  <c r="B1174" i="2"/>
  <c r="H1173" i="2"/>
  <c r="G1173" i="2"/>
  <c r="F1173" i="2"/>
  <c r="D1173" i="2"/>
  <c r="B1173" i="2"/>
  <c r="H1172" i="2"/>
  <c r="G1172" i="2"/>
  <c r="F1172" i="2"/>
  <c r="D1172" i="2"/>
  <c r="B1172" i="2"/>
  <c r="H1171" i="2"/>
  <c r="G1171" i="2"/>
  <c r="F1171" i="2"/>
  <c r="D1171" i="2"/>
  <c r="B1171" i="2"/>
  <c r="H1170" i="2"/>
  <c r="G1170" i="2"/>
  <c r="F1170" i="2"/>
  <c r="D1170" i="2"/>
  <c r="B1170" i="2"/>
  <c r="H1169" i="2"/>
  <c r="G1169" i="2"/>
  <c r="F1169" i="2"/>
  <c r="D1169" i="2"/>
  <c r="B1169" i="2"/>
  <c r="H1168" i="2"/>
  <c r="G1168" i="2"/>
  <c r="F1168" i="2"/>
  <c r="D1168" i="2"/>
  <c r="B1168" i="2"/>
  <c r="H1167" i="2"/>
  <c r="G1167" i="2"/>
  <c r="F1167" i="2"/>
  <c r="D1167" i="2"/>
  <c r="B1167" i="2"/>
  <c r="H1166" i="2"/>
  <c r="G1166" i="2"/>
  <c r="F1166" i="2"/>
  <c r="D1166" i="2"/>
  <c r="B1166" i="2"/>
  <c r="H1165" i="2"/>
  <c r="G1165" i="2"/>
  <c r="F1165" i="2"/>
  <c r="D1165" i="2"/>
  <c r="B1165" i="2"/>
  <c r="H1164" i="2"/>
  <c r="G1164" i="2"/>
  <c r="F1164" i="2"/>
  <c r="D1164" i="2"/>
  <c r="B1164" i="2"/>
  <c r="H1163" i="2"/>
  <c r="G1163" i="2"/>
  <c r="F1163" i="2"/>
  <c r="D1163" i="2"/>
  <c r="B1163" i="2"/>
  <c r="H1162" i="2"/>
  <c r="G1162" i="2"/>
  <c r="F1162" i="2"/>
  <c r="D1162" i="2"/>
  <c r="B1162" i="2"/>
  <c r="H1161" i="2"/>
  <c r="G1161" i="2"/>
  <c r="F1161" i="2"/>
  <c r="D1161" i="2"/>
  <c r="B1161" i="2"/>
  <c r="H1160" i="2"/>
  <c r="G1160" i="2"/>
  <c r="F1160" i="2"/>
  <c r="D1160" i="2"/>
  <c r="B1160" i="2"/>
  <c r="H1159" i="2"/>
  <c r="G1159" i="2"/>
  <c r="F1159" i="2"/>
  <c r="D1159" i="2"/>
  <c r="B1159" i="2"/>
  <c r="H1158" i="2"/>
  <c r="G1158" i="2"/>
  <c r="F1158" i="2"/>
  <c r="D1158" i="2"/>
  <c r="B1158" i="2"/>
  <c r="H1157" i="2"/>
  <c r="G1157" i="2"/>
  <c r="F1157" i="2"/>
  <c r="D1157" i="2"/>
  <c r="B1157" i="2"/>
  <c r="H1156" i="2"/>
  <c r="G1156" i="2"/>
  <c r="F1156" i="2"/>
  <c r="D1156" i="2"/>
  <c r="B1156" i="2"/>
  <c r="H1155" i="2"/>
  <c r="G1155" i="2"/>
  <c r="F1155" i="2"/>
  <c r="D1155" i="2"/>
  <c r="B1155" i="2"/>
  <c r="H1154" i="2"/>
  <c r="G1154" i="2"/>
  <c r="F1154" i="2"/>
  <c r="D1154" i="2"/>
  <c r="B1154" i="2"/>
  <c r="H1153" i="2"/>
  <c r="G1153" i="2"/>
  <c r="F1153" i="2"/>
  <c r="D1153" i="2"/>
  <c r="B1153" i="2"/>
  <c r="H1152" i="2"/>
  <c r="G1152" i="2"/>
  <c r="F1152" i="2"/>
  <c r="D1152" i="2"/>
  <c r="B1152" i="2"/>
  <c r="H1151" i="2"/>
  <c r="G1151" i="2"/>
  <c r="F1151" i="2"/>
  <c r="D1151" i="2"/>
  <c r="B1151" i="2"/>
  <c r="H1150" i="2"/>
  <c r="G1150" i="2"/>
  <c r="F1150" i="2"/>
  <c r="D1150" i="2"/>
  <c r="B1150" i="2"/>
  <c r="H1149" i="2"/>
  <c r="G1149" i="2"/>
  <c r="F1149" i="2"/>
  <c r="D1149" i="2"/>
  <c r="B1149" i="2"/>
  <c r="H1148" i="2"/>
  <c r="G1148" i="2"/>
  <c r="F1148" i="2"/>
  <c r="D1148" i="2"/>
  <c r="B1148" i="2"/>
  <c r="H1147" i="2"/>
  <c r="G1147" i="2"/>
  <c r="F1147" i="2"/>
  <c r="D1147" i="2"/>
  <c r="B1147" i="2"/>
  <c r="H1146" i="2"/>
  <c r="G1146" i="2"/>
  <c r="F1146" i="2"/>
  <c r="D1146" i="2"/>
  <c r="B1146" i="2"/>
  <c r="H1145" i="2"/>
  <c r="G1145" i="2"/>
  <c r="F1145" i="2"/>
  <c r="D1145" i="2"/>
  <c r="B1145" i="2"/>
  <c r="H1144" i="2"/>
  <c r="G1144" i="2"/>
  <c r="F1144" i="2"/>
  <c r="D1144" i="2"/>
  <c r="B1144" i="2"/>
  <c r="H1143" i="2"/>
  <c r="G1143" i="2"/>
  <c r="F1143" i="2"/>
  <c r="D1143" i="2"/>
  <c r="B1143" i="2"/>
  <c r="H1142" i="2"/>
  <c r="G1142" i="2"/>
  <c r="F1142" i="2"/>
  <c r="D1142" i="2"/>
  <c r="B1142" i="2"/>
  <c r="H1141" i="2"/>
  <c r="G1141" i="2"/>
  <c r="F1141" i="2"/>
  <c r="D1141" i="2"/>
  <c r="B1141" i="2"/>
  <c r="H1140" i="2"/>
  <c r="G1140" i="2"/>
  <c r="F1140" i="2"/>
  <c r="D1140" i="2"/>
  <c r="B1140" i="2"/>
  <c r="H1139" i="2"/>
  <c r="G1139" i="2"/>
  <c r="F1139" i="2"/>
  <c r="D1139" i="2"/>
  <c r="B1139" i="2"/>
  <c r="H1138" i="2"/>
  <c r="G1138" i="2"/>
  <c r="F1138" i="2"/>
  <c r="D1138" i="2"/>
  <c r="B1138" i="2"/>
  <c r="H1137" i="2"/>
  <c r="G1137" i="2"/>
  <c r="F1137" i="2"/>
  <c r="D1137" i="2"/>
  <c r="B1137" i="2"/>
  <c r="H1136" i="2"/>
  <c r="G1136" i="2"/>
  <c r="F1136" i="2"/>
  <c r="D1136" i="2"/>
  <c r="B1136" i="2"/>
  <c r="H1135" i="2"/>
  <c r="G1135" i="2"/>
  <c r="F1135" i="2"/>
  <c r="D1135" i="2"/>
  <c r="B1135" i="2"/>
  <c r="H1134" i="2"/>
  <c r="G1134" i="2"/>
  <c r="F1134" i="2"/>
  <c r="D1134" i="2"/>
  <c r="B1134" i="2"/>
  <c r="H1133" i="2"/>
  <c r="G1133" i="2"/>
  <c r="F1133" i="2"/>
  <c r="D1133" i="2"/>
  <c r="B1133" i="2"/>
  <c r="H1132" i="2"/>
  <c r="G1132" i="2"/>
  <c r="F1132" i="2"/>
  <c r="D1132" i="2"/>
  <c r="B1132" i="2"/>
  <c r="H1131" i="2"/>
  <c r="G1131" i="2"/>
  <c r="F1131" i="2"/>
  <c r="D1131" i="2"/>
  <c r="B1131" i="2"/>
  <c r="H1130" i="2"/>
  <c r="G1130" i="2"/>
  <c r="F1130" i="2"/>
  <c r="D1130" i="2"/>
  <c r="B1130" i="2"/>
  <c r="H1129" i="2"/>
  <c r="G1129" i="2"/>
  <c r="F1129" i="2"/>
  <c r="D1129" i="2"/>
  <c r="B1129" i="2"/>
  <c r="H1128" i="2"/>
  <c r="G1128" i="2"/>
  <c r="F1128" i="2"/>
  <c r="D1128" i="2"/>
  <c r="B1128" i="2"/>
  <c r="H1127" i="2"/>
  <c r="G1127" i="2"/>
  <c r="F1127" i="2"/>
  <c r="D1127" i="2"/>
  <c r="B1127" i="2"/>
  <c r="H1126" i="2"/>
  <c r="G1126" i="2"/>
  <c r="F1126" i="2"/>
  <c r="D1126" i="2"/>
  <c r="B1126" i="2"/>
  <c r="H1125" i="2"/>
  <c r="G1125" i="2"/>
  <c r="F1125" i="2"/>
  <c r="D1125" i="2"/>
  <c r="B1125" i="2"/>
  <c r="H1124" i="2"/>
  <c r="G1124" i="2"/>
  <c r="F1124" i="2"/>
  <c r="D1124" i="2"/>
  <c r="B1124" i="2"/>
  <c r="H1123" i="2"/>
  <c r="G1123" i="2"/>
  <c r="F1123" i="2"/>
  <c r="D1123" i="2"/>
  <c r="B1123" i="2"/>
  <c r="H1122" i="2"/>
  <c r="G1122" i="2"/>
  <c r="F1122" i="2"/>
  <c r="D1122" i="2"/>
  <c r="B1122" i="2"/>
  <c r="H1121" i="2"/>
  <c r="G1121" i="2"/>
  <c r="F1121" i="2"/>
  <c r="D1121" i="2"/>
  <c r="B1121" i="2"/>
  <c r="H1120" i="2"/>
  <c r="G1120" i="2"/>
  <c r="F1120" i="2"/>
  <c r="D1120" i="2"/>
  <c r="B1120" i="2"/>
  <c r="H1119" i="2"/>
  <c r="G1119" i="2"/>
  <c r="F1119" i="2"/>
  <c r="D1119" i="2"/>
  <c r="B1119" i="2"/>
  <c r="H1118" i="2"/>
  <c r="G1118" i="2"/>
  <c r="F1118" i="2"/>
  <c r="D1118" i="2"/>
  <c r="B1118" i="2"/>
  <c r="H1117" i="2"/>
  <c r="G1117" i="2"/>
  <c r="F1117" i="2"/>
  <c r="D1117" i="2"/>
  <c r="B1117" i="2"/>
  <c r="H1116" i="2"/>
  <c r="G1116" i="2"/>
  <c r="F1116" i="2"/>
  <c r="D1116" i="2"/>
  <c r="B1116" i="2"/>
  <c r="H1115" i="2"/>
  <c r="G1115" i="2"/>
  <c r="F1115" i="2"/>
  <c r="D1115" i="2"/>
  <c r="B1115" i="2"/>
  <c r="H1114" i="2"/>
  <c r="G1114" i="2"/>
  <c r="F1114" i="2"/>
  <c r="D1114" i="2"/>
  <c r="B1114" i="2"/>
  <c r="H1113" i="2"/>
  <c r="G1113" i="2"/>
  <c r="F1113" i="2"/>
  <c r="D1113" i="2"/>
  <c r="B1113" i="2"/>
  <c r="H1112" i="2"/>
  <c r="G1112" i="2"/>
  <c r="F1112" i="2"/>
  <c r="D1112" i="2"/>
  <c r="B1112" i="2"/>
  <c r="H1111" i="2"/>
  <c r="G1111" i="2"/>
  <c r="F1111" i="2"/>
  <c r="D1111" i="2"/>
  <c r="B1111" i="2"/>
  <c r="H1110" i="2"/>
  <c r="G1110" i="2"/>
  <c r="F1110" i="2"/>
  <c r="D1110" i="2"/>
  <c r="B1110" i="2"/>
  <c r="H1109" i="2"/>
  <c r="G1109" i="2"/>
  <c r="F1109" i="2"/>
  <c r="D1109" i="2"/>
  <c r="B1109" i="2"/>
  <c r="H1108" i="2"/>
  <c r="G1108" i="2"/>
  <c r="F1108" i="2"/>
  <c r="D1108" i="2"/>
  <c r="B1108" i="2"/>
  <c r="H1107" i="2"/>
  <c r="G1107" i="2"/>
  <c r="F1107" i="2"/>
  <c r="D1107" i="2"/>
  <c r="B1107" i="2"/>
  <c r="H1106" i="2"/>
  <c r="G1106" i="2"/>
  <c r="F1106" i="2"/>
  <c r="D1106" i="2"/>
  <c r="B1106" i="2"/>
  <c r="H1105" i="2"/>
  <c r="G1105" i="2"/>
  <c r="F1105" i="2"/>
  <c r="D1105" i="2"/>
  <c r="B1105" i="2"/>
  <c r="H1104" i="2"/>
  <c r="G1104" i="2"/>
  <c r="F1104" i="2"/>
  <c r="D1104" i="2"/>
  <c r="B1104" i="2"/>
  <c r="H1103" i="2"/>
  <c r="G1103" i="2"/>
  <c r="F1103" i="2"/>
  <c r="D1103" i="2"/>
  <c r="B1103" i="2"/>
  <c r="H1102" i="2"/>
  <c r="G1102" i="2"/>
  <c r="F1102" i="2"/>
  <c r="D1102" i="2"/>
  <c r="B1102" i="2"/>
  <c r="H1101" i="2"/>
  <c r="G1101" i="2"/>
  <c r="F1101" i="2"/>
  <c r="D1101" i="2"/>
  <c r="B1101" i="2"/>
  <c r="H1100" i="2"/>
  <c r="G1100" i="2"/>
  <c r="F1100" i="2"/>
  <c r="D1100" i="2"/>
  <c r="B1100" i="2"/>
  <c r="H1099" i="2"/>
  <c r="G1099" i="2"/>
  <c r="F1099" i="2"/>
  <c r="D1099" i="2"/>
  <c r="B1099" i="2"/>
  <c r="H1098" i="2"/>
  <c r="G1098" i="2"/>
  <c r="F1098" i="2"/>
  <c r="D1098" i="2"/>
  <c r="B1098" i="2"/>
  <c r="H1097" i="2"/>
  <c r="G1097" i="2"/>
  <c r="F1097" i="2"/>
  <c r="D1097" i="2"/>
  <c r="B1097" i="2"/>
  <c r="H1096" i="2"/>
  <c r="G1096" i="2"/>
  <c r="F1096" i="2"/>
  <c r="D1096" i="2"/>
  <c r="B1096" i="2"/>
  <c r="H1095" i="2"/>
  <c r="G1095" i="2"/>
  <c r="F1095" i="2"/>
  <c r="D1095" i="2"/>
  <c r="B1095" i="2"/>
  <c r="H1094" i="2"/>
  <c r="G1094" i="2"/>
  <c r="F1094" i="2"/>
  <c r="D1094" i="2"/>
  <c r="B1094" i="2"/>
  <c r="H1093" i="2"/>
  <c r="G1093" i="2"/>
  <c r="F1093" i="2"/>
  <c r="D1093" i="2"/>
  <c r="B1093" i="2"/>
  <c r="H1092" i="2"/>
  <c r="G1092" i="2"/>
  <c r="F1092" i="2"/>
  <c r="D1092" i="2"/>
  <c r="B1092" i="2"/>
  <c r="H1091" i="2"/>
  <c r="G1091" i="2"/>
  <c r="F1091" i="2"/>
  <c r="D1091" i="2"/>
  <c r="B1091" i="2"/>
  <c r="H1090" i="2"/>
  <c r="G1090" i="2"/>
  <c r="F1090" i="2"/>
  <c r="D1090" i="2"/>
  <c r="B1090" i="2"/>
  <c r="H1089" i="2"/>
  <c r="G1089" i="2"/>
  <c r="F1089" i="2"/>
  <c r="D1089" i="2"/>
  <c r="B1089" i="2"/>
  <c r="H1088" i="2"/>
  <c r="G1088" i="2"/>
  <c r="F1088" i="2"/>
  <c r="D1088" i="2"/>
  <c r="B1088" i="2"/>
  <c r="H1087" i="2"/>
  <c r="G1087" i="2"/>
  <c r="F1087" i="2"/>
  <c r="D1087" i="2"/>
  <c r="B1087" i="2"/>
  <c r="H1086" i="2"/>
  <c r="G1086" i="2"/>
  <c r="F1086" i="2"/>
  <c r="D1086" i="2"/>
  <c r="B1086" i="2"/>
  <c r="H1085" i="2"/>
  <c r="G1085" i="2"/>
  <c r="F1085" i="2"/>
  <c r="D1085" i="2"/>
  <c r="B1085" i="2"/>
  <c r="H1084" i="2"/>
  <c r="G1084" i="2"/>
  <c r="F1084" i="2"/>
  <c r="D1084" i="2"/>
  <c r="B1084" i="2"/>
  <c r="H1083" i="2"/>
  <c r="G1083" i="2"/>
  <c r="F1083" i="2"/>
  <c r="D1083" i="2"/>
  <c r="B1083" i="2"/>
  <c r="H1082" i="2"/>
  <c r="G1082" i="2"/>
  <c r="F1082" i="2"/>
  <c r="D1082" i="2"/>
  <c r="B1082" i="2"/>
  <c r="H1081" i="2"/>
  <c r="G1081" i="2"/>
  <c r="F1081" i="2"/>
  <c r="D1081" i="2"/>
  <c r="B1081" i="2"/>
  <c r="H1080" i="2"/>
  <c r="G1080" i="2"/>
  <c r="F1080" i="2"/>
  <c r="D1080" i="2"/>
  <c r="B1080" i="2"/>
  <c r="H1079" i="2"/>
  <c r="G1079" i="2"/>
  <c r="F1079" i="2"/>
  <c r="D1079" i="2"/>
  <c r="B1079" i="2"/>
  <c r="H1078" i="2"/>
  <c r="G1078" i="2"/>
  <c r="F1078" i="2"/>
  <c r="D1078" i="2"/>
  <c r="B1078" i="2"/>
  <c r="H1077" i="2"/>
  <c r="G1077" i="2"/>
  <c r="F1077" i="2"/>
  <c r="D1077" i="2"/>
  <c r="B1077" i="2"/>
  <c r="H1076" i="2"/>
  <c r="G1076" i="2"/>
  <c r="F1076" i="2"/>
  <c r="D1076" i="2"/>
  <c r="B1076" i="2"/>
  <c r="H1075" i="2"/>
  <c r="G1075" i="2"/>
  <c r="F1075" i="2"/>
  <c r="D1075" i="2"/>
  <c r="B1075" i="2"/>
  <c r="H1074" i="2"/>
  <c r="G1074" i="2"/>
  <c r="F1074" i="2"/>
  <c r="D1074" i="2"/>
  <c r="B1074" i="2"/>
  <c r="H1073" i="2"/>
  <c r="G1073" i="2"/>
  <c r="F1073" i="2"/>
  <c r="D1073" i="2"/>
  <c r="B1073" i="2"/>
  <c r="H1072" i="2"/>
  <c r="G1072" i="2"/>
  <c r="F1072" i="2"/>
  <c r="D1072" i="2"/>
  <c r="B1072" i="2"/>
  <c r="H1071" i="2"/>
  <c r="G1071" i="2"/>
  <c r="F1071" i="2"/>
  <c r="D1071" i="2"/>
  <c r="B1071" i="2"/>
  <c r="H1070" i="2"/>
  <c r="G1070" i="2"/>
  <c r="F1070" i="2"/>
  <c r="D1070" i="2"/>
  <c r="B1070" i="2"/>
  <c r="H1069" i="2"/>
  <c r="G1069" i="2"/>
  <c r="F1069" i="2"/>
  <c r="D1069" i="2"/>
  <c r="B1069" i="2"/>
  <c r="H1068" i="2"/>
  <c r="G1068" i="2"/>
  <c r="F1068" i="2"/>
  <c r="D1068" i="2"/>
  <c r="B1068" i="2"/>
  <c r="H1067" i="2"/>
  <c r="G1067" i="2"/>
  <c r="F1067" i="2"/>
  <c r="D1067" i="2"/>
  <c r="B1067" i="2"/>
  <c r="H1066" i="2"/>
  <c r="G1066" i="2"/>
  <c r="F1066" i="2"/>
  <c r="D1066" i="2"/>
  <c r="B1066" i="2"/>
  <c r="H1065" i="2"/>
  <c r="G1065" i="2"/>
  <c r="F1065" i="2"/>
  <c r="D1065" i="2"/>
  <c r="B1065" i="2"/>
  <c r="H1064" i="2"/>
  <c r="G1064" i="2"/>
  <c r="F1064" i="2"/>
  <c r="D1064" i="2"/>
  <c r="B1064" i="2"/>
  <c r="H1063" i="2"/>
  <c r="G1063" i="2"/>
  <c r="F1063" i="2"/>
  <c r="D1063" i="2"/>
  <c r="B1063" i="2"/>
  <c r="H1062" i="2"/>
  <c r="G1062" i="2"/>
  <c r="F1062" i="2"/>
  <c r="D1062" i="2"/>
  <c r="B1062" i="2"/>
  <c r="H1061" i="2"/>
  <c r="G1061" i="2"/>
  <c r="F1061" i="2"/>
  <c r="D1061" i="2"/>
  <c r="B1061" i="2"/>
  <c r="H1060" i="2"/>
  <c r="G1060" i="2"/>
  <c r="F1060" i="2"/>
  <c r="D1060" i="2"/>
  <c r="B1060" i="2"/>
  <c r="H1059" i="2"/>
  <c r="G1059" i="2"/>
  <c r="F1059" i="2"/>
  <c r="D1059" i="2"/>
  <c r="B1059" i="2"/>
  <c r="H1058" i="2"/>
  <c r="G1058" i="2"/>
  <c r="F1058" i="2"/>
  <c r="D1058" i="2"/>
  <c r="B1058" i="2"/>
  <c r="H1057" i="2"/>
  <c r="G1057" i="2"/>
  <c r="F1057" i="2"/>
  <c r="D1057" i="2"/>
  <c r="B1057" i="2"/>
  <c r="H1056" i="2"/>
  <c r="G1056" i="2"/>
  <c r="F1056" i="2"/>
  <c r="D1056" i="2"/>
  <c r="B1056" i="2"/>
  <c r="H1055" i="2"/>
  <c r="G1055" i="2"/>
  <c r="F1055" i="2"/>
  <c r="D1055" i="2"/>
  <c r="B1055" i="2"/>
  <c r="H1054" i="2"/>
  <c r="G1054" i="2"/>
  <c r="F1054" i="2"/>
  <c r="D1054" i="2"/>
  <c r="B1054" i="2"/>
  <c r="H1053" i="2"/>
  <c r="G1053" i="2"/>
  <c r="F1053" i="2"/>
  <c r="D1053" i="2"/>
  <c r="B1053" i="2"/>
  <c r="H1052" i="2"/>
  <c r="G1052" i="2"/>
  <c r="F1052" i="2"/>
  <c r="D1052" i="2"/>
  <c r="B1052" i="2"/>
  <c r="H1051" i="2"/>
  <c r="G1051" i="2"/>
  <c r="F1051" i="2"/>
  <c r="D1051" i="2"/>
  <c r="B1051" i="2"/>
  <c r="H1050" i="2"/>
  <c r="G1050" i="2"/>
  <c r="F1050" i="2"/>
  <c r="D1050" i="2"/>
  <c r="B1050" i="2"/>
  <c r="H1049" i="2"/>
  <c r="G1049" i="2"/>
  <c r="F1049" i="2"/>
  <c r="D1049" i="2"/>
  <c r="B1049" i="2"/>
  <c r="H1048" i="2"/>
  <c r="G1048" i="2"/>
  <c r="F1048" i="2"/>
  <c r="D1048" i="2"/>
  <c r="B1048" i="2"/>
  <c r="H1047" i="2"/>
  <c r="G1047" i="2"/>
  <c r="F1047" i="2"/>
  <c r="D1047" i="2"/>
  <c r="B1047" i="2"/>
  <c r="H1046" i="2"/>
  <c r="G1046" i="2"/>
  <c r="F1046" i="2"/>
  <c r="D1046" i="2"/>
  <c r="B1046" i="2"/>
  <c r="H1045" i="2"/>
  <c r="G1045" i="2"/>
  <c r="F1045" i="2"/>
  <c r="D1045" i="2"/>
  <c r="B1045" i="2"/>
  <c r="H1044" i="2"/>
  <c r="G1044" i="2"/>
  <c r="F1044" i="2"/>
  <c r="D1044" i="2"/>
  <c r="B1044" i="2"/>
  <c r="H1043" i="2"/>
  <c r="G1043" i="2"/>
  <c r="F1043" i="2"/>
  <c r="D1043" i="2"/>
  <c r="B1043" i="2"/>
  <c r="H1042" i="2"/>
  <c r="G1042" i="2"/>
  <c r="F1042" i="2"/>
  <c r="D1042" i="2"/>
  <c r="B1042" i="2"/>
  <c r="H1041" i="2"/>
  <c r="G1041" i="2"/>
  <c r="F1041" i="2"/>
  <c r="D1041" i="2"/>
  <c r="B1041" i="2"/>
  <c r="H1040" i="2"/>
  <c r="G1040" i="2"/>
  <c r="F1040" i="2"/>
  <c r="D1040" i="2"/>
  <c r="B1040" i="2"/>
  <c r="H1039" i="2"/>
  <c r="G1039" i="2"/>
  <c r="F1039" i="2"/>
  <c r="D1039" i="2"/>
  <c r="B1039" i="2"/>
  <c r="H1038" i="2"/>
  <c r="G1038" i="2"/>
  <c r="F1038" i="2"/>
  <c r="D1038" i="2"/>
  <c r="B1038" i="2"/>
  <c r="H1037" i="2"/>
  <c r="G1037" i="2"/>
  <c r="F1037" i="2"/>
  <c r="D1037" i="2"/>
  <c r="B1037" i="2"/>
  <c r="H1036" i="2"/>
  <c r="G1036" i="2"/>
  <c r="F1036" i="2"/>
  <c r="D1036" i="2"/>
  <c r="B1036" i="2"/>
  <c r="H1035" i="2"/>
  <c r="G1035" i="2"/>
  <c r="F1035" i="2"/>
  <c r="D1035" i="2"/>
  <c r="B1035" i="2"/>
  <c r="H1034" i="2"/>
  <c r="G1034" i="2"/>
  <c r="F1034" i="2"/>
  <c r="D1034" i="2"/>
  <c r="B1034" i="2"/>
  <c r="H1033" i="2"/>
  <c r="G1033" i="2"/>
  <c r="F1033" i="2"/>
  <c r="D1033" i="2"/>
  <c r="B1033" i="2"/>
  <c r="H1032" i="2"/>
  <c r="G1032" i="2"/>
  <c r="F1032" i="2"/>
  <c r="D1032" i="2"/>
  <c r="B1032" i="2"/>
  <c r="H1031" i="2"/>
  <c r="G1031" i="2"/>
  <c r="F1031" i="2"/>
  <c r="D1031" i="2"/>
  <c r="B1031" i="2"/>
  <c r="H1030" i="2"/>
  <c r="G1030" i="2"/>
  <c r="F1030" i="2"/>
  <c r="D1030" i="2"/>
  <c r="B1030" i="2"/>
  <c r="H1029" i="2"/>
  <c r="G1029" i="2"/>
  <c r="F1029" i="2"/>
  <c r="D1029" i="2"/>
  <c r="B1029" i="2"/>
  <c r="H1028" i="2"/>
  <c r="G1028" i="2"/>
  <c r="F1028" i="2"/>
  <c r="D1028" i="2"/>
  <c r="B1028" i="2"/>
  <c r="H1027" i="2"/>
  <c r="G1027" i="2"/>
  <c r="F1027" i="2"/>
  <c r="D1027" i="2"/>
  <c r="B1027" i="2"/>
  <c r="H1026" i="2"/>
  <c r="G1026" i="2"/>
  <c r="F1026" i="2"/>
  <c r="D1026" i="2"/>
  <c r="B1026" i="2"/>
  <c r="H1025" i="2"/>
  <c r="G1025" i="2"/>
  <c r="F1025" i="2"/>
  <c r="D1025" i="2"/>
  <c r="B1025" i="2"/>
  <c r="H1024" i="2"/>
  <c r="G1024" i="2"/>
  <c r="F1024" i="2"/>
  <c r="D1024" i="2"/>
  <c r="B1024" i="2"/>
  <c r="H1023" i="2"/>
  <c r="G1023" i="2"/>
  <c r="F1023" i="2"/>
  <c r="D1023" i="2"/>
  <c r="B1023" i="2"/>
  <c r="H1022" i="2"/>
  <c r="G1022" i="2"/>
  <c r="F1022" i="2"/>
  <c r="D1022" i="2"/>
  <c r="B1022" i="2"/>
  <c r="H1021" i="2"/>
  <c r="G1021" i="2"/>
  <c r="F1021" i="2"/>
  <c r="D1021" i="2"/>
  <c r="B1021" i="2"/>
  <c r="H1020" i="2"/>
  <c r="G1020" i="2"/>
  <c r="F1020" i="2"/>
  <c r="D1020" i="2"/>
  <c r="B1020" i="2"/>
  <c r="H1019" i="2"/>
  <c r="G1019" i="2"/>
  <c r="F1019" i="2"/>
  <c r="D1019" i="2"/>
  <c r="B1019" i="2"/>
  <c r="H1018" i="2"/>
  <c r="G1018" i="2"/>
  <c r="F1018" i="2"/>
  <c r="D1018" i="2"/>
  <c r="B1018" i="2"/>
  <c r="H1017" i="2"/>
  <c r="G1017" i="2"/>
  <c r="F1017" i="2"/>
  <c r="D1017" i="2"/>
  <c r="B1017" i="2"/>
  <c r="H1016" i="2"/>
  <c r="G1016" i="2"/>
  <c r="F1016" i="2"/>
  <c r="D1016" i="2"/>
  <c r="B1016" i="2"/>
  <c r="H1015" i="2"/>
  <c r="G1015" i="2"/>
  <c r="F1015" i="2"/>
  <c r="D1015" i="2"/>
  <c r="B1015" i="2"/>
  <c r="H1014" i="2"/>
  <c r="G1014" i="2"/>
  <c r="F1014" i="2"/>
  <c r="D1014" i="2"/>
  <c r="B1014" i="2"/>
  <c r="H1013" i="2"/>
  <c r="G1013" i="2"/>
  <c r="F1013" i="2"/>
  <c r="D1013" i="2"/>
  <c r="B1013" i="2"/>
  <c r="H1012" i="2"/>
  <c r="G1012" i="2"/>
  <c r="F1012" i="2"/>
  <c r="D1012" i="2"/>
  <c r="B1012" i="2"/>
  <c r="H1011" i="2"/>
  <c r="G1011" i="2"/>
  <c r="F1011" i="2"/>
  <c r="D1011" i="2"/>
  <c r="B1011" i="2"/>
  <c r="H1010" i="2"/>
  <c r="G1010" i="2"/>
  <c r="F1010" i="2"/>
  <c r="D1010" i="2"/>
  <c r="B1010" i="2"/>
  <c r="H1009" i="2"/>
  <c r="G1009" i="2"/>
  <c r="F1009" i="2"/>
  <c r="D1009" i="2"/>
  <c r="B1009" i="2"/>
  <c r="H1008" i="2"/>
  <c r="G1008" i="2"/>
  <c r="F1008" i="2"/>
  <c r="D1008" i="2"/>
  <c r="B1008" i="2"/>
  <c r="H1007" i="2"/>
  <c r="G1007" i="2"/>
  <c r="F1007" i="2"/>
  <c r="D1007" i="2"/>
  <c r="B1007" i="2"/>
  <c r="H1006" i="2"/>
  <c r="G1006" i="2"/>
  <c r="F1006" i="2"/>
  <c r="D1006" i="2"/>
  <c r="B1006" i="2"/>
  <c r="H1005" i="2"/>
  <c r="G1005" i="2"/>
  <c r="F1005" i="2"/>
  <c r="D1005" i="2"/>
  <c r="B1005" i="2"/>
  <c r="H1004" i="2"/>
  <c r="G1004" i="2"/>
  <c r="F1004" i="2"/>
  <c r="D1004" i="2"/>
  <c r="B1004" i="2"/>
  <c r="H1003" i="2"/>
  <c r="G1003" i="2"/>
  <c r="F1003" i="2"/>
  <c r="D1003" i="2"/>
  <c r="B1003" i="2"/>
  <c r="H1002" i="2"/>
  <c r="G1002" i="2"/>
  <c r="F1002" i="2"/>
  <c r="D1002" i="2"/>
  <c r="B1002" i="2"/>
  <c r="H1001" i="2"/>
  <c r="G1001" i="2"/>
  <c r="F1001" i="2"/>
  <c r="D1001" i="2"/>
  <c r="B1001" i="2"/>
  <c r="H1000" i="2"/>
  <c r="G1000" i="2"/>
  <c r="F1000" i="2"/>
  <c r="D1000" i="2"/>
  <c r="B1000" i="2"/>
  <c r="H999" i="2"/>
  <c r="G999" i="2"/>
  <c r="F999" i="2"/>
  <c r="D999" i="2"/>
  <c r="B999" i="2"/>
  <c r="H998" i="2"/>
  <c r="G998" i="2"/>
  <c r="F998" i="2"/>
  <c r="D998" i="2"/>
  <c r="B998" i="2"/>
  <c r="H997" i="2"/>
  <c r="G997" i="2"/>
  <c r="F997" i="2"/>
  <c r="D997" i="2"/>
  <c r="B997" i="2"/>
  <c r="H996" i="2"/>
  <c r="G996" i="2"/>
  <c r="F996" i="2"/>
  <c r="D996" i="2"/>
  <c r="B996" i="2"/>
  <c r="H995" i="2"/>
  <c r="G995" i="2"/>
  <c r="F995" i="2"/>
  <c r="D995" i="2"/>
  <c r="B995" i="2"/>
  <c r="H994" i="2"/>
  <c r="G994" i="2"/>
  <c r="F994" i="2"/>
  <c r="D994" i="2"/>
  <c r="B994" i="2"/>
  <c r="H993" i="2"/>
  <c r="G993" i="2"/>
  <c r="F993" i="2"/>
  <c r="D993" i="2"/>
  <c r="B993" i="2"/>
  <c r="H992" i="2"/>
  <c r="G992" i="2"/>
  <c r="F992" i="2"/>
  <c r="D992" i="2"/>
  <c r="B992" i="2"/>
  <c r="H991" i="2"/>
  <c r="G991" i="2"/>
  <c r="F991" i="2"/>
  <c r="D991" i="2"/>
  <c r="B991" i="2"/>
  <c r="H990" i="2"/>
  <c r="G990" i="2"/>
  <c r="F990" i="2"/>
  <c r="D990" i="2"/>
  <c r="B990" i="2"/>
  <c r="H989" i="2"/>
  <c r="G989" i="2"/>
  <c r="F989" i="2"/>
  <c r="D989" i="2"/>
  <c r="B989" i="2"/>
  <c r="H988" i="2"/>
  <c r="G988" i="2"/>
  <c r="F988" i="2"/>
  <c r="D988" i="2"/>
  <c r="B988" i="2"/>
  <c r="H987" i="2"/>
  <c r="G987" i="2"/>
  <c r="F987" i="2"/>
  <c r="D987" i="2"/>
  <c r="B987" i="2"/>
  <c r="H986" i="2"/>
  <c r="G986" i="2"/>
  <c r="F986" i="2"/>
  <c r="D986" i="2"/>
  <c r="B986" i="2"/>
  <c r="H985" i="2"/>
  <c r="G985" i="2"/>
  <c r="F985" i="2"/>
  <c r="D985" i="2"/>
  <c r="B985" i="2"/>
  <c r="H984" i="2"/>
  <c r="G984" i="2"/>
  <c r="F984" i="2"/>
  <c r="D984" i="2"/>
  <c r="B984" i="2"/>
  <c r="H983" i="2"/>
  <c r="G983" i="2"/>
  <c r="F983" i="2"/>
  <c r="D983" i="2"/>
  <c r="B983" i="2"/>
  <c r="H982" i="2"/>
  <c r="G982" i="2"/>
  <c r="F982" i="2"/>
  <c r="D982" i="2"/>
  <c r="B982" i="2"/>
  <c r="H981" i="2"/>
  <c r="G981" i="2"/>
  <c r="F981" i="2"/>
  <c r="D981" i="2"/>
  <c r="B981" i="2"/>
  <c r="H980" i="2"/>
  <c r="G980" i="2"/>
  <c r="F980" i="2"/>
  <c r="D980" i="2"/>
  <c r="B980" i="2"/>
  <c r="H979" i="2"/>
  <c r="G979" i="2"/>
  <c r="F979" i="2"/>
  <c r="D979" i="2"/>
  <c r="B979" i="2"/>
  <c r="H978" i="2"/>
  <c r="G978" i="2"/>
  <c r="F978" i="2"/>
  <c r="D978" i="2"/>
  <c r="B978" i="2"/>
  <c r="H977" i="2"/>
  <c r="G977" i="2"/>
  <c r="F977" i="2"/>
  <c r="D977" i="2"/>
  <c r="B977" i="2"/>
  <c r="H976" i="2"/>
  <c r="G976" i="2"/>
  <c r="F976" i="2"/>
  <c r="D976" i="2"/>
  <c r="B976" i="2"/>
  <c r="H975" i="2"/>
  <c r="G975" i="2"/>
  <c r="F975" i="2"/>
  <c r="D975" i="2"/>
  <c r="B975" i="2"/>
  <c r="H974" i="2"/>
  <c r="G974" i="2"/>
  <c r="F974" i="2"/>
  <c r="D974" i="2"/>
  <c r="B974" i="2"/>
  <c r="H973" i="2"/>
  <c r="G973" i="2"/>
  <c r="F973" i="2"/>
  <c r="D973" i="2"/>
  <c r="B973" i="2"/>
  <c r="H972" i="2"/>
  <c r="G972" i="2"/>
  <c r="F972" i="2"/>
  <c r="D972" i="2"/>
  <c r="B972" i="2"/>
  <c r="H971" i="2"/>
  <c r="G971" i="2"/>
  <c r="F971" i="2"/>
  <c r="D971" i="2"/>
  <c r="B971" i="2"/>
  <c r="H970" i="2"/>
  <c r="G970" i="2"/>
  <c r="F970" i="2"/>
  <c r="D970" i="2"/>
  <c r="B970" i="2"/>
  <c r="H969" i="2"/>
  <c r="G969" i="2"/>
  <c r="F969" i="2"/>
  <c r="D969" i="2"/>
  <c r="B969" i="2"/>
  <c r="H968" i="2"/>
  <c r="G968" i="2"/>
  <c r="F968" i="2"/>
  <c r="D968" i="2"/>
  <c r="B968" i="2"/>
  <c r="H967" i="2"/>
  <c r="G967" i="2"/>
  <c r="F967" i="2"/>
  <c r="D967" i="2"/>
  <c r="B967" i="2"/>
  <c r="H966" i="2"/>
  <c r="G966" i="2"/>
  <c r="F966" i="2"/>
  <c r="D966" i="2"/>
  <c r="B966" i="2"/>
  <c r="H965" i="2"/>
  <c r="G965" i="2"/>
  <c r="F965" i="2"/>
  <c r="D965" i="2"/>
  <c r="B965" i="2"/>
  <c r="H964" i="2"/>
  <c r="G964" i="2"/>
  <c r="F964" i="2"/>
  <c r="D964" i="2"/>
  <c r="B964" i="2"/>
  <c r="H963" i="2"/>
  <c r="G963" i="2"/>
  <c r="F963" i="2"/>
  <c r="D963" i="2"/>
  <c r="B963" i="2"/>
  <c r="H962" i="2"/>
  <c r="G962" i="2"/>
  <c r="F962" i="2"/>
  <c r="D962" i="2"/>
  <c r="B962" i="2"/>
  <c r="H961" i="2"/>
  <c r="G961" i="2"/>
  <c r="F961" i="2"/>
  <c r="D961" i="2"/>
  <c r="B961" i="2"/>
  <c r="H960" i="2"/>
  <c r="G960" i="2"/>
  <c r="F960" i="2"/>
  <c r="D960" i="2"/>
  <c r="B960" i="2"/>
  <c r="H959" i="2"/>
  <c r="G959" i="2"/>
  <c r="F959" i="2"/>
  <c r="D959" i="2"/>
  <c r="B959" i="2"/>
  <c r="H958" i="2"/>
  <c r="G958" i="2"/>
  <c r="F958" i="2"/>
  <c r="D958" i="2"/>
  <c r="B958" i="2"/>
  <c r="H957" i="2"/>
  <c r="G957" i="2"/>
  <c r="F957" i="2"/>
  <c r="D957" i="2"/>
  <c r="B957" i="2"/>
  <c r="H956" i="2"/>
  <c r="G956" i="2"/>
  <c r="F956" i="2"/>
  <c r="D956" i="2"/>
  <c r="B956" i="2"/>
  <c r="H955" i="2"/>
  <c r="G955" i="2"/>
  <c r="F955" i="2"/>
  <c r="D955" i="2"/>
  <c r="B955" i="2"/>
  <c r="H954" i="2"/>
  <c r="G954" i="2"/>
  <c r="F954" i="2"/>
  <c r="D954" i="2"/>
  <c r="B954" i="2"/>
  <c r="H953" i="2"/>
  <c r="G953" i="2"/>
  <c r="F953" i="2"/>
  <c r="D953" i="2"/>
  <c r="B953" i="2"/>
  <c r="H952" i="2"/>
  <c r="G952" i="2"/>
  <c r="F952" i="2"/>
  <c r="D952" i="2"/>
  <c r="B952" i="2"/>
  <c r="H951" i="2"/>
  <c r="G951" i="2"/>
  <c r="F951" i="2"/>
  <c r="D951" i="2"/>
  <c r="B951" i="2"/>
  <c r="H950" i="2"/>
  <c r="G950" i="2"/>
  <c r="F950" i="2"/>
  <c r="D950" i="2"/>
  <c r="B950" i="2"/>
  <c r="H949" i="2"/>
  <c r="G949" i="2"/>
  <c r="F949" i="2"/>
  <c r="D949" i="2"/>
  <c r="B949" i="2"/>
  <c r="H948" i="2"/>
  <c r="G948" i="2"/>
  <c r="F948" i="2"/>
  <c r="D948" i="2"/>
  <c r="B948" i="2"/>
  <c r="H947" i="2"/>
  <c r="G947" i="2"/>
  <c r="F947" i="2"/>
  <c r="D947" i="2"/>
  <c r="B947" i="2"/>
  <c r="H946" i="2"/>
  <c r="G946" i="2"/>
  <c r="F946" i="2"/>
  <c r="D946" i="2"/>
  <c r="B946" i="2"/>
  <c r="H945" i="2"/>
  <c r="G945" i="2"/>
  <c r="F945" i="2"/>
  <c r="D945" i="2"/>
  <c r="B945" i="2"/>
  <c r="H944" i="2"/>
  <c r="G944" i="2"/>
  <c r="F944" i="2"/>
  <c r="D944" i="2"/>
  <c r="B944" i="2"/>
  <c r="H943" i="2"/>
  <c r="G943" i="2"/>
  <c r="F943" i="2"/>
  <c r="D943" i="2"/>
  <c r="B943" i="2"/>
  <c r="H942" i="2"/>
  <c r="G942" i="2"/>
  <c r="F942" i="2"/>
  <c r="D942" i="2"/>
  <c r="B942" i="2"/>
  <c r="H941" i="2"/>
  <c r="G941" i="2"/>
  <c r="F941" i="2"/>
  <c r="D941" i="2"/>
  <c r="B941" i="2"/>
  <c r="H940" i="2"/>
  <c r="G940" i="2"/>
  <c r="F940" i="2"/>
  <c r="D940" i="2"/>
  <c r="B940" i="2"/>
  <c r="H939" i="2"/>
  <c r="G939" i="2"/>
  <c r="F939" i="2"/>
  <c r="D939" i="2"/>
  <c r="B939" i="2"/>
  <c r="H938" i="2"/>
  <c r="G938" i="2"/>
  <c r="F938" i="2"/>
  <c r="D938" i="2"/>
  <c r="B938" i="2"/>
  <c r="H937" i="2"/>
  <c r="G937" i="2"/>
  <c r="F937" i="2"/>
  <c r="D937" i="2"/>
  <c r="B937" i="2"/>
  <c r="H936" i="2"/>
  <c r="G936" i="2"/>
  <c r="F936" i="2"/>
  <c r="D936" i="2"/>
  <c r="B936" i="2"/>
  <c r="H935" i="2"/>
  <c r="G935" i="2"/>
  <c r="F935" i="2"/>
  <c r="D935" i="2"/>
  <c r="B935" i="2"/>
  <c r="H934" i="2"/>
  <c r="G934" i="2"/>
  <c r="F934" i="2"/>
  <c r="D934" i="2"/>
  <c r="B934" i="2"/>
  <c r="H933" i="2"/>
  <c r="G933" i="2"/>
  <c r="F933" i="2"/>
  <c r="D933" i="2"/>
  <c r="B933" i="2"/>
  <c r="H932" i="2"/>
  <c r="G932" i="2"/>
  <c r="F932" i="2"/>
  <c r="D932" i="2"/>
  <c r="B932" i="2"/>
  <c r="H931" i="2"/>
  <c r="G931" i="2"/>
  <c r="F931" i="2"/>
  <c r="D931" i="2"/>
  <c r="B931" i="2"/>
  <c r="H930" i="2"/>
  <c r="G930" i="2"/>
  <c r="F930" i="2"/>
  <c r="D930" i="2"/>
  <c r="B930" i="2"/>
  <c r="H929" i="2"/>
  <c r="G929" i="2"/>
  <c r="F929" i="2"/>
  <c r="D929" i="2"/>
  <c r="B929" i="2"/>
  <c r="H928" i="2"/>
  <c r="G928" i="2"/>
  <c r="F928" i="2"/>
  <c r="D928" i="2"/>
  <c r="B928" i="2"/>
  <c r="H927" i="2"/>
  <c r="G927" i="2"/>
  <c r="F927" i="2"/>
  <c r="D927" i="2"/>
  <c r="B927" i="2"/>
  <c r="H926" i="2"/>
  <c r="G926" i="2"/>
  <c r="F926" i="2"/>
  <c r="D926" i="2"/>
  <c r="B926" i="2"/>
  <c r="H925" i="2"/>
  <c r="G925" i="2"/>
  <c r="F925" i="2"/>
  <c r="D925" i="2"/>
  <c r="B925" i="2"/>
  <c r="H924" i="2"/>
  <c r="G924" i="2"/>
  <c r="F924" i="2"/>
  <c r="D924" i="2"/>
  <c r="B924" i="2"/>
  <c r="H923" i="2"/>
  <c r="G923" i="2"/>
  <c r="F923" i="2"/>
  <c r="D923" i="2"/>
  <c r="B923" i="2"/>
  <c r="H922" i="2"/>
  <c r="G922" i="2"/>
  <c r="F922" i="2"/>
  <c r="D922" i="2"/>
  <c r="B922" i="2"/>
  <c r="H921" i="2"/>
  <c r="G921" i="2"/>
  <c r="F921" i="2"/>
  <c r="D921" i="2"/>
  <c r="B921" i="2"/>
  <c r="H920" i="2"/>
  <c r="G920" i="2"/>
  <c r="F920" i="2"/>
  <c r="D920" i="2"/>
  <c r="B920" i="2"/>
  <c r="H919" i="2"/>
  <c r="G919" i="2"/>
  <c r="F919" i="2"/>
  <c r="D919" i="2"/>
  <c r="B919" i="2"/>
  <c r="H918" i="2"/>
  <c r="G918" i="2"/>
  <c r="F918" i="2"/>
  <c r="D918" i="2"/>
  <c r="B918" i="2"/>
  <c r="H917" i="2"/>
  <c r="G917" i="2"/>
  <c r="F917" i="2"/>
  <c r="D917" i="2"/>
  <c r="B917" i="2"/>
  <c r="H916" i="2"/>
  <c r="G916" i="2"/>
  <c r="F916" i="2"/>
  <c r="D916" i="2"/>
  <c r="B916" i="2"/>
  <c r="H915" i="2"/>
  <c r="G915" i="2"/>
  <c r="F915" i="2"/>
  <c r="D915" i="2"/>
  <c r="B915" i="2"/>
  <c r="H914" i="2"/>
  <c r="G914" i="2"/>
  <c r="F914" i="2"/>
  <c r="D914" i="2"/>
  <c r="B914" i="2"/>
  <c r="H913" i="2"/>
  <c r="G913" i="2"/>
  <c r="F913" i="2"/>
  <c r="D913" i="2"/>
  <c r="B913" i="2"/>
  <c r="H912" i="2"/>
  <c r="G912" i="2"/>
  <c r="F912" i="2"/>
  <c r="D912" i="2"/>
  <c r="B912" i="2"/>
  <c r="H911" i="2"/>
  <c r="G911" i="2"/>
  <c r="F911" i="2"/>
  <c r="D911" i="2"/>
  <c r="B911" i="2"/>
  <c r="H910" i="2"/>
  <c r="G910" i="2"/>
  <c r="F910" i="2"/>
  <c r="D910" i="2"/>
  <c r="B910" i="2"/>
  <c r="H909" i="2"/>
  <c r="G909" i="2"/>
  <c r="F909" i="2"/>
  <c r="D909" i="2"/>
  <c r="B909" i="2"/>
  <c r="H908" i="2"/>
  <c r="G908" i="2"/>
  <c r="F908" i="2"/>
  <c r="D908" i="2"/>
  <c r="B908" i="2"/>
  <c r="H907" i="2"/>
  <c r="G907" i="2"/>
  <c r="F907" i="2"/>
  <c r="D907" i="2"/>
  <c r="B907" i="2"/>
  <c r="H906" i="2"/>
  <c r="G906" i="2"/>
  <c r="F906" i="2"/>
  <c r="D906" i="2"/>
  <c r="B906" i="2"/>
  <c r="H905" i="2"/>
  <c r="G905" i="2"/>
  <c r="F905" i="2"/>
  <c r="D905" i="2"/>
  <c r="B905" i="2"/>
  <c r="H904" i="2"/>
  <c r="G904" i="2"/>
  <c r="F904" i="2"/>
  <c r="D904" i="2"/>
  <c r="B904" i="2"/>
  <c r="H903" i="2"/>
  <c r="G903" i="2"/>
  <c r="F903" i="2"/>
  <c r="D903" i="2"/>
  <c r="B903" i="2"/>
  <c r="H902" i="2"/>
  <c r="G902" i="2"/>
  <c r="F902" i="2"/>
  <c r="D902" i="2"/>
  <c r="B902" i="2"/>
  <c r="H901" i="2"/>
  <c r="G901" i="2"/>
  <c r="F901" i="2"/>
  <c r="D901" i="2"/>
  <c r="B901" i="2"/>
  <c r="H900" i="2"/>
  <c r="G900" i="2"/>
  <c r="F900" i="2"/>
  <c r="D900" i="2"/>
  <c r="B900" i="2"/>
  <c r="H899" i="2"/>
  <c r="G899" i="2"/>
  <c r="F899" i="2"/>
  <c r="D899" i="2"/>
  <c r="B899" i="2"/>
  <c r="H898" i="2"/>
  <c r="G898" i="2"/>
  <c r="F898" i="2"/>
  <c r="D898" i="2"/>
  <c r="B898" i="2"/>
  <c r="H897" i="2"/>
  <c r="G897" i="2"/>
  <c r="F897" i="2"/>
  <c r="D897" i="2"/>
  <c r="B897" i="2"/>
  <c r="H896" i="2"/>
  <c r="G896" i="2"/>
  <c r="F896" i="2"/>
  <c r="D896" i="2"/>
  <c r="B896" i="2"/>
  <c r="H895" i="2"/>
  <c r="G895" i="2"/>
  <c r="F895" i="2"/>
  <c r="D895" i="2"/>
  <c r="B895" i="2"/>
  <c r="H894" i="2"/>
  <c r="G894" i="2"/>
  <c r="F894" i="2"/>
  <c r="D894" i="2"/>
  <c r="B894" i="2"/>
  <c r="H893" i="2"/>
  <c r="G893" i="2"/>
  <c r="F893" i="2"/>
  <c r="D893" i="2"/>
  <c r="B893" i="2"/>
  <c r="H892" i="2"/>
  <c r="G892" i="2"/>
  <c r="F892" i="2"/>
  <c r="D892" i="2"/>
  <c r="B892" i="2"/>
  <c r="H891" i="2"/>
  <c r="G891" i="2"/>
  <c r="F891" i="2"/>
  <c r="D891" i="2"/>
  <c r="B891" i="2"/>
  <c r="H890" i="2"/>
  <c r="G890" i="2"/>
  <c r="F890" i="2"/>
  <c r="D890" i="2"/>
  <c r="B890" i="2"/>
  <c r="H889" i="2"/>
  <c r="G889" i="2"/>
  <c r="F889" i="2"/>
  <c r="D889" i="2"/>
  <c r="B889" i="2"/>
  <c r="H888" i="2"/>
  <c r="G888" i="2"/>
  <c r="F888" i="2"/>
  <c r="D888" i="2"/>
  <c r="B888" i="2"/>
  <c r="H887" i="2"/>
  <c r="G887" i="2"/>
  <c r="F887" i="2"/>
  <c r="D887" i="2"/>
  <c r="B887" i="2"/>
  <c r="H886" i="2"/>
  <c r="G886" i="2"/>
  <c r="F886" i="2"/>
  <c r="D886" i="2"/>
  <c r="B886" i="2"/>
  <c r="H885" i="2"/>
  <c r="G885" i="2"/>
  <c r="F885" i="2"/>
  <c r="D885" i="2"/>
  <c r="B885" i="2"/>
  <c r="H884" i="2"/>
  <c r="G884" i="2"/>
  <c r="F884" i="2"/>
  <c r="D884" i="2"/>
  <c r="B884" i="2"/>
  <c r="H883" i="2"/>
  <c r="G883" i="2"/>
  <c r="F883" i="2"/>
  <c r="D883" i="2"/>
  <c r="B883" i="2"/>
  <c r="H882" i="2"/>
  <c r="G882" i="2"/>
  <c r="F882" i="2"/>
  <c r="D882" i="2"/>
  <c r="B882" i="2"/>
  <c r="H881" i="2"/>
  <c r="G881" i="2"/>
  <c r="F881" i="2"/>
  <c r="D881" i="2"/>
  <c r="B881" i="2"/>
  <c r="H880" i="2"/>
  <c r="G880" i="2"/>
  <c r="F880" i="2"/>
  <c r="D880" i="2"/>
  <c r="B880" i="2"/>
  <c r="H879" i="2"/>
  <c r="G879" i="2"/>
  <c r="F879" i="2"/>
  <c r="D879" i="2"/>
  <c r="B879" i="2"/>
  <c r="H878" i="2"/>
  <c r="G878" i="2"/>
  <c r="F878" i="2"/>
  <c r="D878" i="2"/>
  <c r="B878" i="2"/>
  <c r="H877" i="2"/>
  <c r="G877" i="2"/>
  <c r="F877" i="2"/>
  <c r="D877" i="2"/>
  <c r="B877" i="2"/>
  <c r="H876" i="2"/>
  <c r="G876" i="2"/>
  <c r="F876" i="2"/>
  <c r="D876" i="2"/>
  <c r="B876" i="2"/>
  <c r="H875" i="2"/>
  <c r="G875" i="2"/>
  <c r="F875" i="2"/>
  <c r="D875" i="2"/>
  <c r="B875" i="2"/>
  <c r="H874" i="2"/>
  <c r="G874" i="2"/>
  <c r="F874" i="2"/>
  <c r="D874" i="2"/>
  <c r="B874" i="2"/>
  <c r="H873" i="2"/>
  <c r="G873" i="2"/>
  <c r="F873" i="2"/>
  <c r="D873" i="2"/>
  <c r="B873" i="2"/>
  <c r="H872" i="2"/>
  <c r="G872" i="2"/>
  <c r="F872" i="2"/>
  <c r="D872" i="2"/>
  <c r="B872" i="2"/>
  <c r="H871" i="2"/>
  <c r="G871" i="2"/>
  <c r="F871" i="2"/>
  <c r="D871" i="2"/>
  <c r="B871" i="2"/>
  <c r="H870" i="2"/>
  <c r="G870" i="2"/>
  <c r="F870" i="2"/>
  <c r="D870" i="2"/>
  <c r="B870" i="2"/>
  <c r="H869" i="2"/>
  <c r="G869" i="2"/>
  <c r="F869" i="2"/>
  <c r="D869" i="2"/>
  <c r="B869" i="2"/>
  <c r="H868" i="2"/>
  <c r="G868" i="2"/>
  <c r="F868" i="2"/>
  <c r="D868" i="2"/>
  <c r="B868" i="2"/>
  <c r="H867" i="2"/>
  <c r="G867" i="2"/>
  <c r="F867" i="2"/>
  <c r="D867" i="2"/>
  <c r="B867" i="2"/>
  <c r="H866" i="2"/>
  <c r="G866" i="2"/>
  <c r="F866" i="2"/>
  <c r="D866" i="2"/>
  <c r="B866" i="2"/>
  <c r="H865" i="2"/>
  <c r="G865" i="2"/>
  <c r="F865" i="2"/>
  <c r="D865" i="2"/>
  <c r="B865" i="2"/>
  <c r="H864" i="2"/>
  <c r="G864" i="2"/>
  <c r="F864" i="2"/>
  <c r="D864" i="2"/>
  <c r="B864" i="2"/>
  <c r="H863" i="2"/>
  <c r="G863" i="2"/>
  <c r="F863" i="2"/>
  <c r="D863" i="2"/>
  <c r="B863" i="2"/>
  <c r="H862" i="2"/>
  <c r="G862" i="2"/>
  <c r="F862" i="2"/>
  <c r="D862" i="2"/>
  <c r="B862" i="2"/>
  <c r="H861" i="2"/>
  <c r="G861" i="2"/>
  <c r="F861" i="2"/>
  <c r="D861" i="2"/>
  <c r="B861" i="2"/>
  <c r="G860" i="2"/>
  <c r="D860" i="2"/>
  <c r="B860" i="2"/>
  <c r="G859" i="2"/>
  <c r="D859" i="2"/>
  <c r="B859" i="2"/>
  <c r="G858" i="2"/>
  <c r="D858" i="2"/>
  <c r="B858" i="2"/>
  <c r="G857" i="2"/>
  <c r="D857" i="2"/>
  <c r="B857" i="2"/>
  <c r="G856" i="2"/>
  <c r="D856" i="2"/>
  <c r="B856" i="2"/>
  <c r="G855" i="2"/>
  <c r="D855" i="2"/>
  <c r="B855" i="2"/>
  <c r="G854" i="2"/>
  <c r="D854" i="2"/>
  <c r="B854" i="2"/>
  <c r="H853" i="2"/>
  <c r="G853" i="2"/>
  <c r="F853" i="2"/>
  <c r="D853" i="2"/>
  <c r="B853" i="2"/>
  <c r="H852" i="2"/>
  <c r="G852" i="2"/>
  <c r="F852" i="2"/>
  <c r="D852" i="2"/>
  <c r="B852" i="2"/>
  <c r="H851" i="2"/>
  <c r="G851" i="2"/>
  <c r="F851" i="2"/>
  <c r="D851" i="2"/>
  <c r="B851" i="2"/>
  <c r="H850" i="2"/>
  <c r="G850" i="2"/>
  <c r="F850" i="2"/>
  <c r="D850" i="2"/>
  <c r="B850" i="2"/>
  <c r="H849" i="2"/>
  <c r="G849" i="2"/>
  <c r="F849" i="2"/>
  <c r="D849" i="2"/>
  <c r="B849" i="2"/>
  <c r="H848" i="2"/>
  <c r="G848" i="2"/>
  <c r="F848" i="2"/>
  <c r="D848" i="2"/>
  <c r="B848" i="2"/>
  <c r="H847" i="2"/>
  <c r="G847" i="2"/>
  <c r="F847" i="2"/>
  <c r="D847" i="2"/>
  <c r="B847" i="2"/>
  <c r="H846" i="2"/>
  <c r="G846" i="2"/>
  <c r="F846" i="2"/>
  <c r="D846" i="2"/>
  <c r="B846" i="2"/>
  <c r="H845" i="2"/>
  <c r="G845" i="2"/>
  <c r="F845" i="2"/>
  <c r="D845" i="2"/>
  <c r="B845" i="2"/>
  <c r="H844" i="2"/>
  <c r="G844" i="2"/>
  <c r="F844" i="2"/>
  <c r="D844" i="2"/>
  <c r="B844" i="2"/>
  <c r="H843" i="2"/>
  <c r="G843" i="2"/>
  <c r="F843" i="2"/>
  <c r="D843" i="2"/>
  <c r="B843" i="2"/>
  <c r="H842" i="2"/>
  <c r="G842" i="2"/>
  <c r="F842" i="2"/>
  <c r="D842" i="2"/>
  <c r="B842" i="2"/>
  <c r="H841" i="2"/>
  <c r="G841" i="2"/>
  <c r="F841" i="2"/>
  <c r="D841" i="2"/>
  <c r="B841" i="2"/>
  <c r="H840" i="2"/>
  <c r="G840" i="2"/>
  <c r="F840" i="2"/>
  <c r="D840" i="2"/>
  <c r="B840" i="2"/>
  <c r="H839" i="2"/>
  <c r="G839" i="2"/>
  <c r="F839" i="2"/>
  <c r="D839" i="2"/>
  <c r="B839" i="2"/>
  <c r="H838" i="2"/>
  <c r="G838" i="2"/>
  <c r="F838" i="2"/>
  <c r="D838" i="2"/>
  <c r="B838" i="2"/>
  <c r="H837" i="2"/>
  <c r="G837" i="2"/>
  <c r="F837" i="2"/>
  <c r="D837" i="2"/>
  <c r="B837" i="2"/>
  <c r="H836" i="2"/>
  <c r="G836" i="2"/>
  <c r="F836" i="2"/>
  <c r="D836" i="2"/>
  <c r="B836" i="2"/>
  <c r="H835" i="2"/>
  <c r="G835" i="2"/>
  <c r="F835" i="2"/>
  <c r="D835" i="2"/>
  <c r="B835" i="2"/>
  <c r="H834" i="2"/>
  <c r="G834" i="2"/>
  <c r="F834" i="2"/>
  <c r="D834" i="2"/>
  <c r="B834" i="2"/>
  <c r="H833" i="2"/>
  <c r="G833" i="2"/>
  <c r="F833" i="2"/>
  <c r="D833" i="2"/>
  <c r="B833" i="2"/>
  <c r="H832" i="2"/>
  <c r="G832" i="2"/>
  <c r="F832" i="2"/>
  <c r="D832" i="2"/>
  <c r="B832" i="2"/>
  <c r="H831" i="2"/>
  <c r="G831" i="2"/>
  <c r="F831" i="2"/>
  <c r="D831" i="2"/>
  <c r="B831" i="2"/>
  <c r="H830" i="2"/>
  <c r="G830" i="2"/>
  <c r="F830" i="2"/>
  <c r="D830" i="2"/>
  <c r="B830" i="2"/>
  <c r="H829" i="2"/>
  <c r="G829" i="2"/>
  <c r="F829" i="2"/>
  <c r="D829" i="2"/>
  <c r="B829" i="2"/>
  <c r="H828" i="2"/>
  <c r="G828" i="2"/>
  <c r="F828" i="2"/>
  <c r="D828" i="2"/>
  <c r="B828" i="2"/>
  <c r="H827" i="2"/>
  <c r="G827" i="2"/>
  <c r="F827" i="2"/>
  <c r="D827" i="2"/>
  <c r="B827" i="2"/>
  <c r="H826" i="2"/>
  <c r="G826" i="2"/>
  <c r="F826" i="2"/>
  <c r="D826" i="2"/>
  <c r="B826" i="2"/>
  <c r="H825" i="2"/>
  <c r="G825" i="2"/>
  <c r="F825" i="2"/>
  <c r="D825" i="2"/>
  <c r="B825" i="2"/>
  <c r="H824" i="2"/>
  <c r="G824" i="2"/>
  <c r="F824" i="2"/>
  <c r="D824" i="2"/>
  <c r="B824" i="2"/>
  <c r="H823" i="2"/>
  <c r="G823" i="2"/>
  <c r="F823" i="2"/>
  <c r="D823" i="2"/>
  <c r="B823" i="2"/>
  <c r="H822" i="2"/>
  <c r="G822" i="2"/>
  <c r="F822" i="2"/>
  <c r="D822" i="2"/>
  <c r="B822" i="2"/>
  <c r="H821" i="2"/>
  <c r="G821" i="2"/>
  <c r="F821" i="2"/>
  <c r="D821" i="2"/>
  <c r="B821" i="2"/>
  <c r="H820" i="2"/>
  <c r="G820" i="2"/>
  <c r="F820" i="2"/>
  <c r="D820" i="2"/>
  <c r="B820" i="2"/>
  <c r="H819" i="2"/>
  <c r="G819" i="2"/>
  <c r="F819" i="2"/>
  <c r="D819" i="2"/>
  <c r="B819" i="2"/>
  <c r="H818" i="2"/>
  <c r="G818" i="2"/>
  <c r="F818" i="2"/>
  <c r="D818" i="2"/>
  <c r="B818" i="2"/>
  <c r="H817" i="2"/>
  <c r="G817" i="2"/>
  <c r="F817" i="2"/>
  <c r="D817" i="2"/>
  <c r="B817" i="2"/>
  <c r="H816" i="2"/>
  <c r="G816" i="2"/>
  <c r="F816" i="2"/>
  <c r="D816" i="2"/>
  <c r="B816" i="2"/>
  <c r="H815" i="2"/>
  <c r="G815" i="2"/>
  <c r="F815" i="2"/>
  <c r="D815" i="2"/>
  <c r="B815" i="2"/>
  <c r="H814" i="2"/>
  <c r="G814" i="2"/>
  <c r="F814" i="2"/>
  <c r="D814" i="2"/>
  <c r="B814" i="2"/>
  <c r="H813" i="2"/>
  <c r="G813" i="2"/>
  <c r="F813" i="2"/>
  <c r="D813" i="2"/>
  <c r="B813" i="2"/>
  <c r="H812" i="2"/>
  <c r="G812" i="2"/>
  <c r="F812" i="2"/>
  <c r="D812" i="2"/>
  <c r="B812" i="2"/>
  <c r="H811" i="2"/>
  <c r="G811" i="2"/>
  <c r="F811" i="2"/>
  <c r="D811" i="2"/>
  <c r="B811" i="2"/>
  <c r="H810" i="2"/>
  <c r="G810" i="2"/>
  <c r="F810" i="2"/>
  <c r="D810" i="2"/>
  <c r="B810" i="2"/>
  <c r="H809" i="2"/>
  <c r="G809" i="2"/>
  <c r="F809" i="2"/>
  <c r="D809" i="2"/>
  <c r="B809" i="2"/>
  <c r="H808" i="2"/>
  <c r="G808" i="2"/>
  <c r="F808" i="2"/>
  <c r="D808" i="2"/>
  <c r="B808" i="2"/>
  <c r="H807" i="2"/>
  <c r="G807" i="2"/>
  <c r="F807" i="2"/>
  <c r="D807" i="2"/>
  <c r="B807" i="2"/>
  <c r="H806" i="2"/>
  <c r="G806" i="2"/>
  <c r="F806" i="2"/>
  <c r="D806" i="2"/>
  <c r="B806" i="2"/>
  <c r="H805" i="2"/>
  <c r="G805" i="2"/>
  <c r="F805" i="2"/>
  <c r="D805" i="2"/>
  <c r="B805" i="2"/>
  <c r="H804" i="2"/>
  <c r="G804" i="2"/>
  <c r="F804" i="2"/>
  <c r="D804" i="2"/>
  <c r="B804" i="2"/>
  <c r="H803" i="2"/>
  <c r="G803" i="2"/>
  <c r="F803" i="2"/>
  <c r="D803" i="2"/>
  <c r="B803" i="2"/>
  <c r="H802" i="2"/>
  <c r="G802" i="2"/>
  <c r="F802" i="2"/>
  <c r="D802" i="2"/>
  <c r="B802" i="2"/>
  <c r="H801" i="2"/>
  <c r="G801" i="2"/>
  <c r="F801" i="2"/>
  <c r="D801" i="2"/>
  <c r="B801" i="2"/>
  <c r="H800" i="2"/>
  <c r="G800" i="2"/>
  <c r="F800" i="2"/>
  <c r="D800" i="2"/>
  <c r="B800" i="2"/>
  <c r="H799" i="2"/>
  <c r="G799" i="2"/>
  <c r="F799" i="2"/>
  <c r="D799" i="2"/>
  <c r="B799" i="2"/>
  <c r="H798" i="2"/>
  <c r="G798" i="2"/>
  <c r="F798" i="2"/>
  <c r="D798" i="2"/>
  <c r="B798" i="2"/>
  <c r="H797" i="2"/>
  <c r="G797" i="2"/>
  <c r="F797" i="2"/>
  <c r="D797" i="2"/>
  <c r="B797" i="2"/>
  <c r="H796" i="2"/>
  <c r="G796" i="2"/>
  <c r="F796" i="2"/>
  <c r="D796" i="2"/>
  <c r="B796" i="2"/>
  <c r="H795" i="2"/>
  <c r="G795" i="2"/>
  <c r="F795" i="2"/>
  <c r="D795" i="2"/>
  <c r="B795" i="2"/>
  <c r="H794" i="2"/>
  <c r="G794" i="2"/>
  <c r="F794" i="2"/>
  <c r="D794" i="2"/>
  <c r="B794" i="2"/>
  <c r="H793" i="2"/>
  <c r="G793" i="2"/>
  <c r="F793" i="2"/>
  <c r="D793" i="2"/>
  <c r="B793" i="2"/>
  <c r="H792" i="2"/>
  <c r="G792" i="2"/>
  <c r="F792" i="2"/>
  <c r="D792" i="2"/>
  <c r="B792" i="2"/>
  <c r="H791" i="2"/>
  <c r="G791" i="2"/>
  <c r="F791" i="2"/>
  <c r="D791" i="2"/>
  <c r="B791" i="2"/>
  <c r="H790" i="2"/>
  <c r="G790" i="2"/>
  <c r="F790" i="2"/>
  <c r="D790" i="2"/>
  <c r="B790" i="2"/>
  <c r="H789" i="2"/>
  <c r="G789" i="2"/>
  <c r="F789" i="2"/>
  <c r="D789" i="2"/>
  <c r="B789" i="2"/>
  <c r="H788" i="2"/>
  <c r="G788" i="2"/>
  <c r="F788" i="2"/>
  <c r="D788" i="2"/>
  <c r="B788" i="2"/>
  <c r="H787" i="2"/>
  <c r="G787" i="2"/>
  <c r="F787" i="2"/>
  <c r="D787" i="2"/>
  <c r="B787" i="2"/>
  <c r="H786" i="2"/>
  <c r="G786" i="2"/>
  <c r="F786" i="2"/>
  <c r="D786" i="2"/>
  <c r="B786" i="2"/>
  <c r="H785" i="2"/>
  <c r="G785" i="2"/>
  <c r="F785" i="2"/>
  <c r="D785" i="2"/>
  <c r="B785" i="2"/>
  <c r="H784" i="2"/>
  <c r="G784" i="2"/>
  <c r="F784" i="2"/>
  <c r="D784" i="2"/>
  <c r="B784" i="2"/>
  <c r="H783" i="2"/>
  <c r="G783" i="2"/>
  <c r="F783" i="2"/>
  <c r="D783" i="2"/>
  <c r="B783" i="2"/>
  <c r="H782" i="2"/>
  <c r="G782" i="2"/>
  <c r="F782" i="2"/>
  <c r="D782" i="2"/>
  <c r="B782" i="2"/>
  <c r="H781" i="2"/>
  <c r="G781" i="2"/>
  <c r="F781" i="2"/>
  <c r="D781" i="2"/>
  <c r="B781" i="2"/>
  <c r="H780" i="2"/>
  <c r="G780" i="2"/>
  <c r="F780" i="2"/>
  <c r="D780" i="2"/>
  <c r="B780" i="2"/>
  <c r="H779" i="2"/>
  <c r="G779" i="2"/>
  <c r="F779" i="2"/>
  <c r="D779" i="2"/>
  <c r="B779" i="2"/>
  <c r="H778" i="2"/>
  <c r="G778" i="2"/>
  <c r="F778" i="2"/>
  <c r="D778" i="2"/>
  <c r="B778" i="2"/>
  <c r="H777" i="2"/>
  <c r="G777" i="2"/>
  <c r="F777" i="2"/>
  <c r="D777" i="2"/>
  <c r="B777" i="2"/>
  <c r="H776" i="2"/>
  <c r="G776" i="2"/>
  <c r="F776" i="2"/>
  <c r="D776" i="2"/>
  <c r="B776" i="2"/>
  <c r="H775" i="2"/>
  <c r="G775" i="2"/>
  <c r="F775" i="2"/>
  <c r="D775" i="2"/>
  <c r="B775" i="2"/>
  <c r="H774" i="2"/>
  <c r="G774" i="2"/>
  <c r="F774" i="2"/>
  <c r="D774" i="2"/>
  <c r="B774" i="2"/>
  <c r="H773" i="2"/>
  <c r="G773" i="2"/>
  <c r="F773" i="2"/>
  <c r="D773" i="2"/>
  <c r="B773" i="2"/>
  <c r="H772" i="2"/>
  <c r="G772" i="2"/>
  <c r="F772" i="2"/>
  <c r="D772" i="2"/>
  <c r="B772" i="2"/>
  <c r="H771" i="2"/>
  <c r="G771" i="2"/>
  <c r="F771" i="2"/>
  <c r="D771" i="2"/>
  <c r="B771" i="2"/>
  <c r="H770" i="2"/>
  <c r="G770" i="2"/>
  <c r="F770" i="2"/>
  <c r="D770" i="2"/>
  <c r="B770" i="2"/>
  <c r="H769" i="2"/>
  <c r="G769" i="2"/>
  <c r="F769" i="2"/>
  <c r="D769" i="2"/>
  <c r="B769" i="2"/>
  <c r="H768" i="2"/>
  <c r="G768" i="2"/>
  <c r="F768" i="2"/>
  <c r="D768" i="2"/>
  <c r="B768" i="2"/>
  <c r="H767" i="2"/>
  <c r="G767" i="2"/>
  <c r="F767" i="2"/>
  <c r="D767" i="2"/>
  <c r="B767" i="2"/>
  <c r="H766" i="2"/>
  <c r="G766" i="2"/>
  <c r="F766" i="2"/>
  <c r="D766" i="2"/>
  <c r="B766" i="2"/>
  <c r="H765" i="2"/>
  <c r="G765" i="2"/>
  <c r="F765" i="2"/>
  <c r="D765" i="2"/>
  <c r="B765" i="2"/>
  <c r="H764" i="2"/>
  <c r="G764" i="2"/>
  <c r="F764" i="2"/>
  <c r="D764" i="2"/>
  <c r="B764" i="2"/>
  <c r="H763" i="2"/>
  <c r="G763" i="2"/>
  <c r="F763" i="2"/>
  <c r="D763" i="2"/>
  <c r="B763" i="2"/>
  <c r="H762" i="2"/>
  <c r="G762" i="2"/>
  <c r="F762" i="2"/>
  <c r="D762" i="2"/>
  <c r="B762" i="2"/>
  <c r="H761" i="2"/>
  <c r="G761" i="2"/>
  <c r="F761" i="2"/>
  <c r="D761" i="2"/>
  <c r="B761" i="2"/>
  <c r="H760" i="2"/>
  <c r="G760" i="2"/>
  <c r="F760" i="2"/>
  <c r="D760" i="2"/>
  <c r="B760" i="2"/>
  <c r="H759" i="2"/>
  <c r="G759" i="2"/>
  <c r="F759" i="2"/>
  <c r="D759" i="2"/>
  <c r="B759" i="2"/>
  <c r="H758" i="2"/>
  <c r="G758" i="2"/>
  <c r="F758" i="2"/>
  <c r="D758" i="2"/>
  <c r="B758" i="2"/>
  <c r="H757" i="2"/>
  <c r="G757" i="2"/>
  <c r="F757" i="2"/>
  <c r="D757" i="2"/>
  <c r="B757" i="2"/>
  <c r="H756" i="2"/>
  <c r="G756" i="2"/>
  <c r="F756" i="2"/>
  <c r="D756" i="2"/>
  <c r="B756" i="2"/>
  <c r="H755" i="2"/>
  <c r="G755" i="2"/>
  <c r="F755" i="2"/>
  <c r="D755" i="2"/>
  <c r="B755" i="2"/>
  <c r="H754" i="2"/>
  <c r="G754" i="2"/>
  <c r="F754" i="2"/>
  <c r="D754" i="2"/>
  <c r="B754" i="2"/>
  <c r="H753" i="2"/>
  <c r="G753" i="2"/>
  <c r="F753" i="2"/>
  <c r="D753" i="2"/>
  <c r="B753" i="2"/>
  <c r="H752" i="2"/>
  <c r="G752" i="2"/>
  <c r="F752" i="2"/>
  <c r="D752" i="2"/>
  <c r="B752" i="2"/>
  <c r="H751" i="2"/>
  <c r="G751" i="2"/>
  <c r="F751" i="2"/>
  <c r="D751" i="2"/>
  <c r="B751" i="2"/>
  <c r="H750" i="2"/>
  <c r="G750" i="2"/>
  <c r="F750" i="2"/>
  <c r="D750" i="2"/>
  <c r="B750" i="2"/>
  <c r="H749" i="2"/>
  <c r="G749" i="2"/>
  <c r="F749" i="2"/>
  <c r="D749" i="2"/>
  <c r="B749" i="2"/>
  <c r="H748" i="2"/>
  <c r="G748" i="2"/>
  <c r="F748" i="2"/>
  <c r="D748" i="2"/>
  <c r="B748" i="2"/>
  <c r="H747" i="2"/>
  <c r="G747" i="2"/>
  <c r="F747" i="2"/>
  <c r="D747" i="2"/>
  <c r="B747" i="2"/>
  <c r="H746" i="2"/>
  <c r="G746" i="2"/>
  <c r="F746" i="2"/>
  <c r="D746" i="2"/>
  <c r="B746" i="2"/>
  <c r="H745" i="2"/>
  <c r="G745" i="2"/>
  <c r="F745" i="2"/>
  <c r="D745" i="2"/>
  <c r="B745" i="2"/>
  <c r="H744" i="2"/>
  <c r="G744" i="2"/>
  <c r="F744" i="2"/>
  <c r="D744" i="2"/>
  <c r="B744" i="2"/>
  <c r="H743" i="2"/>
  <c r="G743" i="2"/>
  <c r="F743" i="2"/>
  <c r="D743" i="2"/>
  <c r="B743" i="2"/>
  <c r="H742" i="2"/>
  <c r="G742" i="2"/>
  <c r="F742" i="2"/>
  <c r="D742" i="2"/>
  <c r="B742" i="2"/>
  <c r="H741" i="2"/>
  <c r="G741" i="2"/>
  <c r="F741" i="2"/>
  <c r="D741" i="2"/>
  <c r="B741" i="2"/>
  <c r="H740" i="2"/>
  <c r="G740" i="2"/>
  <c r="F740" i="2"/>
  <c r="D740" i="2"/>
  <c r="B740" i="2"/>
  <c r="H739" i="2"/>
  <c r="G739" i="2"/>
  <c r="F739" i="2"/>
  <c r="D739" i="2"/>
  <c r="B739" i="2"/>
  <c r="H738" i="2"/>
  <c r="G738" i="2"/>
  <c r="F738" i="2"/>
  <c r="D738" i="2"/>
  <c r="B738" i="2"/>
  <c r="H737" i="2"/>
  <c r="G737" i="2"/>
  <c r="F737" i="2"/>
  <c r="D737" i="2"/>
  <c r="B737" i="2"/>
  <c r="H736" i="2"/>
  <c r="G736" i="2"/>
  <c r="F736" i="2"/>
  <c r="D736" i="2"/>
  <c r="B736" i="2"/>
  <c r="H735" i="2"/>
  <c r="G735" i="2"/>
  <c r="F735" i="2"/>
  <c r="D735" i="2"/>
  <c r="B735" i="2"/>
  <c r="H734" i="2"/>
  <c r="G734" i="2"/>
  <c r="F734" i="2"/>
  <c r="D734" i="2"/>
  <c r="B734" i="2"/>
  <c r="H733" i="2"/>
  <c r="G733" i="2"/>
  <c r="F733" i="2"/>
  <c r="D733" i="2"/>
  <c r="B733" i="2"/>
  <c r="H732" i="2"/>
  <c r="G732" i="2"/>
  <c r="F732" i="2"/>
  <c r="D732" i="2"/>
  <c r="B732" i="2"/>
  <c r="H731" i="2"/>
  <c r="G731" i="2"/>
  <c r="F731" i="2"/>
  <c r="D731" i="2"/>
  <c r="B731" i="2"/>
  <c r="H730" i="2"/>
  <c r="G730" i="2"/>
  <c r="F730" i="2"/>
  <c r="D730" i="2"/>
  <c r="B730" i="2"/>
  <c r="H729" i="2"/>
  <c r="G729" i="2"/>
  <c r="F729" i="2"/>
  <c r="D729" i="2"/>
  <c r="B729" i="2"/>
  <c r="H728" i="2"/>
  <c r="G728" i="2"/>
  <c r="F728" i="2"/>
  <c r="D728" i="2"/>
  <c r="B728" i="2"/>
  <c r="H727" i="2"/>
  <c r="G727" i="2"/>
  <c r="F727" i="2"/>
  <c r="D727" i="2"/>
  <c r="B727" i="2"/>
  <c r="H726" i="2"/>
  <c r="G726" i="2"/>
  <c r="F726" i="2"/>
  <c r="D726" i="2"/>
  <c r="B726" i="2"/>
  <c r="H725" i="2"/>
  <c r="G725" i="2"/>
  <c r="F725" i="2"/>
  <c r="D725" i="2"/>
  <c r="B725" i="2"/>
  <c r="H724" i="2"/>
  <c r="G724" i="2"/>
  <c r="F724" i="2"/>
  <c r="D724" i="2"/>
  <c r="B724" i="2"/>
  <c r="H723" i="2"/>
  <c r="G723" i="2"/>
  <c r="F723" i="2"/>
  <c r="D723" i="2"/>
  <c r="B723" i="2"/>
  <c r="H722" i="2"/>
  <c r="G722" i="2"/>
  <c r="F722" i="2"/>
  <c r="D722" i="2"/>
  <c r="B722" i="2"/>
  <c r="H721" i="2"/>
  <c r="G721" i="2"/>
  <c r="F721" i="2"/>
  <c r="D721" i="2"/>
  <c r="B721" i="2"/>
  <c r="H720" i="2"/>
  <c r="G720" i="2"/>
  <c r="F720" i="2"/>
  <c r="D720" i="2"/>
  <c r="B720" i="2"/>
  <c r="H719" i="2"/>
  <c r="G719" i="2"/>
  <c r="F719" i="2"/>
  <c r="D719" i="2"/>
  <c r="B719" i="2"/>
  <c r="H718" i="2"/>
  <c r="G718" i="2"/>
  <c r="F718" i="2"/>
  <c r="D718" i="2"/>
  <c r="B718" i="2"/>
  <c r="H717" i="2"/>
  <c r="G717" i="2"/>
  <c r="F717" i="2"/>
  <c r="D717" i="2"/>
  <c r="B717" i="2"/>
  <c r="H716" i="2"/>
  <c r="G716" i="2"/>
  <c r="F716" i="2"/>
  <c r="D716" i="2"/>
  <c r="B716" i="2"/>
  <c r="H715" i="2"/>
  <c r="G715" i="2"/>
  <c r="F715" i="2"/>
  <c r="D715" i="2"/>
  <c r="B715" i="2"/>
  <c r="H714" i="2"/>
  <c r="G714" i="2"/>
  <c r="F714" i="2"/>
  <c r="D714" i="2"/>
  <c r="B714" i="2"/>
  <c r="H713" i="2"/>
  <c r="G713" i="2"/>
  <c r="F713" i="2"/>
  <c r="D713" i="2"/>
  <c r="B713" i="2"/>
  <c r="H712" i="2"/>
  <c r="G712" i="2"/>
  <c r="F712" i="2"/>
  <c r="D712" i="2"/>
  <c r="B712" i="2"/>
  <c r="H711" i="2"/>
  <c r="G711" i="2"/>
  <c r="F711" i="2"/>
  <c r="D711" i="2"/>
  <c r="B711" i="2"/>
  <c r="H710" i="2"/>
  <c r="G710" i="2"/>
  <c r="F710" i="2"/>
  <c r="D710" i="2"/>
  <c r="B710" i="2"/>
  <c r="H709" i="2"/>
  <c r="G709" i="2"/>
  <c r="F709" i="2"/>
  <c r="D709" i="2"/>
  <c r="B709" i="2"/>
  <c r="H708" i="2"/>
  <c r="G708" i="2"/>
  <c r="F708" i="2"/>
  <c r="D708" i="2"/>
  <c r="B708" i="2"/>
  <c r="H707" i="2"/>
  <c r="G707" i="2"/>
  <c r="F707" i="2"/>
  <c r="D707" i="2"/>
  <c r="B707" i="2"/>
  <c r="H706" i="2"/>
  <c r="G706" i="2"/>
  <c r="F706" i="2"/>
  <c r="D706" i="2"/>
  <c r="B706" i="2"/>
  <c r="H705" i="2"/>
  <c r="G705" i="2"/>
  <c r="F705" i="2"/>
  <c r="D705" i="2"/>
  <c r="B705" i="2"/>
  <c r="H704" i="2"/>
  <c r="G704" i="2"/>
  <c r="F704" i="2"/>
  <c r="D704" i="2"/>
  <c r="B704" i="2"/>
  <c r="H703" i="2"/>
  <c r="G703" i="2"/>
  <c r="F703" i="2"/>
  <c r="D703" i="2"/>
  <c r="B703" i="2"/>
  <c r="H702" i="2"/>
  <c r="G702" i="2"/>
  <c r="F702" i="2"/>
  <c r="D702" i="2"/>
  <c r="B702" i="2"/>
  <c r="H701" i="2"/>
  <c r="G701" i="2"/>
  <c r="F701" i="2"/>
  <c r="D701" i="2"/>
  <c r="B701" i="2"/>
  <c r="H700" i="2"/>
  <c r="G700" i="2"/>
  <c r="F700" i="2"/>
  <c r="D700" i="2"/>
  <c r="B700" i="2"/>
  <c r="H699" i="2"/>
  <c r="G699" i="2"/>
  <c r="F699" i="2"/>
  <c r="D699" i="2"/>
  <c r="B699" i="2"/>
  <c r="H698" i="2"/>
  <c r="G698" i="2"/>
  <c r="F698" i="2"/>
  <c r="D698" i="2"/>
  <c r="B698" i="2"/>
  <c r="H697" i="2"/>
  <c r="G697" i="2"/>
  <c r="F697" i="2"/>
  <c r="D697" i="2"/>
  <c r="B697" i="2"/>
  <c r="H696" i="2"/>
  <c r="G696" i="2"/>
  <c r="F696" i="2"/>
  <c r="D696" i="2"/>
  <c r="B696" i="2"/>
  <c r="H695" i="2"/>
  <c r="G695" i="2"/>
  <c r="F695" i="2"/>
  <c r="D695" i="2"/>
  <c r="B695" i="2"/>
  <c r="H694" i="2"/>
  <c r="G694" i="2"/>
  <c r="F694" i="2"/>
  <c r="D694" i="2"/>
  <c r="B694" i="2"/>
  <c r="H693" i="2"/>
  <c r="G693" i="2"/>
  <c r="F693" i="2"/>
  <c r="D693" i="2"/>
  <c r="B693" i="2"/>
  <c r="H692" i="2"/>
  <c r="G692" i="2"/>
  <c r="F692" i="2"/>
  <c r="D692" i="2"/>
  <c r="B692" i="2"/>
  <c r="H691" i="2"/>
  <c r="G691" i="2"/>
  <c r="F691" i="2"/>
  <c r="D691" i="2"/>
  <c r="B691" i="2"/>
  <c r="H690" i="2"/>
  <c r="G690" i="2"/>
  <c r="F690" i="2"/>
  <c r="D690" i="2"/>
  <c r="B690" i="2"/>
  <c r="H689" i="2"/>
  <c r="G689" i="2"/>
  <c r="F689" i="2"/>
  <c r="D689" i="2"/>
  <c r="B689" i="2"/>
  <c r="H688" i="2"/>
  <c r="G688" i="2"/>
  <c r="F688" i="2"/>
  <c r="D688" i="2"/>
  <c r="B688" i="2"/>
  <c r="H687" i="2"/>
  <c r="G687" i="2"/>
  <c r="F687" i="2"/>
  <c r="D687" i="2"/>
  <c r="B687" i="2"/>
  <c r="H686" i="2"/>
  <c r="G686" i="2"/>
  <c r="F686" i="2"/>
  <c r="D686" i="2"/>
  <c r="B686" i="2"/>
  <c r="H685" i="2"/>
  <c r="G685" i="2"/>
  <c r="F685" i="2"/>
  <c r="D685" i="2"/>
  <c r="B685" i="2"/>
  <c r="H684" i="2"/>
  <c r="G684" i="2"/>
  <c r="F684" i="2"/>
  <c r="D684" i="2"/>
  <c r="B684" i="2"/>
  <c r="H683" i="2"/>
  <c r="G683" i="2"/>
  <c r="F683" i="2"/>
  <c r="D683" i="2"/>
  <c r="B683" i="2"/>
  <c r="H682" i="2"/>
  <c r="G682" i="2"/>
  <c r="F682" i="2"/>
  <c r="D682" i="2"/>
  <c r="B682" i="2"/>
  <c r="H681" i="2"/>
  <c r="G681" i="2"/>
  <c r="F681" i="2"/>
  <c r="D681" i="2"/>
  <c r="B681" i="2"/>
  <c r="H680" i="2"/>
  <c r="G680" i="2"/>
  <c r="F680" i="2"/>
  <c r="D680" i="2"/>
  <c r="B680" i="2"/>
  <c r="H679" i="2"/>
  <c r="G679" i="2"/>
  <c r="F679" i="2"/>
  <c r="D679" i="2"/>
  <c r="B679" i="2"/>
  <c r="H678" i="2"/>
  <c r="G678" i="2"/>
  <c r="F678" i="2"/>
  <c r="D678" i="2"/>
  <c r="B678" i="2"/>
  <c r="H677" i="2"/>
  <c r="G677" i="2"/>
  <c r="F677" i="2"/>
  <c r="D677" i="2"/>
  <c r="B677" i="2"/>
  <c r="H676" i="2"/>
  <c r="G676" i="2"/>
  <c r="F676" i="2"/>
  <c r="D676" i="2"/>
  <c r="B676" i="2"/>
  <c r="H675" i="2"/>
  <c r="G675" i="2"/>
  <c r="F675" i="2"/>
  <c r="D675" i="2"/>
  <c r="B675" i="2"/>
  <c r="H674" i="2"/>
  <c r="G674" i="2"/>
  <c r="F674" i="2"/>
  <c r="D674" i="2"/>
  <c r="B674" i="2"/>
  <c r="H673" i="2"/>
  <c r="G673" i="2"/>
  <c r="F673" i="2"/>
  <c r="D673" i="2"/>
  <c r="B673" i="2"/>
  <c r="H672" i="2"/>
  <c r="G672" i="2"/>
  <c r="F672" i="2"/>
  <c r="D672" i="2"/>
  <c r="B672" i="2"/>
  <c r="H671" i="2"/>
  <c r="G671" i="2"/>
  <c r="F671" i="2"/>
  <c r="D671" i="2"/>
  <c r="B671" i="2"/>
  <c r="H670" i="2"/>
  <c r="G670" i="2"/>
  <c r="F670" i="2"/>
  <c r="D670" i="2"/>
  <c r="B670" i="2"/>
  <c r="H669" i="2"/>
  <c r="G669" i="2"/>
  <c r="F669" i="2"/>
  <c r="D669" i="2"/>
  <c r="B669" i="2"/>
  <c r="H668" i="2"/>
  <c r="G668" i="2"/>
  <c r="F668" i="2"/>
  <c r="D668" i="2"/>
  <c r="B668" i="2"/>
  <c r="H667" i="2"/>
  <c r="G667" i="2"/>
  <c r="F667" i="2"/>
  <c r="D667" i="2"/>
  <c r="B667" i="2"/>
  <c r="H666" i="2"/>
  <c r="G666" i="2"/>
  <c r="F666" i="2"/>
  <c r="D666" i="2"/>
  <c r="B666" i="2"/>
  <c r="H665" i="2"/>
  <c r="G665" i="2"/>
  <c r="F665" i="2"/>
  <c r="D665" i="2"/>
  <c r="B665" i="2"/>
  <c r="H664" i="2"/>
  <c r="G664" i="2"/>
  <c r="F664" i="2"/>
  <c r="D664" i="2"/>
  <c r="B664" i="2"/>
  <c r="H663" i="2"/>
  <c r="G663" i="2"/>
  <c r="F663" i="2"/>
  <c r="D663" i="2"/>
  <c r="B663" i="2"/>
  <c r="H662" i="2"/>
  <c r="G662" i="2"/>
  <c r="F662" i="2"/>
  <c r="D662" i="2"/>
  <c r="B662" i="2"/>
  <c r="H661" i="2"/>
  <c r="G661" i="2"/>
  <c r="F661" i="2"/>
  <c r="D661" i="2"/>
  <c r="B661" i="2"/>
  <c r="H660" i="2"/>
  <c r="G660" i="2"/>
  <c r="F660" i="2"/>
  <c r="D660" i="2"/>
  <c r="B660" i="2"/>
  <c r="H659" i="2"/>
  <c r="G659" i="2"/>
  <c r="F659" i="2"/>
  <c r="D659" i="2"/>
  <c r="B659" i="2"/>
  <c r="H658" i="2"/>
  <c r="G658" i="2"/>
  <c r="F658" i="2"/>
  <c r="D658" i="2"/>
  <c r="B658" i="2"/>
  <c r="H657" i="2"/>
  <c r="G657" i="2"/>
  <c r="F657" i="2"/>
  <c r="D657" i="2"/>
  <c r="B657" i="2"/>
  <c r="H656" i="2"/>
  <c r="G656" i="2"/>
  <c r="F656" i="2"/>
  <c r="D656" i="2"/>
  <c r="B656" i="2"/>
  <c r="H655" i="2"/>
  <c r="G655" i="2"/>
  <c r="F655" i="2"/>
  <c r="D655" i="2"/>
  <c r="B655" i="2"/>
  <c r="H654" i="2"/>
  <c r="G654" i="2"/>
  <c r="F654" i="2"/>
  <c r="D654" i="2"/>
  <c r="B654" i="2"/>
  <c r="H653" i="2"/>
  <c r="G653" i="2"/>
  <c r="F653" i="2"/>
  <c r="D653" i="2"/>
  <c r="B653" i="2"/>
  <c r="H652" i="2"/>
  <c r="G652" i="2"/>
  <c r="F652" i="2"/>
  <c r="D652" i="2"/>
  <c r="B652" i="2"/>
  <c r="H651" i="2"/>
  <c r="G651" i="2"/>
  <c r="F651" i="2"/>
  <c r="D651" i="2"/>
  <c r="B651" i="2"/>
  <c r="H650" i="2"/>
  <c r="G650" i="2"/>
  <c r="F650" i="2"/>
  <c r="D650" i="2"/>
  <c r="B650" i="2"/>
  <c r="H649" i="2"/>
  <c r="G649" i="2"/>
  <c r="F649" i="2"/>
  <c r="D649" i="2"/>
  <c r="B649" i="2"/>
  <c r="H648" i="2"/>
  <c r="G648" i="2"/>
  <c r="F648" i="2"/>
  <c r="D648" i="2"/>
  <c r="B648" i="2"/>
  <c r="H647" i="2"/>
  <c r="G647" i="2"/>
  <c r="F647" i="2"/>
  <c r="D647" i="2"/>
  <c r="B647" i="2"/>
  <c r="H646" i="2"/>
  <c r="G646" i="2"/>
  <c r="F646" i="2"/>
  <c r="D646" i="2"/>
  <c r="B646" i="2"/>
  <c r="H645" i="2"/>
  <c r="G645" i="2"/>
  <c r="F645" i="2"/>
  <c r="D645" i="2"/>
  <c r="B645" i="2"/>
  <c r="H644" i="2"/>
  <c r="G644" i="2"/>
  <c r="F644" i="2"/>
  <c r="D644" i="2"/>
  <c r="B644" i="2"/>
  <c r="H643" i="2"/>
  <c r="G643" i="2"/>
  <c r="F643" i="2"/>
  <c r="D643" i="2"/>
  <c r="B643" i="2"/>
  <c r="H642" i="2"/>
  <c r="G642" i="2"/>
  <c r="F642" i="2"/>
  <c r="D642" i="2"/>
  <c r="B642" i="2"/>
  <c r="H641" i="2"/>
  <c r="G641" i="2"/>
  <c r="F641" i="2"/>
  <c r="D641" i="2"/>
  <c r="B641" i="2"/>
  <c r="H640" i="2"/>
  <c r="G640" i="2"/>
  <c r="F640" i="2"/>
  <c r="D640" i="2"/>
  <c r="B640" i="2"/>
  <c r="H639" i="2"/>
  <c r="G639" i="2"/>
  <c r="F639" i="2"/>
  <c r="D639" i="2"/>
  <c r="B639" i="2"/>
  <c r="H638" i="2"/>
  <c r="G638" i="2"/>
  <c r="F638" i="2"/>
  <c r="D638" i="2"/>
  <c r="B638" i="2"/>
  <c r="H637" i="2"/>
  <c r="G637" i="2"/>
  <c r="F637" i="2"/>
  <c r="D637" i="2"/>
  <c r="B637" i="2"/>
  <c r="H636" i="2"/>
  <c r="G636" i="2"/>
  <c r="F636" i="2"/>
  <c r="D636" i="2"/>
  <c r="B636" i="2"/>
  <c r="H635" i="2"/>
  <c r="G635" i="2"/>
  <c r="F635" i="2"/>
  <c r="D635" i="2"/>
  <c r="B635" i="2"/>
  <c r="H634" i="2"/>
  <c r="G634" i="2"/>
  <c r="F634" i="2"/>
  <c r="D634" i="2"/>
  <c r="B634" i="2"/>
  <c r="H633" i="2"/>
  <c r="G633" i="2"/>
  <c r="F633" i="2"/>
  <c r="D633" i="2"/>
  <c r="B633" i="2"/>
  <c r="H632" i="2"/>
  <c r="G632" i="2"/>
  <c r="F632" i="2"/>
  <c r="D632" i="2"/>
  <c r="B632" i="2"/>
  <c r="H631" i="2"/>
  <c r="G631" i="2"/>
  <c r="F631" i="2"/>
  <c r="D631" i="2"/>
  <c r="B631" i="2"/>
  <c r="H630" i="2"/>
  <c r="G630" i="2"/>
  <c r="F630" i="2"/>
  <c r="D630" i="2"/>
  <c r="B630" i="2"/>
  <c r="H629" i="2"/>
  <c r="G629" i="2"/>
  <c r="F629" i="2"/>
  <c r="D629" i="2"/>
  <c r="B629" i="2"/>
  <c r="H628" i="2"/>
  <c r="G628" i="2"/>
  <c r="F628" i="2"/>
  <c r="D628" i="2"/>
  <c r="B628" i="2"/>
  <c r="H627" i="2"/>
  <c r="G627" i="2"/>
  <c r="F627" i="2"/>
  <c r="D627" i="2"/>
  <c r="B627" i="2"/>
  <c r="H626" i="2"/>
  <c r="G626" i="2"/>
  <c r="F626" i="2"/>
  <c r="D626" i="2"/>
  <c r="B626" i="2"/>
  <c r="H625" i="2"/>
  <c r="G625" i="2"/>
  <c r="F625" i="2"/>
  <c r="D625" i="2"/>
  <c r="B625" i="2"/>
  <c r="H624" i="2"/>
  <c r="G624" i="2"/>
  <c r="F624" i="2"/>
  <c r="D624" i="2"/>
  <c r="B624" i="2"/>
  <c r="H623" i="2"/>
  <c r="G623" i="2"/>
  <c r="F623" i="2"/>
  <c r="D623" i="2"/>
  <c r="B623" i="2"/>
  <c r="H622" i="2"/>
  <c r="G622" i="2"/>
  <c r="F622" i="2"/>
  <c r="D622" i="2"/>
  <c r="B622" i="2"/>
  <c r="H621" i="2"/>
  <c r="G621" i="2"/>
  <c r="F621" i="2"/>
  <c r="D621" i="2"/>
  <c r="B621" i="2"/>
  <c r="H620" i="2"/>
  <c r="G620" i="2"/>
  <c r="F620" i="2"/>
  <c r="D620" i="2"/>
  <c r="B620" i="2"/>
  <c r="H619" i="2"/>
  <c r="G619" i="2"/>
  <c r="F619" i="2"/>
  <c r="D619" i="2"/>
  <c r="B619" i="2"/>
  <c r="H618" i="2"/>
  <c r="G618" i="2"/>
  <c r="F618" i="2"/>
  <c r="D618" i="2"/>
  <c r="B618" i="2"/>
  <c r="H617" i="2"/>
  <c r="G617" i="2"/>
  <c r="F617" i="2"/>
  <c r="D617" i="2"/>
  <c r="B617" i="2"/>
  <c r="H616" i="2"/>
  <c r="G616" i="2"/>
  <c r="F616" i="2"/>
  <c r="D616" i="2"/>
  <c r="B616" i="2"/>
  <c r="H615" i="2"/>
  <c r="G615" i="2"/>
  <c r="F615" i="2"/>
  <c r="D615" i="2"/>
  <c r="B615" i="2"/>
  <c r="H614" i="2"/>
  <c r="G614" i="2"/>
  <c r="F614" i="2"/>
  <c r="D614" i="2"/>
  <c r="B614" i="2"/>
  <c r="H613" i="2"/>
  <c r="G613" i="2"/>
  <c r="F613" i="2"/>
  <c r="D613" i="2"/>
  <c r="B613" i="2"/>
  <c r="H612" i="2"/>
  <c r="G612" i="2"/>
  <c r="F612" i="2"/>
  <c r="D612" i="2"/>
  <c r="B612" i="2"/>
  <c r="H611" i="2"/>
  <c r="G611" i="2"/>
  <c r="F611" i="2"/>
  <c r="D611" i="2"/>
  <c r="B611" i="2"/>
  <c r="H610" i="2"/>
  <c r="G610" i="2"/>
  <c r="F610" i="2"/>
  <c r="D610" i="2"/>
  <c r="B610" i="2"/>
  <c r="H609" i="2"/>
  <c r="G609" i="2"/>
  <c r="F609" i="2"/>
  <c r="D609" i="2"/>
  <c r="B609" i="2"/>
  <c r="H608" i="2"/>
  <c r="G608" i="2"/>
  <c r="F608" i="2"/>
  <c r="D608" i="2"/>
  <c r="B608" i="2"/>
  <c r="H607" i="2"/>
  <c r="G607" i="2"/>
  <c r="F607" i="2"/>
  <c r="D607" i="2"/>
  <c r="B607" i="2"/>
  <c r="H606" i="2"/>
  <c r="G606" i="2"/>
  <c r="F606" i="2"/>
  <c r="D606" i="2"/>
  <c r="B606" i="2"/>
  <c r="H605" i="2"/>
  <c r="G605" i="2"/>
  <c r="F605" i="2"/>
  <c r="D605" i="2"/>
  <c r="B605" i="2"/>
  <c r="H604" i="2"/>
  <c r="G604" i="2"/>
  <c r="F604" i="2"/>
  <c r="D604" i="2"/>
  <c r="B604" i="2"/>
  <c r="H603" i="2"/>
  <c r="G603" i="2"/>
  <c r="F603" i="2"/>
  <c r="D603" i="2"/>
  <c r="B603" i="2"/>
  <c r="H602" i="2"/>
  <c r="G602" i="2"/>
  <c r="F602" i="2"/>
  <c r="D602" i="2"/>
  <c r="B602" i="2"/>
  <c r="H601" i="2"/>
  <c r="G601" i="2"/>
  <c r="F601" i="2"/>
  <c r="D601" i="2"/>
  <c r="B601" i="2"/>
  <c r="H600" i="2"/>
  <c r="G600" i="2"/>
  <c r="F600" i="2"/>
  <c r="D600" i="2"/>
  <c r="B600" i="2"/>
  <c r="H599" i="2"/>
  <c r="G599" i="2"/>
  <c r="F599" i="2"/>
  <c r="D599" i="2"/>
  <c r="B599" i="2"/>
  <c r="H598" i="2"/>
  <c r="G598" i="2"/>
  <c r="F598" i="2"/>
  <c r="D598" i="2"/>
  <c r="B598" i="2"/>
  <c r="H597" i="2"/>
  <c r="G597" i="2"/>
  <c r="F597" i="2"/>
  <c r="D597" i="2"/>
  <c r="B597" i="2"/>
  <c r="H596" i="2"/>
  <c r="G596" i="2"/>
  <c r="F596" i="2"/>
  <c r="D596" i="2"/>
  <c r="B596" i="2"/>
  <c r="H595" i="2"/>
  <c r="G595" i="2"/>
  <c r="F595" i="2"/>
  <c r="D595" i="2"/>
  <c r="B595" i="2"/>
  <c r="H594" i="2"/>
  <c r="G594" i="2"/>
  <c r="F594" i="2"/>
  <c r="D594" i="2"/>
  <c r="B594" i="2"/>
  <c r="H593" i="2"/>
  <c r="G593" i="2"/>
  <c r="F593" i="2"/>
  <c r="D593" i="2"/>
  <c r="B593" i="2"/>
  <c r="H592" i="2"/>
  <c r="G592" i="2"/>
  <c r="F592" i="2"/>
  <c r="D592" i="2"/>
  <c r="B592" i="2"/>
  <c r="H591" i="2"/>
  <c r="G591" i="2"/>
  <c r="F591" i="2"/>
  <c r="D591" i="2"/>
  <c r="B591" i="2"/>
  <c r="H590" i="2"/>
  <c r="G590" i="2"/>
  <c r="F590" i="2"/>
  <c r="D590" i="2"/>
  <c r="B590" i="2"/>
  <c r="H589" i="2"/>
  <c r="G589" i="2"/>
  <c r="F589" i="2"/>
  <c r="D589" i="2"/>
  <c r="B589" i="2"/>
  <c r="H588" i="2"/>
  <c r="G588" i="2"/>
  <c r="F588" i="2"/>
  <c r="D588" i="2"/>
  <c r="B588" i="2"/>
  <c r="H587" i="2"/>
  <c r="G587" i="2"/>
  <c r="F587" i="2"/>
  <c r="D587" i="2"/>
  <c r="B587" i="2"/>
  <c r="H586" i="2"/>
  <c r="G586" i="2"/>
  <c r="F586" i="2"/>
  <c r="D586" i="2"/>
  <c r="B586" i="2"/>
  <c r="H585" i="2"/>
  <c r="G585" i="2"/>
  <c r="F585" i="2"/>
  <c r="D585" i="2"/>
  <c r="B585" i="2"/>
  <c r="H584" i="2"/>
  <c r="G584" i="2"/>
  <c r="F584" i="2"/>
  <c r="D584" i="2"/>
  <c r="B584" i="2"/>
  <c r="H583" i="2"/>
  <c r="G583" i="2"/>
  <c r="F583" i="2"/>
  <c r="D583" i="2"/>
  <c r="B583" i="2"/>
  <c r="H582" i="2"/>
  <c r="G582" i="2"/>
  <c r="F582" i="2"/>
  <c r="D582" i="2"/>
  <c r="B582" i="2"/>
  <c r="H581" i="2"/>
  <c r="G581" i="2"/>
  <c r="F581" i="2"/>
  <c r="D581" i="2"/>
  <c r="B581" i="2"/>
  <c r="H580" i="2"/>
  <c r="G580" i="2"/>
  <c r="F580" i="2"/>
  <c r="D580" i="2"/>
  <c r="B580" i="2"/>
  <c r="H579" i="2"/>
  <c r="G579" i="2"/>
  <c r="F579" i="2"/>
  <c r="D579" i="2"/>
  <c r="B579" i="2"/>
  <c r="H578" i="2"/>
  <c r="G578" i="2"/>
  <c r="F578" i="2"/>
  <c r="D578" i="2"/>
  <c r="B578" i="2"/>
  <c r="H577" i="2"/>
  <c r="G577" i="2"/>
  <c r="F577" i="2"/>
  <c r="D577" i="2"/>
  <c r="B577" i="2"/>
  <c r="H576" i="2"/>
  <c r="G576" i="2"/>
  <c r="F576" i="2"/>
  <c r="D576" i="2"/>
  <c r="B576" i="2"/>
  <c r="H575" i="2"/>
  <c r="G575" i="2"/>
  <c r="F575" i="2"/>
  <c r="D575" i="2"/>
  <c r="B575" i="2"/>
  <c r="H574" i="2"/>
  <c r="G574" i="2"/>
  <c r="F574" i="2"/>
  <c r="D574" i="2"/>
  <c r="B574" i="2"/>
  <c r="H573" i="2"/>
  <c r="G573" i="2"/>
  <c r="F573" i="2"/>
  <c r="D573" i="2"/>
  <c r="B573" i="2"/>
  <c r="H572" i="2"/>
  <c r="G572" i="2"/>
  <c r="F572" i="2"/>
  <c r="D572" i="2"/>
  <c r="B572" i="2"/>
  <c r="H571" i="2"/>
  <c r="G571" i="2"/>
  <c r="F571" i="2"/>
  <c r="D571" i="2"/>
  <c r="B571" i="2"/>
  <c r="H570" i="2"/>
  <c r="G570" i="2"/>
  <c r="F570" i="2"/>
  <c r="D570" i="2"/>
  <c r="B570" i="2"/>
  <c r="H569" i="2"/>
  <c r="G569" i="2"/>
  <c r="F569" i="2"/>
  <c r="D569" i="2"/>
  <c r="B569" i="2"/>
  <c r="H568" i="2"/>
  <c r="G568" i="2"/>
  <c r="F568" i="2"/>
  <c r="D568" i="2"/>
  <c r="B568" i="2"/>
  <c r="H567" i="2"/>
  <c r="G567" i="2"/>
  <c r="F567" i="2"/>
  <c r="D567" i="2"/>
  <c r="B567" i="2"/>
  <c r="H566" i="2"/>
  <c r="G566" i="2"/>
  <c r="F566" i="2"/>
  <c r="D566" i="2"/>
  <c r="B566" i="2"/>
  <c r="H565" i="2"/>
  <c r="G565" i="2"/>
  <c r="F565" i="2"/>
  <c r="D565" i="2"/>
  <c r="B565" i="2"/>
  <c r="H564" i="2"/>
  <c r="G564" i="2"/>
  <c r="F564" i="2"/>
  <c r="D564" i="2"/>
  <c r="B564" i="2"/>
  <c r="H563" i="2"/>
  <c r="G563" i="2"/>
  <c r="F563" i="2"/>
  <c r="D563" i="2"/>
  <c r="B563" i="2"/>
  <c r="H562" i="2"/>
  <c r="G562" i="2"/>
  <c r="F562" i="2"/>
  <c r="D562" i="2"/>
  <c r="B562" i="2"/>
  <c r="H561" i="2"/>
  <c r="G561" i="2"/>
  <c r="F561" i="2"/>
  <c r="D561" i="2"/>
  <c r="B561" i="2"/>
  <c r="H560" i="2"/>
  <c r="G560" i="2"/>
  <c r="F560" i="2"/>
  <c r="D560" i="2"/>
  <c r="B560" i="2"/>
  <c r="H559" i="2"/>
  <c r="G559" i="2"/>
  <c r="F559" i="2"/>
  <c r="D559" i="2"/>
  <c r="B559" i="2"/>
  <c r="H558" i="2"/>
  <c r="G558" i="2"/>
  <c r="F558" i="2"/>
  <c r="D558" i="2"/>
  <c r="B558" i="2"/>
  <c r="H557" i="2"/>
  <c r="G557" i="2"/>
  <c r="F557" i="2"/>
  <c r="D557" i="2"/>
  <c r="B557" i="2"/>
  <c r="H556" i="2"/>
  <c r="G556" i="2"/>
  <c r="F556" i="2"/>
  <c r="D556" i="2"/>
  <c r="B556" i="2"/>
  <c r="H555" i="2"/>
  <c r="G555" i="2"/>
  <c r="F555" i="2"/>
  <c r="D555" i="2"/>
  <c r="B555" i="2"/>
  <c r="H554" i="2"/>
  <c r="G554" i="2"/>
  <c r="F554" i="2"/>
  <c r="D554" i="2"/>
  <c r="B554" i="2"/>
  <c r="H553" i="2"/>
  <c r="G553" i="2"/>
  <c r="F553" i="2"/>
  <c r="D553" i="2"/>
  <c r="B553" i="2"/>
  <c r="H552" i="2"/>
  <c r="G552" i="2"/>
  <c r="F552" i="2"/>
  <c r="D552" i="2"/>
  <c r="B552" i="2"/>
  <c r="H551" i="2"/>
  <c r="G551" i="2"/>
  <c r="F551" i="2"/>
  <c r="D551" i="2"/>
  <c r="B551" i="2"/>
  <c r="H550" i="2"/>
  <c r="G550" i="2"/>
  <c r="F550" i="2"/>
  <c r="D550" i="2"/>
  <c r="B550" i="2"/>
  <c r="H549" i="2"/>
  <c r="G549" i="2"/>
  <c r="F549" i="2"/>
  <c r="D549" i="2"/>
  <c r="B549" i="2"/>
  <c r="H548" i="2"/>
  <c r="G548" i="2"/>
  <c r="F548" i="2"/>
  <c r="D548" i="2"/>
  <c r="B548" i="2"/>
  <c r="H547" i="2"/>
  <c r="G547" i="2"/>
  <c r="F547" i="2"/>
  <c r="D547" i="2"/>
  <c r="B547" i="2"/>
  <c r="H546" i="2"/>
  <c r="G546" i="2"/>
  <c r="F546" i="2"/>
  <c r="D546" i="2"/>
  <c r="B546" i="2"/>
  <c r="H545" i="2"/>
  <c r="G545" i="2"/>
  <c r="F545" i="2"/>
  <c r="D545" i="2"/>
  <c r="B545" i="2"/>
  <c r="H544" i="2"/>
  <c r="G544" i="2"/>
  <c r="F544" i="2"/>
  <c r="D544" i="2"/>
  <c r="B544" i="2"/>
  <c r="H543" i="2"/>
  <c r="G543" i="2"/>
  <c r="F543" i="2"/>
  <c r="D543" i="2"/>
  <c r="B543" i="2"/>
  <c r="H542" i="2"/>
  <c r="G542" i="2"/>
  <c r="F542" i="2"/>
  <c r="D542" i="2"/>
  <c r="B542" i="2"/>
  <c r="H541" i="2"/>
  <c r="G541" i="2"/>
  <c r="F541" i="2"/>
  <c r="D541" i="2"/>
  <c r="B541" i="2"/>
  <c r="H540" i="2"/>
  <c r="G540" i="2"/>
  <c r="F540" i="2"/>
  <c r="D540" i="2"/>
  <c r="B540" i="2"/>
  <c r="H539" i="2"/>
  <c r="G539" i="2"/>
  <c r="F539" i="2"/>
  <c r="D539" i="2"/>
  <c r="B539" i="2"/>
  <c r="H538" i="2"/>
  <c r="G538" i="2"/>
  <c r="F538" i="2"/>
  <c r="D538" i="2"/>
  <c r="B538" i="2"/>
  <c r="H537" i="2"/>
  <c r="G537" i="2"/>
  <c r="F537" i="2"/>
  <c r="D537" i="2"/>
  <c r="B537" i="2"/>
  <c r="H536" i="2"/>
  <c r="G536" i="2"/>
  <c r="F536" i="2"/>
  <c r="D536" i="2"/>
  <c r="B536" i="2"/>
  <c r="H535" i="2"/>
  <c r="G535" i="2"/>
  <c r="F535" i="2"/>
  <c r="D535" i="2"/>
  <c r="B535" i="2"/>
  <c r="H534" i="2"/>
  <c r="G534" i="2"/>
  <c r="F534" i="2"/>
  <c r="D534" i="2"/>
  <c r="B534" i="2"/>
  <c r="H533" i="2"/>
  <c r="G533" i="2"/>
  <c r="F533" i="2"/>
  <c r="D533" i="2"/>
  <c r="B533" i="2"/>
  <c r="H532" i="2"/>
  <c r="G532" i="2"/>
  <c r="F532" i="2"/>
  <c r="D532" i="2"/>
  <c r="B532" i="2"/>
  <c r="H531" i="2"/>
  <c r="G531" i="2"/>
  <c r="F531" i="2"/>
  <c r="D531" i="2"/>
  <c r="B531" i="2"/>
  <c r="H530" i="2"/>
  <c r="G530" i="2"/>
  <c r="F530" i="2"/>
  <c r="D530" i="2"/>
  <c r="B530" i="2"/>
  <c r="H529" i="2"/>
  <c r="G529" i="2"/>
  <c r="F529" i="2"/>
  <c r="D529" i="2"/>
  <c r="B529" i="2"/>
  <c r="H528" i="2"/>
  <c r="G528" i="2"/>
  <c r="F528" i="2"/>
  <c r="D528" i="2"/>
  <c r="B528" i="2"/>
  <c r="H527" i="2"/>
  <c r="G527" i="2"/>
  <c r="F527" i="2"/>
  <c r="D527" i="2"/>
  <c r="B527" i="2"/>
  <c r="H526" i="2"/>
  <c r="G526" i="2"/>
  <c r="F526" i="2"/>
  <c r="D526" i="2"/>
  <c r="B526" i="2"/>
  <c r="H525" i="2"/>
  <c r="G525" i="2"/>
  <c r="F525" i="2"/>
  <c r="D525" i="2"/>
  <c r="B525" i="2"/>
  <c r="H524" i="2"/>
  <c r="G524" i="2"/>
  <c r="F524" i="2"/>
  <c r="D524" i="2"/>
  <c r="B524" i="2"/>
  <c r="H523" i="2"/>
  <c r="G523" i="2"/>
  <c r="F523" i="2"/>
  <c r="D523" i="2"/>
  <c r="B523" i="2"/>
  <c r="H522" i="2"/>
  <c r="G522" i="2"/>
  <c r="F522" i="2"/>
  <c r="D522" i="2"/>
  <c r="B522" i="2"/>
  <c r="H521" i="2"/>
  <c r="G521" i="2"/>
  <c r="F521" i="2"/>
  <c r="D521" i="2"/>
  <c r="B521" i="2"/>
  <c r="H520" i="2"/>
  <c r="G520" i="2"/>
  <c r="F520" i="2"/>
  <c r="D520" i="2"/>
  <c r="B520" i="2"/>
  <c r="H519" i="2"/>
  <c r="G519" i="2"/>
  <c r="F519" i="2"/>
  <c r="D519" i="2"/>
  <c r="B519" i="2"/>
  <c r="H518" i="2"/>
  <c r="G518" i="2"/>
  <c r="F518" i="2"/>
  <c r="D518" i="2"/>
  <c r="B518" i="2"/>
  <c r="H517" i="2"/>
  <c r="G517" i="2"/>
  <c r="F517" i="2"/>
  <c r="D517" i="2"/>
  <c r="B517" i="2"/>
  <c r="H516" i="2"/>
  <c r="G516" i="2"/>
  <c r="F516" i="2"/>
  <c r="D516" i="2"/>
  <c r="B516" i="2"/>
  <c r="H515" i="2"/>
  <c r="G515" i="2"/>
  <c r="F515" i="2"/>
  <c r="D515" i="2"/>
  <c r="B515" i="2"/>
  <c r="H514" i="2"/>
  <c r="G514" i="2"/>
  <c r="F514" i="2"/>
  <c r="D514" i="2"/>
  <c r="B514" i="2"/>
  <c r="H513" i="2"/>
  <c r="G513" i="2"/>
  <c r="F513" i="2"/>
  <c r="D513" i="2"/>
  <c r="B513" i="2"/>
  <c r="H512" i="2"/>
  <c r="G512" i="2"/>
  <c r="F512" i="2"/>
  <c r="D512" i="2"/>
  <c r="B512" i="2"/>
  <c r="H511" i="2"/>
  <c r="G511" i="2"/>
  <c r="F511" i="2"/>
  <c r="D511" i="2"/>
  <c r="B511" i="2"/>
  <c r="H510" i="2"/>
  <c r="G510" i="2"/>
  <c r="F510" i="2"/>
  <c r="D510" i="2"/>
  <c r="B510" i="2"/>
  <c r="H509" i="2"/>
  <c r="G509" i="2"/>
  <c r="F509" i="2"/>
  <c r="D509" i="2"/>
  <c r="B509" i="2"/>
  <c r="H508" i="2"/>
  <c r="G508" i="2"/>
  <c r="F508" i="2"/>
  <c r="D508" i="2"/>
  <c r="B508" i="2"/>
  <c r="H507" i="2"/>
  <c r="G507" i="2"/>
  <c r="F507" i="2"/>
  <c r="D507" i="2"/>
  <c r="B507" i="2"/>
  <c r="H506" i="2"/>
  <c r="G506" i="2"/>
  <c r="F506" i="2"/>
  <c r="D506" i="2"/>
  <c r="B506" i="2"/>
  <c r="H505" i="2"/>
  <c r="G505" i="2"/>
  <c r="F505" i="2"/>
  <c r="D505" i="2"/>
  <c r="B505" i="2"/>
  <c r="H504" i="2"/>
  <c r="G504" i="2"/>
  <c r="F504" i="2"/>
  <c r="D504" i="2"/>
  <c r="B504" i="2"/>
  <c r="H503" i="2"/>
  <c r="G503" i="2"/>
  <c r="F503" i="2"/>
  <c r="D503" i="2"/>
  <c r="B503" i="2"/>
  <c r="H502" i="2"/>
  <c r="G502" i="2"/>
  <c r="F502" i="2"/>
  <c r="D502" i="2"/>
  <c r="B502" i="2"/>
  <c r="H501" i="2"/>
  <c r="G501" i="2"/>
  <c r="F501" i="2"/>
  <c r="D501" i="2"/>
  <c r="B501" i="2"/>
  <c r="H500" i="2"/>
  <c r="G500" i="2"/>
  <c r="F500" i="2"/>
  <c r="D500" i="2"/>
  <c r="B500" i="2"/>
  <c r="H499" i="2"/>
  <c r="G499" i="2"/>
  <c r="F499" i="2"/>
  <c r="D499" i="2"/>
  <c r="B499" i="2"/>
  <c r="H498" i="2"/>
  <c r="G498" i="2"/>
  <c r="F498" i="2"/>
  <c r="D498" i="2"/>
  <c r="B498" i="2"/>
  <c r="H497" i="2"/>
  <c r="G497" i="2"/>
  <c r="F497" i="2"/>
  <c r="D497" i="2"/>
  <c r="B497" i="2"/>
  <c r="H496" i="2"/>
  <c r="G496" i="2"/>
  <c r="F496" i="2"/>
  <c r="D496" i="2"/>
  <c r="B496" i="2"/>
  <c r="H495" i="2"/>
  <c r="G495" i="2"/>
  <c r="F495" i="2"/>
  <c r="D495" i="2"/>
  <c r="B495" i="2"/>
  <c r="H494" i="2"/>
  <c r="G494" i="2"/>
  <c r="F494" i="2"/>
  <c r="D494" i="2"/>
  <c r="B494" i="2"/>
  <c r="H493" i="2"/>
  <c r="G493" i="2"/>
  <c r="F493" i="2"/>
  <c r="D493" i="2"/>
  <c r="B493" i="2"/>
  <c r="H492" i="2"/>
  <c r="G492" i="2"/>
  <c r="F492" i="2"/>
  <c r="D492" i="2"/>
  <c r="B492" i="2"/>
  <c r="H491" i="2"/>
  <c r="G491" i="2"/>
  <c r="F491" i="2"/>
  <c r="D491" i="2"/>
  <c r="B491" i="2"/>
  <c r="H490" i="2"/>
  <c r="G490" i="2"/>
  <c r="F490" i="2"/>
  <c r="D490" i="2"/>
  <c r="B490" i="2"/>
  <c r="H489" i="2"/>
  <c r="G489" i="2"/>
  <c r="F489" i="2"/>
  <c r="D489" i="2"/>
  <c r="B489" i="2"/>
  <c r="H488" i="2"/>
  <c r="G488" i="2"/>
  <c r="F488" i="2"/>
  <c r="D488" i="2"/>
  <c r="B488" i="2"/>
  <c r="H487" i="2"/>
  <c r="G487" i="2"/>
  <c r="F487" i="2"/>
  <c r="D487" i="2"/>
  <c r="B487" i="2"/>
  <c r="H486" i="2"/>
  <c r="G486" i="2"/>
  <c r="F486" i="2"/>
  <c r="D486" i="2"/>
  <c r="B486" i="2"/>
  <c r="H485" i="2"/>
  <c r="G485" i="2"/>
  <c r="F485" i="2"/>
  <c r="D485" i="2"/>
  <c r="B485" i="2"/>
  <c r="H484" i="2"/>
  <c r="G484" i="2"/>
  <c r="F484" i="2"/>
  <c r="D484" i="2"/>
  <c r="B484" i="2"/>
  <c r="H483" i="2"/>
  <c r="G483" i="2"/>
  <c r="F483" i="2"/>
  <c r="D483" i="2"/>
  <c r="B483" i="2"/>
  <c r="H482" i="2"/>
  <c r="G482" i="2"/>
  <c r="F482" i="2"/>
  <c r="D482" i="2"/>
  <c r="B482" i="2"/>
  <c r="H481" i="2"/>
  <c r="G481" i="2"/>
  <c r="F481" i="2"/>
  <c r="D481" i="2"/>
  <c r="B481" i="2"/>
  <c r="H480" i="2"/>
  <c r="G480" i="2"/>
  <c r="F480" i="2"/>
  <c r="D480" i="2"/>
  <c r="B480" i="2"/>
  <c r="H479" i="2"/>
  <c r="G479" i="2"/>
  <c r="F479" i="2"/>
  <c r="D479" i="2"/>
  <c r="B479" i="2"/>
  <c r="H478" i="2"/>
  <c r="G478" i="2"/>
  <c r="F478" i="2"/>
  <c r="D478" i="2"/>
  <c r="B478" i="2"/>
  <c r="H477" i="2"/>
  <c r="G477" i="2"/>
  <c r="F477" i="2"/>
  <c r="D477" i="2"/>
  <c r="B477" i="2"/>
  <c r="H476" i="2"/>
  <c r="G476" i="2"/>
  <c r="F476" i="2"/>
  <c r="D476" i="2"/>
  <c r="B476" i="2"/>
  <c r="H475" i="2"/>
  <c r="G475" i="2"/>
  <c r="F475" i="2"/>
  <c r="D475" i="2"/>
  <c r="B475" i="2"/>
  <c r="H474" i="2"/>
  <c r="G474" i="2"/>
  <c r="F474" i="2"/>
  <c r="D474" i="2"/>
  <c r="B474" i="2"/>
  <c r="H473" i="2"/>
  <c r="G473" i="2"/>
  <c r="F473" i="2"/>
  <c r="D473" i="2"/>
  <c r="B473" i="2"/>
  <c r="H472" i="2"/>
  <c r="G472" i="2"/>
  <c r="F472" i="2"/>
  <c r="D472" i="2"/>
  <c r="B472" i="2"/>
  <c r="H471" i="2"/>
  <c r="G471" i="2"/>
  <c r="F471" i="2"/>
  <c r="D471" i="2"/>
  <c r="B471" i="2"/>
  <c r="H470" i="2"/>
  <c r="G470" i="2"/>
  <c r="F470" i="2"/>
  <c r="D470" i="2"/>
  <c r="B470" i="2"/>
  <c r="H469" i="2"/>
  <c r="G469" i="2"/>
  <c r="F469" i="2"/>
  <c r="D469" i="2"/>
  <c r="B469" i="2"/>
  <c r="H468" i="2"/>
  <c r="G468" i="2"/>
  <c r="F468" i="2"/>
  <c r="D468" i="2"/>
  <c r="B468" i="2"/>
  <c r="H467" i="2"/>
  <c r="G467" i="2"/>
  <c r="F467" i="2"/>
  <c r="D467" i="2"/>
  <c r="B467" i="2"/>
  <c r="H466" i="2"/>
  <c r="G466" i="2"/>
  <c r="F466" i="2"/>
  <c r="D466" i="2"/>
  <c r="B466" i="2"/>
  <c r="H465" i="2"/>
  <c r="G465" i="2"/>
  <c r="F465" i="2"/>
  <c r="D465" i="2"/>
  <c r="B465" i="2"/>
  <c r="H464" i="2"/>
  <c r="G464" i="2"/>
  <c r="F464" i="2"/>
  <c r="D464" i="2"/>
  <c r="B464" i="2"/>
  <c r="H463" i="2"/>
  <c r="G463" i="2"/>
  <c r="F463" i="2"/>
  <c r="D463" i="2"/>
  <c r="B463" i="2"/>
  <c r="H462" i="2"/>
  <c r="G462" i="2"/>
  <c r="F462" i="2"/>
  <c r="D462" i="2"/>
  <c r="B462" i="2"/>
  <c r="H461" i="2"/>
  <c r="G461" i="2"/>
  <c r="F461" i="2"/>
  <c r="D461" i="2"/>
  <c r="B461" i="2"/>
  <c r="H460" i="2"/>
  <c r="G460" i="2"/>
  <c r="F460" i="2"/>
  <c r="D460" i="2"/>
  <c r="B460" i="2"/>
  <c r="H459" i="2"/>
  <c r="G459" i="2"/>
  <c r="F459" i="2"/>
  <c r="D459" i="2"/>
  <c r="B459" i="2"/>
  <c r="H458" i="2"/>
  <c r="G458" i="2"/>
  <c r="F458" i="2"/>
  <c r="D458" i="2"/>
  <c r="B458" i="2"/>
  <c r="H457" i="2"/>
  <c r="G457" i="2"/>
  <c r="F457" i="2"/>
  <c r="D457" i="2"/>
  <c r="B457" i="2"/>
  <c r="H456" i="2"/>
  <c r="G456" i="2"/>
  <c r="F456" i="2"/>
  <c r="D456" i="2"/>
  <c r="B456" i="2"/>
  <c r="H455" i="2"/>
  <c r="G455" i="2"/>
  <c r="F455" i="2"/>
  <c r="D455" i="2"/>
  <c r="B455" i="2"/>
  <c r="H454" i="2"/>
  <c r="G454" i="2"/>
  <c r="F454" i="2"/>
  <c r="D454" i="2"/>
  <c r="B454" i="2"/>
  <c r="H453" i="2"/>
  <c r="G453" i="2"/>
  <c r="F453" i="2"/>
  <c r="D453" i="2"/>
  <c r="B453" i="2"/>
  <c r="H452" i="2"/>
  <c r="G452" i="2"/>
  <c r="F452" i="2"/>
  <c r="D452" i="2"/>
  <c r="B452" i="2"/>
  <c r="H451" i="2"/>
  <c r="G451" i="2"/>
  <c r="F451" i="2"/>
  <c r="D451" i="2"/>
  <c r="B451" i="2"/>
  <c r="H450" i="2"/>
  <c r="G450" i="2"/>
  <c r="F450" i="2"/>
  <c r="D450" i="2"/>
  <c r="B450" i="2"/>
  <c r="H449" i="2"/>
  <c r="G449" i="2"/>
  <c r="F449" i="2"/>
  <c r="D449" i="2"/>
  <c r="B449" i="2"/>
  <c r="H448" i="2"/>
  <c r="G448" i="2"/>
  <c r="F448" i="2"/>
  <c r="D448" i="2"/>
  <c r="B448" i="2"/>
  <c r="H447" i="2"/>
  <c r="G447" i="2"/>
  <c r="F447" i="2"/>
  <c r="D447" i="2"/>
  <c r="B447" i="2"/>
  <c r="H446" i="2"/>
  <c r="G446" i="2"/>
  <c r="F446" i="2"/>
  <c r="D446" i="2"/>
  <c r="B446" i="2"/>
  <c r="H445" i="2"/>
  <c r="G445" i="2"/>
  <c r="F445" i="2"/>
  <c r="D445" i="2"/>
  <c r="B445" i="2"/>
  <c r="H444" i="2"/>
  <c r="G444" i="2"/>
  <c r="F444" i="2"/>
  <c r="D444" i="2"/>
  <c r="B444" i="2"/>
  <c r="H443" i="2"/>
  <c r="G443" i="2"/>
  <c r="F443" i="2"/>
  <c r="D443" i="2"/>
  <c r="B443" i="2"/>
  <c r="H442" i="2"/>
  <c r="G442" i="2"/>
  <c r="F442" i="2"/>
  <c r="D442" i="2"/>
  <c r="B442" i="2"/>
  <c r="H441" i="2"/>
  <c r="G441" i="2"/>
  <c r="F441" i="2"/>
  <c r="D441" i="2"/>
  <c r="B441" i="2"/>
  <c r="H440" i="2"/>
  <c r="G440" i="2"/>
  <c r="F440" i="2"/>
  <c r="D440" i="2"/>
  <c r="B440" i="2"/>
  <c r="H439" i="2"/>
  <c r="G439" i="2"/>
  <c r="F439" i="2"/>
  <c r="D439" i="2"/>
  <c r="B439" i="2"/>
  <c r="H438" i="2"/>
  <c r="G438" i="2"/>
  <c r="F438" i="2"/>
  <c r="D438" i="2"/>
  <c r="B438" i="2"/>
  <c r="H437" i="2"/>
  <c r="G437" i="2"/>
  <c r="F437" i="2"/>
  <c r="D437" i="2"/>
  <c r="B437" i="2"/>
  <c r="H436" i="2"/>
  <c r="G436" i="2"/>
  <c r="F436" i="2"/>
  <c r="D436" i="2"/>
  <c r="B436" i="2"/>
  <c r="H435" i="2"/>
  <c r="G435" i="2"/>
  <c r="F435" i="2"/>
  <c r="D435" i="2"/>
  <c r="B435" i="2"/>
  <c r="H434" i="2"/>
  <c r="G434" i="2"/>
  <c r="F434" i="2"/>
  <c r="D434" i="2"/>
  <c r="B434" i="2"/>
  <c r="H433" i="2"/>
  <c r="G433" i="2"/>
  <c r="F433" i="2"/>
  <c r="D433" i="2"/>
  <c r="B433" i="2"/>
  <c r="H432" i="2"/>
  <c r="G432" i="2"/>
  <c r="F432" i="2"/>
  <c r="D432" i="2"/>
  <c r="B432" i="2"/>
  <c r="H431" i="2"/>
  <c r="G431" i="2"/>
  <c r="F431" i="2"/>
  <c r="D431" i="2"/>
  <c r="B431" i="2"/>
  <c r="H430" i="2"/>
  <c r="G430" i="2"/>
  <c r="F430" i="2"/>
  <c r="D430" i="2"/>
  <c r="B430" i="2"/>
  <c r="H429" i="2"/>
  <c r="G429" i="2"/>
  <c r="F429" i="2"/>
  <c r="D429" i="2"/>
  <c r="B429" i="2"/>
  <c r="H428" i="2"/>
  <c r="G428" i="2"/>
  <c r="F428" i="2"/>
  <c r="D428" i="2"/>
  <c r="B428" i="2"/>
  <c r="H427" i="2"/>
  <c r="G427" i="2"/>
  <c r="F427" i="2"/>
  <c r="D427" i="2"/>
  <c r="B427" i="2"/>
  <c r="H426" i="2"/>
  <c r="G426" i="2"/>
  <c r="F426" i="2"/>
  <c r="D426" i="2"/>
  <c r="B426" i="2"/>
  <c r="H425" i="2"/>
  <c r="G425" i="2"/>
  <c r="F425" i="2"/>
  <c r="D425" i="2"/>
  <c r="B425" i="2"/>
  <c r="H424" i="2"/>
  <c r="G424" i="2"/>
  <c r="F424" i="2"/>
  <c r="D424" i="2"/>
  <c r="B424" i="2"/>
  <c r="H423" i="2"/>
  <c r="G423" i="2"/>
  <c r="F423" i="2"/>
  <c r="D423" i="2"/>
  <c r="B423" i="2"/>
  <c r="H422" i="2"/>
  <c r="G422" i="2"/>
  <c r="F422" i="2"/>
  <c r="D422" i="2"/>
  <c r="B422" i="2"/>
  <c r="H421" i="2"/>
  <c r="G421" i="2"/>
  <c r="F421" i="2"/>
  <c r="D421" i="2"/>
  <c r="B421" i="2"/>
  <c r="H420" i="2"/>
  <c r="G420" i="2"/>
  <c r="F420" i="2"/>
  <c r="D420" i="2"/>
  <c r="B420" i="2"/>
  <c r="H419" i="2"/>
  <c r="G419" i="2"/>
  <c r="F419" i="2"/>
  <c r="D419" i="2"/>
  <c r="B419" i="2"/>
  <c r="H418" i="2"/>
  <c r="G418" i="2"/>
  <c r="F418" i="2"/>
  <c r="D418" i="2"/>
  <c r="B418" i="2"/>
  <c r="H417" i="2"/>
  <c r="G417" i="2"/>
  <c r="F417" i="2"/>
  <c r="D417" i="2"/>
  <c r="B417" i="2"/>
  <c r="H416" i="2"/>
  <c r="G416" i="2"/>
  <c r="F416" i="2"/>
  <c r="D416" i="2"/>
  <c r="B416" i="2"/>
  <c r="H415" i="2"/>
  <c r="G415" i="2"/>
  <c r="F415" i="2"/>
  <c r="D415" i="2"/>
  <c r="B415" i="2"/>
  <c r="H414" i="2"/>
  <c r="G414" i="2"/>
  <c r="F414" i="2"/>
  <c r="D414" i="2"/>
  <c r="B414" i="2"/>
  <c r="H413" i="2"/>
  <c r="G413" i="2"/>
  <c r="F413" i="2"/>
  <c r="D413" i="2"/>
  <c r="B413" i="2"/>
  <c r="H412" i="2"/>
  <c r="G412" i="2"/>
  <c r="F412" i="2"/>
  <c r="D412" i="2"/>
  <c r="B412" i="2"/>
  <c r="H411" i="2"/>
  <c r="G411" i="2"/>
  <c r="F411" i="2"/>
  <c r="D411" i="2"/>
  <c r="B411" i="2"/>
  <c r="H410" i="2"/>
  <c r="G410" i="2"/>
  <c r="F410" i="2"/>
  <c r="D410" i="2"/>
  <c r="B410" i="2"/>
  <c r="H409" i="2"/>
  <c r="G409" i="2"/>
  <c r="F409" i="2"/>
  <c r="D409" i="2"/>
  <c r="B409" i="2"/>
  <c r="H408" i="2"/>
  <c r="G408" i="2"/>
  <c r="F408" i="2"/>
  <c r="D408" i="2"/>
  <c r="B408" i="2"/>
  <c r="H407" i="2"/>
  <c r="G407" i="2"/>
  <c r="F407" i="2"/>
  <c r="D407" i="2"/>
  <c r="B407" i="2"/>
  <c r="H406" i="2"/>
  <c r="G406" i="2"/>
  <c r="F406" i="2"/>
  <c r="D406" i="2"/>
  <c r="B406" i="2"/>
  <c r="H405" i="2"/>
  <c r="G405" i="2"/>
  <c r="F405" i="2"/>
  <c r="D405" i="2"/>
  <c r="B405" i="2"/>
  <c r="H404" i="2"/>
  <c r="G404" i="2"/>
  <c r="F404" i="2"/>
  <c r="D404" i="2"/>
  <c r="B404" i="2"/>
  <c r="H403" i="2"/>
  <c r="G403" i="2"/>
  <c r="F403" i="2"/>
  <c r="D403" i="2"/>
  <c r="B403" i="2"/>
  <c r="H402" i="2"/>
  <c r="G402" i="2"/>
  <c r="F402" i="2"/>
  <c r="D402" i="2"/>
  <c r="B402" i="2"/>
  <c r="H401" i="2"/>
  <c r="G401" i="2"/>
  <c r="F401" i="2"/>
  <c r="D401" i="2"/>
  <c r="B401" i="2"/>
  <c r="H400" i="2"/>
  <c r="G400" i="2"/>
  <c r="F400" i="2"/>
  <c r="D400" i="2"/>
  <c r="B400" i="2"/>
  <c r="H399" i="2"/>
  <c r="G399" i="2"/>
  <c r="F399" i="2"/>
  <c r="D399" i="2"/>
  <c r="B399" i="2"/>
  <c r="H398" i="2"/>
  <c r="G398" i="2"/>
  <c r="F398" i="2"/>
  <c r="D398" i="2"/>
  <c r="B398" i="2"/>
  <c r="H397" i="2"/>
  <c r="G397" i="2"/>
  <c r="F397" i="2"/>
  <c r="D397" i="2"/>
  <c r="B397" i="2"/>
  <c r="H396" i="2"/>
  <c r="G396" i="2"/>
  <c r="F396" i="2"/>
  <c r="D396" i="2"/>
  <c r="B396" i="2"/>
  <c r="H395" i="2"/>
  <c r="G395" i="2"/>
  <c r="F395" i="2"/>
  <c r="D395" i="2"/>
  <c r="B395" i="2"/>
  <c r="H394" i="2"/>
  <c r="G394" i="2"/>
  <c r="F394" i="2"/>
  <c r="D394" i="2"/>
  <c r="B394" i="2"/>
  <c r="H393" i="2"/>
  <c r="G393" i="2"/>
  <c r="F393" i="2"/>
  <c r="D393" i="2"/>
  <c r="B393" i="2"/>
  <c r="H392" i="2"/>
  <c r="G392" i="2"/>
  <c r="F392" i="2"/>
  <c r="D392" i="2"/>
  <c r="B392" i="2"/>
  <c r="H391" i="2"/>
  <c r="G391" i="2"/>
  <c r="F391" i="2"/>
  <c r="D391" i="2"/>
  <c r="B391" i="2"/>
  <c r="H390" i="2"/>
  <c r="G390" i="2"/>
  <c r="F390" i="2"/>
  <c r="D390" i="2"/>
  <c r="B390" i="2"/>
  <c r="H389" i="2"/>
  <c r="G389" i="2"/>
  <c r="F389" i="2"/>
  <c r="D389" i="2"/>
  <c r="B389" i="2"/>
  <c r="H388" i="2"/>
  <c r="G388" i="2"/>
  <c r="F388" i="2"/>
  <c r="D388" i="2"/>
  <c r="B388" i="2"/>
  <c r="H387" i="2"/>
  <c r="G387" i="2"/>
  <c r="F387" i="2"/>
  <c r="D387" i="2"/>
  <c r="B387" i="2"/>
  <c r="H386" i="2"/>
  <c r="G386" i="2"/>
  <c r="F386" i="2"/>
  <c r="D386" i="2"/>
  <c r="B386" i="2"/>
  <c r="H385" i="2"/>
  <c r="G385" i="2"/>
  <c r="F385" i="2"/>
  <c r="D385" i="2"/>
  <c r="B385" i="2"/>
  <c r="H384" i="2"/>
  <c r="G384" i="2"/>
  <c r="F384" i="2"/>
  <c r="D384" i="2"/>
  <c r="B384" i="2"/>
  <c r="H383" i="2"/>
  <c r="G383" i="2"/>
  <c r="F383" i="2"/>
  <c r="D383" i="2"/>
  <c r="B383" i="2"/>
  <c r="H382" i="2"/>
  <c r="G382" i="2"/>
  <c r="F382" i="2"/>
  <c r="D382" i="2"/>
  <c r="B382" i="2"/>
  <c r="H381" i="2"/>
  <c r="G381" i="2"/>
  <c r="F381" i="2"/>
  <c r="D381" i="2"/>
  <c r="B381" i="2"/>
  <c r="H380" i="2"/>
  <c r="G380" i="2"/>
  <c r="F380" i="2"/>
  <c r="D380" i="2"/>
  <c r="B380" i="2"/>
  <c r="H379" i="2"/>
  <c r="G379" i="2"/>
  <c r="F379" i="2"/>
  <c r="D379" i="2"/>
  <c r="B379" i="2"/>
  <c r="H378" i="2"/>
  <c r="G378" i="2"/>
  <c r="F378" i="2"/>
  <c r="D378" i="2"/>
  <c r="B378" i="2"/>
  <c r="H377" i="2"/>
  <c r="G377" i="2"/>
  <c r="F377" i="2"/>
  <c r="D377" i="2"/>
  <c r="B377" i="2"/>
  <c r="H376" i="2"/>
  <c r="G376" i="2"/>
  <c r="F376" i="2"/>
  <c r="D376" i="2"/>
  <c r="B376" i="2"/>
  <c r="H375" i="2"/>
  <c r="G375" i="2"/>
  <c r="F375" i="2"/>
  <c r="D375" i="2"/>
  <c r="B375" i="2"/>
  <c r="H374" i="2"/>
  <c r="G374" i="2"/>
  <c r="F374" i="2"/>
  <c r="D374" i="2"/>
  <c r="B374" i="2"/>
  <c r="H373" i="2"/>
  <c r="G373" i="2"/>
  <c r="F373" i="2"/>
  <c r="D373" i="2"/>
  <c r="B373" i="2"/>
  <c r="H372" i="2"/>
  <c r="G372" i="2"/>
  <c r="F372" i="2"/>
  <c r="D372" i="2"/>
  <c r="B372" i="2"/>
  <c r="H371" i="2"/>
  <c r="G371" i="2"/>
  <c r="F371" i="2"/>
  <c r="D371" i="2"/>
  <c r="B371" i="2"/>
  <c r="H370" i="2"/>
  <c r="G370" i="2"/>
  <c r="F370" i="2"/>
  <c r="D370" i="2"/>
  <c r="B370" i="2"/>
  <c r="H369" i="2"/>
  <c r="G369" i="2"/>
  <c r="F369" i="2"/>
  <c r="D369" i="2"/>
  <c r="B369" i="2"/>
  <c r="H368" i="2"/>
  <c r="G368" i="2"/>
  <c r="F368" i="2"/>
  <c r="D368" i="2"/>
  <c r="B368" i="2"/>
  <c r="H367" i="2"/>
  <c r="G367" i="2"/>
  <c r="F367" i="2"/>
  <c r="D367" i="2"/>
  <c r="B367" i="2"/>
  <c r="H366" i="2"/>
  <c r="G366" i="2"/>
  <c r="F366" i="2"/>
  <c r="D366" i="2"/>
  <c r="B366" i="2"/>
  <c r="H365" i="2"/>
  <c r="G365" i="2"/>
  <c r="F365" i="2"/>
  <c r="D365" i="2"/>
  <c r="B365" i="2"/>
  <c r="H364" i="2"/>
  <c r="G364" i="2"/>
  <c r="F364" i="2"/>
  <c r="D364" i="2"/>
  <c r="B364" i="2"/>
  <c r="H363" i="2"/>
  <c r="G363" i="2"/>
  <c r="F363" i="2"/>
  <c r="D363" i="2"/>
  <c r="B363" i="2"/>
  <c r="H362" i="2"/>
  <c r="G362" i="2"/>
  <c r="F362" i="2"/>
  <c r="D362" i="2"/>
  <c r="B362" i="2"/>
  <c r="H361" i="2"/>
  <c r="G361" i="2"/>
  <c r="F361" i="2"/>
  <c r="D361" i="2"/>
  <c r="B361" i="2"/>
  <c r="H360" i="2"/>
  <c r="G360" i="2"/>
  <c r="F360" i="2"/>
  <c r="D360" i="2"/>
  <c r="B360" i="2"/>
  <c r="H359" i="2"/>
  <c r="G359" i="2"/>
  <c r="F359" i="2"/>
  <c r="D359" i="2"/>
  <c r="B359" i="2"/>
  <c r="H358" i="2"/>
  <c r="G358" i="2"/>
  <c r="F358" i="2"/>
  <c r="D358" i="2"/>
  <c r="B358" i="2"/>
  <c r="H357" i="2"/>
  <c r="G357" i="2"/>
  <c r="F357" i="2"/>
  <c r="D357" i="2"/>
  <c r="B357" i="2"/>
  <c r="H356" i="2"/>
  <c r="G356" i="2"/>
  <c r="F356" i="2"/>
  <c r="D356" i="2"/>
  <c r="B356" i="2"/>
  <c r="H355" i="2"/>
  <c r="G355" i="2"/>
  <c r="F355" i="2"/>
  <c r="D355" i="2"/>
  <c r="B355" i="2"/>
  <c r="H354" i="2"/>
  <c r="G354" i="2"/>
  <c r="F354" i="2"/>
  <c r="D354" i="2"/>
  <c r="B354" i="2"/>
  <c r="H353" i="2"/>
  <c r="G353" i="2"/>
  <c r="F353" i="2"/>
  <c r="D353" i="2"/>
  <c r="B353" i="2"/>
  <c r="H352" i="2"/>
  <c r="G352" i="2"/>
  <c r="F352" i="2"/>
  <c r="D352" i="2"/>
  <c r="B352" i="2"/>
  <c r="H351" i="2"/>
  <c r="G351" i="2"/>
  <c r="F351" i="2"/>
  <c r="D351" i="2"/>
  <c r="B351" i="2"/>
  <c r="H350" i="2"/>
  <c r="G350" i="2"/>
  <c r="F350" i="2"/>
  <c r="D350" i="2"/>
  <c r="B350" i="2"/>
  <c r="H349" i="2"/>
  <c r="G349" i="2"/>
  <c r="F349" i="2"/>
  <c r="D349" i="2"/>
  <c r="B349" i="2"/>
  <c r="H348" i="2"/>
  <c r="G348" i="2"/>
  <c r="F348" i="2"/>
  <c r="D348" i="2"/>
  <c r="B348" i="2"/>
  <c r="H347" i="2"/>
  <c r="G347" i="2"/>
  <c r="F347" i="2"/>
  <c r="D347" i="2"/>
  <c r="B347" i="2"/>
  <c r="H346" i="2"/>
  <c r="G346" i="2"/>
  <c r="F346" i="2"/>
  <c r="D346" i="2"/>
  <c r="B346" i="2"/>
  <c r="H345" i="2"/>
  <c r="G345" i="2"/>
  <c r="F345" i="2"/>
  <c r="D345" i="2"/>
  <c r="B345" i="2"/>
  <c r="H344" i="2"/>
  <c r="G344" i="2"/>
  <c r="F344" i="2"/>
  <c r="D344" i="2"/>
  <c r="B344" i="2"/>
  <c r="H343" i="2"/>
  <c r="G343" i="2"/>
  <c r="F343" i="2"/>
  <c r="D343" i="2"/>
  <c r="B343" i="2"/>
  <c r="H342" i="2"/>
  <c r="G342" i="2"/>
  <c r="F342" i="2"/>
  <c r="D342" i="2"/>
  <c r="B342" i="2"/>
  <c r="H341" i="2"/>
  <c r="G341" i="2"/>
  <c r="F341" i="2"/>
  <c r="D341" i="2"/>
  <c r="B341" i="2"/>
  <c r="H340" i="2"/>
  <c r="G340" i="2"/>
  <c r="F340" i="2"/>
  <c r="D340" i="2"/>
  <c r="B340" i="2"/>
  <c r="H339" i="2"/>
  <c r="G339" i="2"/>
  <c r="F339" i="2"/>
  <c r="D339" i="2"/>
  <c r="B339" i="2"/>
  <c r="H338" i="2"/>
  <c r="G338" i="2"/>
  <c r="F338" i="2"/>
  <c r="D338" i="2"/>
  <c r="B338" i="2"/>
  <c r="H337" i="2"/>
  <c r="G337" i="2"/>
  <c r="F337" i="2"/>
  <c r="D337" i="2"/>
  <c r="B337" i="2"/>
  <c r="H336" i="2"/>
  <c r="G336" i="2"/>
  <c r="F336" i="2"/>
  <c r="D336" i="2"/>
  <c r="B336" i="2"/>
  <c r="H335" i="2"/>
  <c r="G335" i="2"/>
  <c r="F335" i="2"/>
  <c r="D335" i="2"/>
  <c r="B335" i="2"/>
  <c r="H334" i="2"/>
  <c r="G334" i="2"/>
  <c r="F334" i="2"/>
  <c r="D334" i="2"/>
  <c r="B334" i="2"/>
  <c r="H333" i="2"/>
  <c r="G333" i="2"/>
  <c r="F333" i="2"/>
  <c r="D333" i="2"/>
  <c r="B333" i="2"/>
  <c r="H332" i="2"/>
  <c r="G332" i="2"/>
  <c r="F332" i="2"/>
  <c r="D332" i="2"/>
  <c r="B332" i="2"/>
  <c r="H331" i="2"/>
  <c r="G331" i="2"/>
  <c r="F331" i="2"/>
  <c r="D331" i="2"/>
  <c r="B331" i="2"/>
  <c r="H330" i="2"/>
  <c r="G330" i="2"/>
  <c r="F330" i="2"/>
  <c r="D330" i="2"/>
  <c r="B330" i="2"/>
  <c r="H329" i="2"/>
  <c r="G329" i="2"/>
  <c r="F329" i="2"/>
  <c r="D329" i="2"/>
  <c r="B329" i="2"/>
  <c r="H328" i="2"/>
  <c r="G328" i="2"/>
  <c r="F328" i="2"/>
  <c r="D328" i="2"/>
  <c r="B328" i="2"/>
  <c r="H327" i="2"/>
  <c r="G327" i="2"/>
  <c r="F327" i="2"/>
  <c r="D327" i="2"/>
  <c r="B327" i="2"/>
  <c r="H326" i="2"/>
  <c r="G326" i="2"/>
  <c r="F326" i="2"/>
  <c r="D326" i="2"/>
  <c r="B326" i="2"/>
  <c r="H325" i="2"/>
  <c r="G325" i="2"/>
  <c r="F325" i="2"/>
  <c r="D325" i="2"/>
  <c r="B325" i="2"/>
  <c r="H324" i="2"/>
  <c r="G324" i="2"/>
  <c r="F324" i="2"/>
  <c r="D324" i="2"/>
  <c r="B324" i="2"/>
  <c r="H323" i="2"/>
  <c r="G323" i="2"/>
  <c r="F323" i="2"/>
  <c r="D323" i="2"/>
  <c r="B323" i="2"/>
  <c r="H322" i="2"/>
  <c r="G322" i="2"/>
  <c r="F322" i="2"/>
  <c r="D322" i="2"/>
  <c r="B322" i="2"/>
  <c r="H321" i="2"/>
  <c r="G321" i="2"/>
  <c r="F321" i="2"/>
  <c r="D321" i="2"/>
  <c r="B321" i="2"/>
  <c r="H320" i="2"/>
  <c r="G320" i="2"/>
  <c r="F320" i="2"/>
  <c r="D320" i="2"/>
  <c r="B320" i="2"/>
  <c r="H319" i="2"/>
  <c r="G319" i="2"/>
  <c r="F319" i="2"/>
  <c r="D319" i="2"/>
  <c r="B319" i="2"/>
  <c r="H318" i="2"/>
  <c r="G318" i="2"/>
  <c r="F318" i="2"/>
  <c r="D318" i="2"/>
  <c r="B318" i="2"/>
  <c r="H317" i="2"/>
  <c r="G317" i="2"/>
  <c r="F317" i="2"/>
  <c r="D317" i="2"/>
  <c r="B317" i="2"/>
  <c r="H316" i="2"/>
  <c r="G316" i="2"/>
  <c r="F316" i="2"/>
  <c r="D316" i="2"/>
  <c r="B316" i="2"/>
  <c r="H315" i="2"/>
  <c r="G315" i="2"/>
  <c r="F315" i="2"/>
  <c r="D315" i="2"/>
  <c r="B315" i="2"/>
  <c r="H314" i="2"/>
  <c r="G314" i="2"/>
  <c r="F314" i="2"/>
  <c r="D314" i="2"/>
  <c r="B314" i="2"/>
  <c r="H313" i="2"/>
  <c r="G313" i="2"/>
  <c r="F313" i="2"/>
  <c r="D313" i="2"/>
  <c r="B313" i="2"/>
  <c r="H312" i="2"/>
  <c r="G312" i="2"/>
  <c r="F312" i="2"/>
  <c r="D312" i="2"/>
  <c r="B312" i="2"/>
  <c r="H311" i="2"/>
  <c r="G311" i="2"/>
  <c r="F311" i="2"/>
  <c r="D311" i="2"/>
  <c r="B311" i="2"/>
  <c r="H310" i="2"/>
  <c r="G310" i="2"/>
  <c r="F310" i="2"/>
  <c r="D310" i="2"/>
  <c r="B310" i="2"/>
  <c r="H309" i="2"/>
  <c r="G309" i="2"/>
  <c r="F309" i="2"/>
  <c r="D309" i="2"/>
  <c r="B309" i="2"/>
  <c r="H308" i="2"/>
  <c r="G308" i="2"/>
  <c r="F308" i="2"/>
  <c r="D308" i="2"/>
  <c r="B308" i="2"/>
  <c r="H307" i="2"/>
  <c r="G307" i="2"/>
  <c r="F307" i="2"/>
  <c r="D307" i="2"/>
  <c r="B307" i="2"/>
  <c r="H306" i="2"/>
  <c r="G306" i="2"/>
  <c r="F306" i="2"/>
  <c r="D306" i="2"/>
  <c r="B306" i="2"/>
  <c r="H305" i="2"/>
  <c r="G305" i="2"/>
  <c r="F305" i="2"/>
  <c r="D305" i="2"/>
  <c r="B305" i="2"/>
  <c r="H304" i="2"/>
  <c r="G304" i="2"/>
  <c r="F304" i="2"/>
  <c r="D304" i="2"/>
  <c r="B304" i="2"/>
  <c r="H303" i="2"/>
  <c r="G303" i="2"/>
  <c r="F303" i="2"/>
  <c r="D303" i="2"/>
  <c r="B303" i="2"/>
  <c r="H302" i="2"/>
  <c r="G302" i="2"/>
  <c r="F302" i="2"/>
  <c r="D302" i="2"/>
  <c r="B302" i="2"/>
  <c r="H301" i="2"/>
  <c r="G301" i="2"/>
  <c r="F301" i="2"/>
  <c r="D301" i="2"/>
  <c r="B301" i="2"/>
  <c r="H300" i="2"/>
  <c r="G300" i="2"/>
  <c r="F300" i="2"/>
  <c r="D300" i="2"/>
  <c r="B300" i="2"/>
  <c r="H299" i="2"/>
  <c r="G299" i="2"/>
  <c r="F299" i="2"/>
  <c r="D299" i="2"/>
  <c r="B299" i="2"/>
  <c r="H298" i="2"/>
  <c r="G298" i="2"/>
  <c r="F298" i="2"/>
  <c r="D298" i="2"/>
  <c r="B298" i="2"/>
  <c r="H297" i="2"/>
  <c r="G297" i="2"/>
  <c r="F297" i="2"/>
  <c r="D297" i="2"/>
  <c r="B297" i="2"/>
  <c r="H296" i="2"/>
  <c r="G296" i="2"/>
  <c r="F296" i="2"/>
  <c r="D296" i="2"/>
  <c r="B296" i="2"/>
  <c r="H295" i="2"/>
  <c r="G295" i="2"/>
  <c r="F295" i="2"/>
  <c r="D295" i="2"/>
  <c r="B295" i="2"/>
  <c r="H294" i="2"/>
  <c r="G294" i="2"/>
  <c r="F294" i="2"/>
  <c r="D294" i="2"/>
  <c r="B294" i="2"/>
  <c r="H293" i="2"/>
  <c r="G293" i="2"/>
  <c r="F293" i="2"/>
  <c r="D293" i="2"/>
  <c r="B293" i="2"/>
  <c r="H292" i="2"/>
  <c r="G292" i="2"/>
  <c r="F292" i="2"/>
  <c r="D292" i="2"/>
  <c r="B292" i="2"/>
  <c r="H291" i="2"/>
  <c r="G291" i="2"/>
  <c r="F291" i="2"/>
  <c r="D291" i="2"/>
  <c r="B291" i="2"/>
  <c r="H290" i="2"/>
  <c r="G290" i="2"/>
  <c r="F290" i="2"/>
  <c r="D290" i="2"/>
  <c r="B290" i="2"/>
  <c r="H289" i="2"/>
  <c r="G289" i="2"/>
  <c r="F289" i="2"/>
  <c r="D289" i="2"/>
  <c r="B289" i="2"/>
  <c r="H288" i="2"/>
  <c r="G288" i="2"/>
  <c r="F288" i="2"/>
  <c r="D288" i="2"/>
  <c r="B288" i="2"/>
  <c r="H287" i="2"/>
  <c r="G287" i="2"/>
  <c r="F287" i="2"/>
  <c r="D287" i="2"/>
  <c r="B287" i="2"/>
  <c r="H286" i="2"/>
  <c r="G286" i="2"/>
  <c r="F286" i="2"/>
  <c r="D286" i="2"/>
  <c r="B286" i="2"/>
  <c r="H285" i="2"/>
  <c r="G285" i="2"/>
  <c r="F285" i="2"/>
  <c r="D285" i="2"/>
  <c r="B285" i="2"/>
  <c r="H284" i="2"/>
  <c r="G284" i="2"/>
  <c r="F284" i="2"/>
  <c r="D284" i="2"/>
  <c r="B284" i="2"/>
  <c r="H283" i="2"/>
  <c r="G283" i="2"/>
  <c r="F283" i="2"/>
  <c r="D283" i="2"/>
  <c r="B283" i="2"/>
  <c r="H282" i="2"/>
  <c r="G282" i="2"/>
  <c r="F282" i="2"/>
  <c r="D282" i="2"/>
  <c r="B282" i="2"/>
  <c r="H281" i="2"/>
  <c r="G281" i="2"/>
  <c r="F281" i="2"/>
  <c r="D281" i="2"/>
  <c r="B281" i="2"/>
  <c r="H280" i="2"/>
  <c r="G280" i="2"/>
  <c r="F280" i="2"/>
  <c r="D280" i="2"/>
  <c r="B280" i="2"/>
  <c r="H279" i="2"/>
  <c r="G279" i="2"/>
  <c r="F279" i="2"/>
  <c r="D279" i="2"/>
  <c r="B279" i="2"/>
  <c r="H278" i="2"/>
  <c r="G278" i="2"/>
  <c r="F278" i="2"/>
  <c r="D278" i="2"/>
  <c r="B278" i="2"/>
  <c r="H277" i="2"/>
  <c r="G277" i="2"/>
  <c r="F277" i="2"/>
  <c r="D277" i="2"/>
  <c r="B277" i="2"/>
  <c r="H276" i="2"/>
  <c r="G276" i="2"/>
  <c r="F276" i="2"/>
  <c r="D276" i="2"/>
  <c r="B276" i="2"/>
  <c r="H275" i="2"/>
  <c r="G275" i="2"/>
  <c r="F275" i="2"/>
  <c r="D275" i="2"/>
  <c r="B275" i="2"/>
  <c r="H274" i="2"/>
  <c r="G274" i="2"/>
  <c r="F274" i="2"/>
  <c r="D274" i="2"/>
  <c r="B274" i="2"/>
  <c r="H273" i="2"/>
  <c r="G273" i="2"/>
  <c r="F273" i="2"/>
  <c r="D273" i="2"/>
  <c r="B273" i="2"/>
  <c r="H272" i="2"/>
  <c r="G272" i="2"/>
  <c r="F272" i="2"/>
  <c r="D272" i="2"/>
  <c r="B272" i="2"/>
  <c r="H271" i="2"/>
  <c r="G271" i="2"/>
  <c r="F271" i="2"/>
  <c r="D271" i="2"/>
  <c r="B271" i="2"/>
  <c r="H270" i="2"/>
  <c r="G270" i="2"/>
  <c r="F270" i="2"/>
  <c r="D270" i="2"/>
  <c r="B270" i="2"/>
  <c r="H269" i="2"/>
  <c r="G269" i="2"/>
  <c r="F269" i="2"/>
  <c r="D269" i="2"/>
  <c r="B269" i="2"/>
  <c r="H268" i="2"/>
  <c r="G268" i="2"/>
  <c r="F268" i="2"/>
  <c r="D268" i="2"/>
  <c r="B268" i="2"/>
  <c r="H267" i="2"/>
  <c r="G267" i="2"/>
  <c r="F267" i="2"/>
  <c r="D267" i="2"/>
  <c r="B267" i="2"/>
  <c r="H266" i="2"/>
  <c r="G266" i="2"/>
  <c r="F266" i="2"/>
  <c r="D266" i="2"/>
  <c r="B266" i="2"/>
  <c r="H265" i="2"/>
  <c r="G265" i="2"/>
  <c r="F265" i="2"/>
  <c r="D265" i="2"/>
  <c r="B265" i="2"/>
  <c r="H264" i="2"/>
  <c r="G264" i="2"/>
  <c r="F264" i="2"/>
  <c r="D264" i="2"/>
  <c r="B264" i="2"/>
  <c r="H263" i="2"/>
  <c r="G263" i="2"/>
  <c r="F263" i="2"/>
  <c r="D263" i="2"/>
  <c r="B263" i="2"/>
  <c r="H262" i="2"/>
  <c r="G262" i="2"/>
  <c r="F262" i="2"/>
  <c r="D262" i="2"/>
  <c r="B262" i="2"/>
  <c r="H261" i="2"/>
  <c r="G261" i="2"/>
  <c r="F261" i="2"/>
  <c r="D261" i="2"/>
  <c r="B261" i="2"/>
  <c r="H260" i="2"/>
  <c r="G260" i="2"/>
  <c r="F260" i="2"/>
  <c r="D260" i="2"/>
  <c r="B260" i="2"/>
  <c r="H259" i="2"/>
  <c r="G259" i="2"/>
  <c r="F259" i="2"/>
  <c r="D259" i="2"/>
  <c r="B259" i="2"/>
  <c r="H258" i="2"/>
  <c r="G258" i="2"/>
  <c r="F258" i="2"/>
  <c r="D258" i="2"/>
  <c r="B258" i="2"/>
  <c r="H257" i="2"/>
  <c r="G257" i="2"/>
  <c r="F257" i="2"/>
  <c r="D257" i="2"/>
  <c r="B257" i="2"/>
  <c r="H256" i="2"/>
  <c r="G256" i="2"/>
  <c r="F256" i="2"/>
  <c r="D256" i="2"/>
  <c r="B256" i="2"/>
  <c r="H255" i="2"/>
  <c r="G255" i="2"/>
  <c r="F255" i="2"/>
  <c r="D255" i="2"/>
  <c r="B255" i="2"/>
  <c r="H254" i="2"/>
  <c r="G254" i="2"/>
  <c r="F254" i="2"/>
  <c r="D254" i="2"/>
  <c r="B254" i="2"/>
  <c r="H253" i="2"/>
  <c r="G253" i="2"/>
  <c r="F253" i="2"/>
  <c r="D253" i="2"/>
  <c r="B253" i="2"/>
  <c r="H252" i="2"/>
  <c r="G252" i="2"/>
  <c r="F252" i="2"/>
  <c r="D252" i="2"/>
  <c r="B252" i="2"/>
  <c r="H251" i="2"/>
  <c r="G251" i="2"/>
  <c r="F251" i="2"/>
  <c r="D251" i="2"/>
  <c r="B251" i="2"/>
  <c r="H250" i="2"/>
  <c r="G250" i="2"/>
  <c r="F250" i="2"/>
  <c r="D250" i="2"/>
  <c r="B250" i="2"/>
  <c r="H249" i="2"/>
  <c r="G249" i="2"/>
  <c r="F249" i="2"/>
  <c r="D249" i="2"/>
  <c r="B249" i="2"/>
  <c r="H248" i="2"/>
  <c r="G248" i="2"/>
  <c r="F248" i="2"/>
  <c r="D248" i="2"/>
  <c r="B248" i="2"/>
  <c r="H247" i="2"/>
  <c r="G247" i="2"/>
  <c r="F247" i="2"/>
  <c r="D247" i="2"/>
  <c r="B247" i="2"/>
  <c r="H246" i="2"/>
  <c r="G246" i="2"/>
  <c r="F246" i="2"/>
  <c r="D246" i="2"/>
  <c r="B246" i="2"/>
  <c r="H245" i="2"/>
  <c r="G245" i="2"/>
  <c r="F245" i="2"/>
  <c r="D245" i="2"/>
  <c r="B245" i="2"/>
  <c r="H244" i="2"/>
  <c r="G244" i="2"/>
  <c r="F244" i="2"/>
  <c r="D244" i="2"/>
  <c r="B244" i="2"/>
  <c r="H243" i="2"/>
  <c r="G243" i="2"/>
  <c r="F243" i="2"/>
  <c r="D243" i="2"/>
  <c r="B243" i="2"/>
  <c r="H242" i="2"/>
  <c r="G242" i="2"/>
  <c r="F242" i="2"/>
  <c r="D242" i="2"/>
  <c r="B242" i="2"/>
  <c r="H241" i="2"/>
  <c r="G241" i="2"/>
  <c r="F241" i="2"/>
  <c r="D241" i="2"/>
  <c r="B241" i="2"/>
  <c r="H240" i="2"/>
  <c r="G240" i="2"/>
  <c r="F240" i="2"/>
  <c r="D240" i="2"/>
  <c r="B240" i="2"/>
  <c r="H239" i="2"/>
  <c r="G239" i="2"/>
  <c r="F239" i="2"/>
  <c r="D239" i="2"/>
  <c r="B239" i="2"/>
  <c r="H238" i="2"/>
  <c r="G238" i="2"/>
  <c r="F238" i="2"/>
  <c r="D238" i="2"/>
  <c r="B238" i="2"/>
  <c r="H237" i="2"/>
  <c r="G237" i="2"/>
  <c r="F237" i="2"/>
  <c r="D237" i="2"/>
  <c r="B237" i="2"/>
  <c r="H236" i="2"/>
  <c r="G236" i="2"/>
  <c r="F236" i="2"/>
  <c r="D236" i="2"/>
  <c r="B236" i="2"/>
  <c r="H235" i="2"/>
  <c r="G235" i="2"/>
  <c r="F235" i="2"/>
  <c r="D235" i="2"/>
  <c r="B235" i="2"/>
  <c r="H234" i="2"/>
  <c r="G234" i="2"/>
  <c r="F234" i="2"/>
  <c r="D234" i="2"/>
  <c r="B234" i="2"/>
  <c r="H233" i="2"/>
  <c r="G233" i="2"/>
  <c r="F233" i="2"/>
  <c r="D233" i="2"/>
  <c r="B233" i="2"/>
  <c r="H232" i="2"/>
  <c r="G232" i="2"/>
  <c r="F232" i="2"/>
  <c r="D232" i="2"/>
  <c r="B232" i="2"/>
  <c r="H231" i="2"/>
  <c r="G231" i="2"/>
  <c r="F231" i="2"/>
  <c r="D231" i="2"/>
  <c r="B231" i="2"/>
  <c r="H230" i="2"/>
  <c r="G230" i="2"/>
  <c r="F230" i="2"/>
  <c r="D230" i="2"/>
  <c r="B230" i="2"/>
  <c r="H229" i="2"/>
  <c r="G229" i="2"/>
  <c r="F229" i="2"/>
  <c r="D229" i="2"/>
  <c r="B229" i="2"/>
  <c r="H228" i="2"/>
  <c r="G228" i="2"/>
  <c r="F228" i="2"/>
  <c r="D228" i="2"/>
  <c r="B228" i="2"/>
  <c r="H227" i="2"/>
  <c r="G227" i="2"/>
  <c r="F227" i="2"/>
  <c r="D227" i="2"/>
  <c r="B227" i="2"/>
  <c r="H226" i="2"/>
  <c r="G226" i="2"/>
  <c r="F226" i="2"/>
  <c r="D226" i="2"/>
  <c r="B226" i="2"/>
  <c r="H225" i="2"/>
  <c r="G225" i="2"/>
  <c r="F225" i="2"/>
  <c r="D225" i="2"/>
  <c r="B225" i="2"/>
  <c r="H224" i="2"/>
  <c r="G224" i="2"/>
  <c r="F224" i="2"/>
  <c r="D224" i="2"/>
  <c r="B224" i="2"/>
  <c r="H223" i="2"/>
  <c r="G223" i="2"/>
  <c r="F223" i="2"/>
  <c r="D223" i="2"/>
  <c r="B223" i="2"/>
  <c r="H222" i="2"/>
  <c r="G222" i="2"/>
  <c r="F222" i="2"/>
  <c r="D222" i="2"/>
  <c r="B222" i="2"/>
  <c r="H221" i="2"/>
  <c r="G221" i="2"/>
  <c r="F221" i="2"/>
  <c r="D221" i="2"/>
  <c r="B221" i="2"/>
  <c r="H220" i="2"/>
  <c r="G220" i="2"/>
  <c r="F220" i="2"/>
  <c r="D220" i="2"/>
  <c r="B220" i="2"/>
  <c r="H219" i="2"/>
  <c r="G219" i="2"/>
  <c r="F219" i="2"/>
  <c r="D219" i="2"/>
  <c r="B219" i="2"/>
  <c r="H218" i="2"/>
  <c r="G218" i="2"/>
  <c r="F218" i="2"/>
  <c r="D218" i="2"/>
  <c r="B218" i="2"/>
  <c r="H217" i="2"/>
  <c r="G217" i="2"/>
  <c r="F217" i="2"/>
  <c r="D217" i="2"/>
  <c r="B217" i="2"/>
  <c r="H216" i="2"/>
  <c r="G216" i="2"/>
  <c r="F216" i="2"/>
  <c r="D216" i="2"/>
  <c r="B216" i="2"/>
  <c r="H215" i="2"/>
  <c r="G215" i="2"/>
  <c r="F215" i="2"/>
  <c r="D215" i="2"/>
  <c r="B215" i="2"/>
  <c r="H214" i="2"/>
  <c r="G214" i="2"/>
  <c r="F214" i="2"/>
  <c r="D214" i="2"/>
  <c r="B214" i="2"/>
  <c r="H213" i="2"/>
  <c r="G213" i="2"/>
  <c r="F213" i="2"/>
  <c r="D213" i="2"/>
  <c r="B213" i="2"/>
  <c r="H212" i="2"/>
  <c r="G212" i="2"/>
  <c r="F212" i="2"/>
  <c r="D212" i="2"/>
  <c r="B212" i="2"/>
  <c r="H211" i="2"/>
  <c r="G211" i="2"/>
  <c r="F211" i="2"/>
  <c r="D211" i="2"/>
  <c r="B211" i="2"/>
  <c r="H210" i="2"/>
  <c r="G210" i="2"/>
  <c r="F210" i="2"/>
  <c r="D210" i="2"/>
  <c r="B210" i="2"/>
  <c r="H209" i="2"/>
  <c r="G209" i="2"/>
  <c r="F209" i="2"/>
  <c r="D209" i="2"/>
  <c r="B209" i="2"/>
  <c r="H208" i="2"/>
  <c r="G208" i="2"/>
  <c r="F208" i="2"/>
  <c r="D208" i="2"/>
  <c r="B208" i="2"/>
  <c r="H207" i="2"/>
  <c r="G207" i="2"/>
  <c r="F207" i="2"/>
  <c r="D207" i="2"/>
  <c r="B207" i="2"/>
  <c r="H206" i="2"/>
  <c r="G206" i="2"/>
  <c r="F206" i="2"/>
  <c r="D206" i="2"/>
  <c r="B206" i="2"/>
  <c r="H205" i="2"/>
  <c r="G205" i="2"/>
  <c r="F205" i="2"/>
  <c r="D205" i="2"/>
  <c r="B205" i="2"/>
  <c r="H204" i="2"/>
  <c r="G204" i="2"/>
  <c r="F204" i="2"/>
  <c r="D204" i="2"/>
  <c r="B204" i="2"/>
  <c r="H203" i="2"/>
  <c r="G203" i="2"/>
  <c r="F203" i="2"/>
  <c r="D203" i="2"/>
  <c r="B203" i="2"/>
  <c r="H202" i="2"/>
  <c r="G202" i="2"/>
  <c r="F202" i="2"/>
  <c r="D202" i="2"/>
  <c r="B202" i="2"/>
  <c r="H201" i="2"/>
  <c r="G201" i="2"/>
  <c r="F201" i="2"/>
  <c r="D201" i="2"/>
  <c r="B201" i="2"/>
  <c r="H200" i="2"/>
  <c r="G200" i="2"/>
  <c r="F200" i="2"/>
  <c r="D200" i="2"/>
  <c r="B200" i="2"/>
  <c r="H199" i="2"/>
  <c r="G199" i="2"/>
  <c r="F199" i="2"/>
  <c r="D199" i="2"/>
  <c r="B199" i="2"/>
  <c r="H198" i="2"/>
  <c r="G198" i="2"/>
  <c r="F198" i="2"/>
  <c r="D198" i="2"/>
  <c r="B198" i="2"/>
  <c r="H197" i="2"/>
  <c r="G197" i="2"/>
  <c r="F197" i="2"/>
  <c r="D197" i="2"/>
  <c r="B197" i="2"/>
  <c r="H196" i="2"/>
  <c r="G196" i="2"/>
  <c r="F196" i="2"/>
  <c r="D196" i="2"/>
  <c r="B196" i="2"/>
  <c r="H195" i="2"/>
  <c r="G195" i="2"/>
  <c r="F195" i="2"/>
  <c r="D195" i="2"/>
  <c r="B195" i="2"/>
  <c r="H194" i="2"/>
  <c r="G194" i="2"/>
  <c r="F194" i="2"/>
  <c r="D194" i="2"/>
  <c r="B194" i="2"/>
  <c r="H193" i="2"/>
  <c r="G193" i="2"/>
  <c r="F193" i="2"/>
  <c r="D193" i="2"/>
  <c r="B193" i="2"/>
  <c r="H192" i="2"/>
  <c r="G192" i="2"/>
  <c r="F192" i="2"/>
  <c r="D192" i="2"/>
  <c r="B192" i="2"/>
  <c r="H191" i="2"/>
  <c r="G191" i="2"/>
  <c r="F191" i="2"/>
  <c r="D191" i="2"/>
  <c r="B191" i="2"/>
  <c r="H190" i="2"/>
  <c r="G190" i="2"/>
  <c r="F190" i="2"/>
  <c r="D190" i="2"/>
  <c r="B190" i="2"/>
  <c r="H189" i="2"/>
  <c r="G189" i="2"/>
  <c r="F189" i="2"/>
  <c r="D189" i="2"/>
  <c r="B189" i="2"/>
  <c r="H188" i="2"/>
  <c r="G188" i="2"/>
  <c r="F188" i="2"/>
  <c r="D188" i="2"/>
  <c r="B188" i="2"/>
  <c r="H187" i="2"/>
  <c r="G187" i="2"/>
  <c r="F187" i="2"/>
  <c r="D187" i="2"/>
  <c r="B187" i="2"/>
  <c r="H186" i="2"/>
  <c r="G186" i="2"/>
  <c r="F186" i="2"/>
  <c r="D186" i="2"/>
  <c r="B186" i="2"/>
  <c r="H185" i="2"/>
  <c r="G185" i="2"/>
  <c r="F185" i="2"/>
  <c r="D185" i="2"/>
  <c r="B185" i="2"/>
  <c r="H184" i="2"/>
  <c r="G184" i="2"/>
  <c r="F184" i="2"/>
  <c r="D184" i="2"/>
  <c r="B184" i="2"/>
  <c r="H183" i="2"/>
  <c r="G183" i="2"/>
  <c r="F183" i="2"/>
  <c r="D183" i="2"/>
  <c r="B183" i="2"/>
  <c r="H182" i="2"/>
  <c r="G182" i="2"/>
  <c r="F182" i="2"/>
  <c r="D182" i="2"/>
  <c r="B182" i="2"/>
  <c r="H181" i="2"/>
  <c r="G181" i="2"/>
  <c r="F181" i="2"/>
  <c r="D181" i="2"/>
  <c r="B181" i="2"/>
  <c r="H180" i="2"/>
  <c r="G180" i="2"/>
  <c r="F180" i="2"/>
  <c r="D180" i="2"/>
  <c r="B180" i="2"/>
  <c r="H179" i="2"/>
  <c r="G179" i="2"/>
  <c r="F179" i="2"/>
  <c r="D179" i="2"/>
  <c r="B179" i="2"/>
  <c r="H178" i="2"/>
  <c r="G178" i="2"/>
  <c r="F178" i="2"/>
  <c r="D178" i="2"/>
  <c r="B178" i="2"/>
  <c r="H177" i="2"/>
  <c r="G177" i="2"/>
  <c r="F177" i="2"/>
  <c r="D177" i="2"/>
  <c r="B177" i="2"/>
  <c r="H176" i="2"/>
  <c r="G176" i="2"/>
  <c r="F176" i="2"/>
  <c r="D176" i="2"/>
  <c r="B176" i="2"/>
  <c r="H175" i="2"/>
  <c r="G175" i="2"/>
  <c r="F175" i="2"/>
  <c r="D175" i="2"/>
  <c r="B175" i="2"/>
  <c r="H174" i="2"/>
  <c r="G174" i="2"/>
  <c r="F174" i="2"/>
  <c r="D174" i="2"/>
  <c r="B174" i="2"/>
  <c r="H173" i="2"/>
  <c r="G173" i="2"/>
  <c r="F173" i="2"/>
  <c r="D173" i="2"/>
  <c r="B173" i="2"/>
  <c r="H172" i="2"/>
  <c r="G172" i="2"/>
  <c r="F172" i="2"/>
  <c r="D172" i="2"/>
  <c r="B172" i="2"/>
  <c r="H171" i="2"/>
  <c r="G171" i="2"/>
  <c r="F171" i="2"/>
  <c r="D171" i="2"/>
  <c r="B171" i="2"/>
  <c r="H170" i="2"/>
  <c r="G170" i="2"/>
  <c r="F170" i="2"/>
  <c r="D170" i="2"/>
  <c r="B170" i="2"/>
  <c r="H169" i="2"/>
  <c r="G169" i="2"/>
  <c r="F169" i="2"/>
  <c r="D169" i="2"/>
  <c r="B169" i="2"/>
  <c r="H168" i="2"/>
  <c r="G168" i="2"/>
  <c r="F168" i="2"/>
  <c r="D168" i="2"/>
  <c r="B168" i="2"/>
  <c r="H167" i="2"/>
  <c r="G167" i="2"/>
  <c r="F167" i="2"/>
  <c r="D167" i="2"/>
  <c r="B167" i="2"/>
  <c r="H166" i="2"/>
  <c r="G166" i="2"/>
  <c r="F166" i="2"/>
  <c r="D166" i="2"/>
  <c r="B166" i="2"/>
  <c r="H165" i="2"/>
  <c r="G165" i="2"/>
  <c r="F165" i="2"/>
  <c r="D165" i="2"/>
  <c r="B165" i="2"/>
  <c r="H164" i="2"/>
  <c r="G164" i="2"/>
  <c r="F164" i="2"/>
  <c r="D164" i="2"/>
  <c r="B164" i="2"/>
  <c r="H163" i="2"/>
  <c r="G163" i="2"/>
  <c r="F163" i="2"/>
  <c r="D163" i="2"/>
  <c r="B163" i="2"/>
  <c r="H162" i="2"/>
  <c r="G162" i="2"/>
  <c r="F162" i="2"/>
  <c r="D162" i="2"/>
  <c r="B162" i="2"/>
  <c r="H161" i="2"/>
  <c r="G161" i="2"/>
  <c r="F161" i="2"/>
  <c r="D161" i="2"/>
  <c r="B161" i="2"/>
  <c r="H160" i="2"/>
  <c r="G160" i="2"/>
  <c r="F160" i="2"/>
  <c r="D160" i="2"/>
  <c r="B160" i="2"/>
  <c r="H159" i="2"/>
  <c r="G159" i="2"/>
  <c r="F159" i="2"/>
  <c r="D159" i="2"/>
  <c r="B159" i="2"/>
  <c r="H158" i="2"/>
  <c r="G158" i="2"/>
  <c r="F158" i="2"/>
  <c r="D158" i="2"/>
  <c r="B158" i="2"/>
  <c r="H157" i="2"/>
  <c r="G157" i="2"/>
  <c r="F157" i="2"/>
  <c r="D157" i="2"/>
  <c r="B157" i="2"/>
  <c r="H156" i="2"/>
  <c r="G156" i="2"/>
  <c r="F156" i="2"/>
  <c r="D156" i="2"/>
  <c r="B156" i="2"/>
  <c r="H155" i="2"/>
  <c r="G155" i="2"/>
  <c r="F155" i="2"/>
  <c r="D155" i="2"/>
  <c r="B155" i="2"/>
  <c r="H154" i="2"/>
  <c r="G154" i="2"/>
  <c r="F154" i="2"/>
  <c r="D154" i="2"/>
  <c r="B154" i="2"/>
  <c r="H153" i="2"/>
  <c r="G153" i="2"/>
  <c r="F153" i="2"/>
  <c r="D153" i="2"/>
  <c r="B153" i="2"/>
  <c r="H152" i="2"/>
  <c r="G152" i="2"/>
  <c r="F152" i="2"/>
  <c r="D152" i="2"/>
  <c r="B152" i="2"/>
  <c r="H151" i="2"/>
  <c r="G151" i="2"/>
  <c r="F151" i="2"/>
  <c r="D151" i="2"/>
  <c r="B151" i="2"/>
  <c r="H150" i="2"/>
  <c r="G150" i="2"/>
  <c r="F150" i="2"/>
  <c r="D150" i="2"/>
  <c r="B150" i="2"/>
  <c r="H149" i="2"/>
  <c r="G149" i="2"/>
  <c r="F149" i="2"/>
  <c r="D149" i="2"/>
  <c r="B149" i="2"/>
  <c r="H148" i="2"/>
  <c r="G148" i="2"/>
  <c r="F148" i="2"/>
  <c r="D148" i="2"/>
  <c r="B148" i="2"/>
  <c r="H147" i="2"/>
  <c r="G147" i="2"/>
  <c r="F147" i="2"/>
  <c r="D147" i="2"/>
  <c r="B147" i="2"/>
  <c r="H146" i="2"/>
  <c r="G146" i="2"/>
  <c r="F146" i="2"/>
  <c r="D146" i="2"/>
  <c r="B146" i="2"/>
  <c r="H145" i="2"/>
  <c r="G145" i="2"/>
  <c r="F145" i="2"/>
  <c r="D145" i="2"/>
  <c r="B145" i="2"/>
  <c r="H144" i="2"/>
  <c r="G144" i="2"/>
  <c r="F144" i="2"/>
  <c r="D144" i="2"/>
  <c r="B144" i="2"/>
  <c r="H143" i="2"/>
  <c r="G143" i="2"/>
  <c r="F143" i="2"/>
  <c r="D143" i="2"/>
  <c r="B143" i="2"/>
  <c r="H142" i="2"/>
  <c r="G142" i="2"/>
  <c r="F142" i="2"/>
  <c r="D142" i="2"/>
  <c r="B142" i="2"/>
  <c r="H141" i="2"/>
  <c r="G141" i="2"/>
  <c r="F141" i="2"/>
  <c r="D141" i="2"/>
  <c r="B141" i="2"/>
  <c r="H140" i="2"/>
  <c r="G140" i="2"/>
  <c r="F140" i="2"/>
  <c r="D140" i="2"/>
  <c r="B140" i="2"/>
  <c r="H139" i="2"/>
  <c r="G139" i="2"/>
  <c r="F139" i="2"/>
  <c r="D139" i="2"/>
  <c r="B139" i="2"/>
  <c r="H138" i="2"/>
  <c r="G138" i="2"/>
  <c r="F138" i="2"/>
  <c r="D138" i="2"/>
  <c r="B138" i="2"/>
  <c r="H137" i="2"/>
  <c r="G137" i="2"/>
  <c r="F137" i="2"/>
  <c r="D137" i="2"/>
  <c r="B137" i="2"/>
  <c r="H136" i="2"/>
  <c r="G136" i="2"/>
  <c r="F136" i="2"/>
  <c r="D136" i="2"/>
  <c r="B136" i="2"/>
  <c r="H135" i="2"/>
  <c r="G135" i="2"/>
  <c r="F135" i="2"/>
  <c r="D135" i="2"/>
  <c r="B135" i="2"/>
  <c r="H134" i="2"/>
  <c r="G134" i="2"/>
  <c r="F134" i="2"/>
  <c r="D134" i="2"/>
  <c r="B134" i="2"/>
  <c r="H133" i="2"/>
  <c r="G133" i="2"/>
  <c r="F133" i="2"/>
  <c r="D133" i="2"/>
  <c r="B133" i="2"/>
  <c r="H132" i="2"/>
  <c r="G132" i="2"/>
  <c r="F132" i="2"/>
  <c r="D132" i="2"/>
  <c r="B132" i="2"/>
  <c r="H131" i="2"/>
  <c r="G131" i="2"/>
  <c r="F131" i="2"/>
  <c r="D131" i="2"/>
  <c r="B131" i="2"/>
  <c r="H130" i="2"/>
  <c r="G130" i="2"/>
  <c r="F130" i="2"/>
  <c r="D130" i="2"/>
  <c r="B130" i="2"/>
  <c r="H129" i="2"/>
  <c r="G129" i="2"/>
  <c r="F129" i="2"/>
  <c r="D129" i="2"/>
  <c r="B129" i="2"/>
  <c r="H128" i="2"/>
  <c r="G128" i="2"/>
  <c r="F128" i="2"/>
  <c r="D128" i="2"/>
  <c r="B128" i="2"/>
  <c r="H127" i="2"/>
  <c r="G127" i="2"/>
  <c r="F127" i="2"/>
  <c r="D127" i="2"/>
  <c r="B127" i="2"/>
  <c r="H126" i="2"/>
  <c r="G126" i="2"/>
  <c r="F126" i="2"/>
  <c r="D126" i="2"/>
  <c r="B126" i="2"/>
  <c r="H125" i="2"/>
  <c r="G125" i="2"/>
  <c r="F125" i="2"/>
  <c r="D125" i="2"/>
  <c r="B125" i="2"/>
  <c r="H124" i="2"/>
  <c r="G124" i="2"/>
  <c r="F124" i="2"/>
  <c r="D124" i="2"/>
  <c r="B124" i="2"/>
  <c r="H123" i="2"/>
  <c r="G123" i="2"/>
  <c r="F123" i="2"/>
  <c r="D123" i="2"/>
  <c r="B123" i="2"/>
  <c r="H122" i="2"/>
  <c r="G122" i="2"/>
  <c r="F122" i="2"/>
  <c r="D122" i="2"/>
  <c r="B122" i="2"/>
  <c r="H121" i="2"/>
  <c r="G121" i="2"/>
  <c r="F121" i="2"/>
  <c r="D121" i="2"/>
  <c r="B121" i="2"/>
  <c r="H120" i="2"/>
  <c r="G120" i="2"/>
  <c r="F120" i="2"/>
  <c r="D120" i="2"/>
  <c r="B120" i="2"/>
  <c r="H119" i="2"/>
  <c r="G119" i="2"/>
  <c r="F119" i="2"/>
  <c r="D119" i="2"/>
  <c r="B119" i="2"/>
  <c r="H118" i="2"/>
  <c r="G118" i="2"/>
  <c r="F118" i="2"/>
  <c r="D118" i="2"/>
  <c r="B118" i="2"/>
  <c r="H117" i="2"/>
  <c r="G117" i="2"/>
  <c r="F117" i="2"/>
  <c r="D117" i="2"/>
  <c r="B117" i="2"/>
  <c r="H116" i="2"/>
  <c r="G116" i="2"/>
  <c r="F116" i="2"/>
  <c r="D116" i="2"/>
  <c r="B116" i="2"/>
  <c r="H115" i="2"/>
  <c r="G115" i="2"/>
  <c r="F115" i="2"/>
  <c r="D115" i="2"/>
  <c r="B115" i="2"/>
  <c r="H114" i="2"/>
  <c r="G114" i="2"/>
  <c r="F114" i="2"/>
  <c r="D114" i="2"/>
  <c r="B114" i="2"/>
  <c r="H113" i="2"/>
  <c r="G113" i="2"/>
  <c r="F113" i="2"/>
  <c r="D113" i="2"/>
  <c r="B113" i="2"/>
  <c r="H112" i="2"/>
  <c r="G112" i="2"/>
  <c r="F112" i="2"/>
  <c r="D112" i="2"/>
  <c r="B112" i="2"/>
  <c r="H111" i="2"/>
  <c r="G111" i="2"/>
  <c r="F111" i="2"/>
  <c r="D111" i="2"/>
  <c r="B111" i="2"/>
  <c r="H110" i="2"/>
  <c r="G110" i="2"/>
  <c r="F110" i="2"/>
  <c r="D110" i="2"/>
  <c r="B110" i="2"/>
  <c r="H109" i="2"/>
  <c r="G109" i="2"/>
  <c r="F109" i="2"/>
  <c r="D109" i="2"/>
  <c r="B109" i="2"/>
  <c r="H108" i="2"/>
  <c r="G108" i="2"/>
  <c r="F108" i="2"/>
  <c r="D108" i="2"/>
  <c r="B108" i="2"/>
  <c r="H107" i="2"/>
  <c r="G107" i="2"/>
  <c r="F107" i="2"/>
  <c r="D107" i="2"/>
  <c r="B107" i="2"/>
  <c r="H106" i="2"/>
  <c r="G106" i="2"/>
  <c r="F106" i="2"/>
  <c r="D106" i="2"/>
  <c r="B106" i="2"/>
  <c r="H105" i="2"/>
  <c r="G105" i="2"/>
  <c r="F105" i="2"/>
  <c r="D105" i="2"/>
  <c r="B105" i="2"/>
  <c r="H104" i="2"/>
  <c r="G104" i="2"/>
  <c r="F104" i="2"/>
  <c r="D104" i="2"/>
  <c r="B104" i="2"/>
  <c r="H103" i="2"/>
  <c r="G103" i="2"/>
  <c r="F103" i="2"/>
  <c r="D103" i="2"/>
  <c r="B103" i="2"/>
  <c r="H102" i="2"/>
  <c r="G102" i="2"/>
  <c r="F102" i="2"/>
  <c r="D102" i="2"/>
  <c r="B102" i="2"/>
  <c r="H101" i="2"/>
  <c r="G101" i="2"/>
  <c r="F101" i="2"/>
  <c r="D101" i="2"/>
  <c r="B101" i="2"/>
  <c r="H100" i="2"/>
  <c r="G100" i="2"/>
  <c r="F100" i="2"/>
  <c r="D100" i="2"/>
  <c r="B100" i="2"/>
  <c r="H99" i="2"/>
  <c r="G99" i="2"/>
  <c r="F99" i="2"/>
  <c r="D99" i="2"/>
  <c r="B99" i="2"/>
  <c r="H98" i="2"/>
  <c r="G98" i="2"/>
  <c r="F98" i="2"/>
  <c r="D98" i="2"/>
  <c r="B98" i="2"/>
  <c r="H97" i="2"/>
  <c r="G97" i="2"/>
  <c r="F97" i="2"/>
  <c r="D97" i="2"/>
  <c r="B97" i="2"/>
  <c r="H96" i="2"/>
  <c r="G96" i="2"/>
  <c r="F96" i="2"/>
  <c r="D96" i="2"/>
  <c r="B96" i="2"/>
  <c r="H95" i="2"/>
  <c r="G95" i="2"/>
  <c r="F95" i="2"/>
  <c r="D95" i="2"/>
  <c r="B95" i="2"/>
  <c r="H94" i="2"/>
  <c r="G94" i="2"/>
  <c r="F94" i="2"/>
  <c r="D94" i="2"/>
  <c r="B94" i="2"/>
  <c r="H93" i="2"/>
  <c r="G93" i="2"/>
  <c r="F93" i="2"/>
  <c r="D93" i="2"/>
  <c r="B93" i="2"/>
  <c r="H92" i="2"/>
  <c r="G92" i="2"/>
  <c r="F92" i="2"/>
  <c r="D92" i="2"/>
  <c r="B92" i="2"/>
  <c r="H91" i="2"/>
  <c r="G91" i="2"/>
  <c r="F91" i="2"/>
  <c r="D91" i="2"/>
  <c r="B91" i="2"/>
  <c r="H90" i="2"/>
  <c r="G90" i="2"/>
  <c r="F90" i="2"/>
  <c r="D90" i="2"/>
  <c r="B90" i="2"/>
  <c r="H89" i="2"/>
  <c r="G89" i="2"/>
  <c r="F89" i="2"/>
  <c r="D89" i="2"/>
  <c r="B89" i="2"/>
  <c r="H88" i="2"/>
  <c r="G88" i="2"/>
  <c r="F88" i="2"/>
  <c r="D88" i="2"/>
  <c r="B88" i="2"/>
  <c r="H87" i="2"/>
  <c r="G87" i="2"/>
  <c r="F87" i="2"/>
  <c r="D87" i="2"/>
  <c r="B87" i="2"/>
  <c r="H86" i="2"/>
  <c r="G86" i="2"/>
  <c r="F86" i="2"/>
  <c r="D86" i="2"/>
  <c r="B86" i="2"/>
  <c r="H85" i="2"/>
  <c r="G85" i="2"/>
  <c r="F85" i="2"/>
  <c r="D85" i="2"/>
  <c r="B85" i="2"/>
  <c r="H84" i="2"/>
  <c r="G84" i="2"/>
  <c r="F84" i="2"/>
  <c r="D84" i="2"/>
  <c r="B84" i="2"/>
  <c r="H83" i="2"/>
  <c r="G83" i="2"/>
  <c r="F83" i="2"/>
  <c r="D83" i="2"/>
  <c r="B83" i="2"/>
  <c r="H82" i="2"/>
  <c r="G82" i="2"/>
  <c r="F82" i="2"/>
  <c r="D82" i="2"/>
  <c r="B82" i="2"/>
  <c r="H81" i="2"/>
  <c r="G81" i="2"/>
  <c r="F81" i="2"/>
  <c r="D81" i="2"/>
  <c r="B81" i="2"/>
  <c r="H80" i="2"/>
  <c r="G80" i="2"/>
  <c r="F80" i="2"/>
  <c r="D80" i="2"/>
  <c r="B80" i="2"/>
  <c r="H79" i="2"/>
  <c r="G79" i="2"/>
  <c r="F79" i="2"/>
  <c r="D79" i="2"/>
  <c r="B79" i="2"/>
  <c r="H78" i="2"/>
  <c r="G78" i="2"/>
  <c r="F78" i="2"/>
  <c r="D78" i="2"/>
  <c r="B78" i="2"/>
  <c r="H77" i="2"/>
  <c r="G77" i="2"/>
  <c r="F77" i="2"/>
  <c r="D77" i="2"/>
  <c r="B77" i="2"/>
  <c r="H76" i="2"/>
  <c r="G76" i="2"/>
  <c r="F76" i="2"/>
  <c r="D76" i="2"/>
  <c r="B76" i="2"/>
  <c r="H75" i="2"/>
  <c r="G75" i="2"/>
  <c r="F75" i="2"/>
  <c r="D75" i="2"/>
  <c r="B75" i="2"/>
  <c r="H74" i="2"/>
  <c r="G74" i="2"/>
  <c r="F74" i="2"/>
  <c r="D74" i="2"/>
  <c r="B74" i="2"/>
  <c r="H73" i="2"/>
  <c r="G73" i="2"/>
  <c r="F73" i="2"/>
  <c r="D73" i="2"/>
  <c r="B73" i="2"/>
  <c r="H72" i="2"/>
  <c r="G72" i="2"/>
  <c r="F72" i="2"/>
  <c r="D72" i="2"/>
  <c r="B72" i="2"/>
  <c r="H71" i="2"/>
  <c r="G71" i="2"/>
  <c r="F71" i="2"/>
  <c r="D71" i="2"/>
  <c r="B71" i="2"/>
  <c r="H70" i="2"/>
  <c r="G70" i="2"/>
  <c r="F70" i="2"/>
  <c r="D70" i="2"/>
  <c r="B70" i="2"/>
  <c r="H69" i="2"/>
  <c r="G69" i="2"/>
  <c r="F69" i="2"/>
  <c r="D69" i="2"/>
  <c r="B69" i="2"/>
  <c r="H68" i="2"/>
  <c r="G68" i="2"/>
  <c r="F68" i="2"/>
  <c r="D68" i="2"/>
  <c r="B68" i="2"/>
  <c r="H67" i="2"/>
  <c r="G67" i="2"/>
  <c r="F67" i="2"/>
  <c r="D67" i="2"/>
  <c r="B67" i="2"/>
  <c r="H66" i="2"/>
  <c r="G66" i="2"/>
  <c r="F66" i="2"/>
  <c r="D66" i="2"/>
  <c r="B66" i="2"/>
  <c r="H65" i="2"/>
  <c r="G65" i="2"/>
  <c r="F65" i="2"/>
  <c r="D65" i="2"/>
  <c r="B65" i="2"/>
  <c r="H64" i="2"/>
  <c r="G64" i="2"/>
  <c r="F64" i="2"/>
  <c r="D64" i="2"/>
  <c r="B64" i="2"/>
  <c r="H63" i="2"/>
  <c r="G63" i="2"/>
  <c r="F63" i="2"/>
  <c r="D63" i="2"/>
  <c r="B63" i="2"/>
  <c r="H62" i="2"/>
  <c r="G62" i="2"/>
  <c r="F62" i="2"/>
  <c r="D62" i="2"/>
  <c r="B62" i="2"/>
  <c r="H61" i="2"/>
  <c r="G61" i="2"/>
  <c r="F61" i="2"/>
  <c r="D61" i="2"/>
  <c r="B61" i="2"/>
  <c r="H60" i="2"/>
  <c r="G60" i="2"/>
  <c r="F60" i="2"/>
  <c r="D60" i="2"/>
  <c r="B60" i="2"/>
  <c r="H59" i="2"/>
  <c r="G59" i="2"/>
  <c r="F59" i="2"/>
  <c r="D59" i="2"/>
  <c r="B59" i="2"/>
  <c r="H58" i="2"/>
  <c r="G58" i="2"/>
  <c r="F58" i="2"/>
  <c r="D58" i="2"/>
  <c r="B58" i="2"/>
  <c r="H57" i="2"/>
  <c r="G57" i="2"/>
  <c r="F57" i="2"/>
  <c r="D57" i="2"/>
  <c r="B57" i="2"/>
  <c r="H56" i="2"/>
  <c r="G56" i="2"/>
  <c r="F56" i="2"/>
  <c r="D56" i="2"/>
  <c r="B56" i="2"/>
  <c r="H55" i="2"/>
  <c r="G55" i="2"/>
  <c r="F55" i="2"/>
  <c r="D55" i="2"/>
  <c r="B55" i="2"/>
  <c r="H54" i="2"/>
  <c r="G54" i="2"/>
  <c r="F54" i="2"/>
  <c r="D54" i="2"/>
  <c r="B54" i="2"/>
  <c r="H53" i="2"/>
  <c r="G53" i="2"/>
  <c r="F53" i="2"/>
  <c r="D53" i="2"/>
  <c r="B53" i="2"/>
  <c r="H52" i="2"/>
  <c r="G52" i="2"/>
  <c r="F52" i="2"/>
  <c r="D52" i="2"/>
  <c r="B52" i="2"/>
  <c r="H51" i="2"/>
  <c r="G51" i="2"/>
  <c r="F51" i="2"/>
  <c r="D51" i="2"/>
  <c r="B51" i="2"/>
  <c r="H50" i="2"/>
  <c r="G50" i="2"/>
  <c r="F50" i="2"/>
  <c r="D50" i="2"/>
  <c r="B50" i="2"/>
  <c r="H49" i="2"/>
  <c r="G49" i="2"/>
  <c r="F49" i="2"/>
  <c r="D49" i="2"/>
  <c r="B49" i="2"/>
  <c r="H48" i="2"/>
  <c r="G48" i="2"/>
  <c r="F48" i="2"/>
  <c r="D48" i="2"/>
  <c r="B48" i="2"/>
  <c r="H47" i="2"/>
  <c r="G47" i="2"/>
  <c r="F47" i="2"/>
  <c r="D47" i="2"/>
  <c r="B47" i="2"/>
  <c r="H46" i="2"/>
  <c r="G46" i="2"/>
  <c r="F46" i="2"/>
  <c r="D46" i="2"/>
  <c r="B46" i="2"/>
  <c r="H45" i="2"/>
  <c r="G45" i="2"/>
  <c r="F45" i="2"/>
  <c r="D45" i="2"/>
  <c r="B45" i="2"/>
  <c r="H44" i="2"/>
  <c r="G44" i="2"/>
  <c r="F44" i="2"/>
  <c r="D44" i="2"/>
  <c r="B44" i="2"/>
  <c r="H43" i="2"/>
  <c r="G43" i="2"/>
  <c r="F43" i="2"/>
  <c r="D43" i="2"/>
  <c r="B43" i="2"/>
  <c r="H42" i="2"/>
  <c r="G42" i="2"/>
  <c r="F42" i="2"/>
  <c r="D42" i="2"/>
  <c r="B42" i="2"/>
  <c r="H41" i="2"/>
  <c r="G41" i="2"/>
  <c r="F41" i="2"/>
  <c r="D41" i="2"/>
  <c r="B41" i="2"/>
  <c r="H40" i="2"/>
  <c r="G40" i="2"/>
  <c r="F40" i="2"/>
  <c r="D40" i="2"/>
  <c r="B40" i="2"/>
  <c r="H39" i="2"/>
  <c r="G39" i="2"/>
  <c r="F39" i="2"/>
  <c r="D39" i="2"/>
  <c r="B39" i="2"/>
  <c r="H38" i="2"/>
  <c r="G38" i="2"/>
  <c r="F38" i="2"/>
  <c r="D38" i="2"/>
  <c r="B38" i="2"/>
  <c r="H37" i="2"/>
  <c r="G37" i="2"/>
  <c r="F37" i="2"/>
  <c r="D37" i="2"/>
  <c r="B37" i="2"/>
  <c r="H36" i="2"/>
  <c r="G36" i="2"/>
  <c r="F36" i="2"/>
  <c r="D36" i="2"/>
  <c r="B36" i="2"/>
  <c r="H35" i="2"/>
  <c r="G35" i="2"/>
  <c r="F35" i="2"/>
  <c r="D35" i="2"/>
  <c r="B35" i="2"/>
  <c r="H34" i="2"/>
  <c r="G34" i="2"/>
  <c r="F34" i="2"/>
  <c r="D34" i="2"/>
  <c r="B34" i="2"/>
  <c r="H33" i="2"/>
  <c r="G33" i="2"/>
  <c r="F33" i="2"/>
  <c r="D33" i="2"/>
  <c r="B33" i="2"/>
  <c r="H32" i="2"/>
  <c r="G32" i="2"/>
  <c r="F32" i="2"/>
  <c r="D32" i="2"/>
  <c r="B32" i="2"/>
  <c r="H31" i="2"/>
  <c r="G31" i="2"/>
  <c r="F31" i="2"/>
  <c r="D31" i="2"/>
  <c r="B31" i="2"/>
  <c r="H30" i="2"/>
  <c r="G30" i="2"/>
  <c r="F30" i="2"/>
  <c r="D30" i="2"/>
  <c r="B30" i="2"/>
  <c r="H29" i="2"/>
  <c r="G29" i="2"/>
  <c r="F29" i="2"/>
  <c r="D29" i="2"/>
  <c r="B29" i="2"/>
  <c r="H28" i="2"/>
  <c r="G28" i="2"/>
  <c r="F28" i="2"/>
  <c r="D28" i="2"/>
  <c r="B28" i="2"/>
  <c r="H27" i="2"/>
  <c r="G27" i="2"/>
  <c r="F27" i="2"/>
  <c r="D27" i="2"/>
  <c r="B27" i="2"/>
  <c r="H26" i="2"/>
  <c r="G26" i="2"/>
  <c r="F26" i="2"/>
  <c r="D26" i="2"/>
  <c r="B26" i="2"/>
  <c r="H25" i="2"/>
  <c r="G25" i="2"/>
  <c r="F25" i="2"/>
  <c r="D25" i="2"/>
  <c r="B25" i="2"/>
  <c r="H24" i="2"/>
  <c r="G24" i="2"/>
  <c r="F24" i="2"/>
  <c r="D24" i="2"/>
  <c r="B24" i="2"/>
  <c r="H23" i="2"/>
  <c r="G23" i="2"/>
  <c r="F23" i="2"/>
  <c r="D23" i="2"/>
  <c r="B23" i="2"/>
  <c r="H22" i="2"/>
  <c r="G22" i="2"/>
  <c r="F22" i="2"/>
  <c r="D22" i="2"/>
  <c r="B22" i="2"/>
  <c r="H21" i="2"/>
  <c r="G21" i="2"/>
  <c r="F21" i="2"/>
  <c r="D21" i="2"/>
  <c r="B21" i="2"/>
  <c r="H20" i="2"/>
  <c r="G20" i="2"/>
  <c r="F20" i="2"/>
  <c r="D20" i="2"/>
  <c r="B20" i="2"/>
  <c r="H19" i="2"/>
  <c r="G19" i="2"/>
  <c r="F19" i="2"/>
  <c r="D19" i="2"/>
  <c r="B19" i="2"/>
  <c r="H18" i="2"/>
  <c r="G18" i="2"/>
  <c r="F18" i="2"/>
  <c r="D18" i="2"/>
  <c r="B18" i="2"/>
  <c r="H17" i="2"/>
  <c r="G17" i="2"/>
  <c r="F17" i="2"/>
  <c r="D17" i="2"/>
  <c r="B17" i="2"/>
  <c r="H16" i="2"/>
  <c r="G16" i="2"/>
  <c r="F16" i="2"/>
  <c r="D16" i="2"/>
  <c r="B16" i="2"/>
  <c r="H15" i="2"/>
  <c r="G15" i="2"/>
  <c r="F15" i="2"/>
  <c r="D15" i="2"/>
  <c r="B15" i="2"/>
  <c r="H14" i="2"/>
  <c r="G14" i="2"/>
  <c r="F14" i="2"/>
  <c r="D14" i="2"/>
  <c r="B14" i="2"/>
  <c r="H13" i="2"/>
  <c r="G13" i="2"/>
  <c r="F13" i="2"/>
  <c r="D13" i="2"/>
  <c r="B13" i="2"/>
  <c r="H12" i="2"/>
  <c r="G12" i="2"/>
  <c r="F12" i="2"/>
  <c r="D12" i="2"/>
  <c r="B12" i="2"/>
  <c r="H11" i="2"/>
  <c r="G11" i="2"/>
  <c r="F11" i="2"/>
  <c r="D11" i="2"/>
  <c r="B11" i="2"/>
  <c r="H10" i="2"/>
  <c r="G10" i="2"/>
  <c r="F10" i="2"/>
  <c r="D10" i="2"/>
  <c r="B10" i="2"/>
  <c r="H9" i="2"/>
  <c r="G9" i="2"/>
  <c r="F9" i="2"/>
  <c r="D9" i="2"/>
  <c r="B9" i="2"/>
  <c r="H8" i="2"/>
  <c r="G8" i="2"/>
  <c r="F8" i="2"/>
  <c r="D8" i="2"/>
  <c r="B8" i="2"/>
  <c r="H7" i="2"/>
  <c r="G7" i="2"/>
  <c r="F7" i="2"/>
  <c r="D7" i="2"/>
  <c r="B7" i="2"/>
  <c r="D6" i="2"/>
  <c r="B6" i="2"/>
  <c r="D5" i="2"/>
  <c r="B5" i="2"/>
  <c r="D4" i="2"/>
</calcChain>
</file>

<file path=xl/sharedStrings.xml><?xml version="1.0" encoding="utf-8"?>
<sst xmlns="http://schemas.openxmlformats.org/spreadsheetml/2006/main" count="2257" uniqueCount="90">
  <si>
    <t>Auto+Hide</t>
  </si>
  <si>
    <t>F#</t>
  </si>
  <si>
    <t>Container/Film #</t>
  </si>
  <si>
    <t>Label/Pouch Sleeve #</t>
  </si>
  <si>
    <t>Closure #</t>
  </si>
  <si>
    <t>Case #</t>
  </si>
  <si>
    <t>Other packaging</t>
  </si>
  <si>
    <t>FS0025</t>
  </si>
  <si>
    <t>P0016</t>
  </si>
  <si>
    <t>FS0022</t>
  </si>
  <si>
    <t>FV0020</t>
  </si>
  <si>
    <t>P0019</t>
  </si>
  <si>
    <t>FS0151</t>
  </si>
  <si>
    <t>P0018</t>
  </si>
  <si>
    <t>FSP0026</t>
  </si>
  <si>
    <t>FS0101</t>
  </si>
  <si>
    <t>NA</t>
  </si>
  <si>
    <t>FS0079</t>
  </si>
  <si>
    <t>FJ0083</t>
  </si>
  <si>
    <t>Attention !!!!! MINI MACRO Probleme carton</t>
  </si>
  <si>
    <t>Auto+Hide+Values+Formulas=Sheet23,Sheet19,Sheet20</t>
  </si>
  <si>
    <t>hide</t>
  </si>
  <si>
    <t>fit</t>
  </si>
  <si>
    <t>Production BOM No</t>
  </si>
  <si>
    <t>Line No</t>
  </si>
  <si>
    <t>Component</t>
  </si>
  <si>
    <t>Description</t>
  </si>
  <si>
    <t>UOM</t>
  </si>
  <si>
    <t>Quantity</t>
  </si>
  <si>
    <t>Qty Per</t>
  </si>
  <si>
    <t>"Manzana NAV","MANZANA","99000772","44"," ","22","False","43","0.00000000000000000000","12","","50220","False","29","","50210","False","18","","11","","2","20000","1","FV0995","14","0.00000000000000000000","45","0.00000000000000000000","19","","20","0.00000000000000000000","50000","0.00000000000000000000","50230","False","28","","10"," ","13","","21","","3","","42","0.00000000000000000000","50200","False","41","0.00000000000000000000"</t>
  </si>
  <si>
    <t>Auto</t>
  </si>
  <si>
    <t>Container</t>
  </si>
  <si>
    <t>Label placement</t>
  </si>
  <si>
    <t>Closure/Lid</t>
  </si>
  <si>
    <t>Number</t>
  </si>
  <si>
    <t>Shelf Life at Production</t>
  </si>
  <si>
    <t>Shelf Life at Shipment</t>
  </si>
  <si>
    <t>Comment</t>
  </si>
  <si>
    <t>P0008</t>
  </si>
  <si>
    <t>10oz empty glass juice bottle</t>
  </si>
  <si>
    <t>20mm</t>
  </si>
  <si>
    <t>38mm</t>
  </si>
  <si>
    <t>36 months</t>
  </si>
  <si>
    <t>24 months</t>
  </si>
  <si>
    <t>P0009</t>
  </si>
  <si>
    <t>32oz empty glass juice bottle-diamnd nck</t>
  </si>
  <si>
    <t>30mm</t>
  </si>
  <si>
    <t>48mm</t>
  </si>
  <si>
    <t>P0010</t>
  </si>
  <si>
    <t>64oz empty glass bottle - diamond neck</t>
  </si>
  <si>
    <t>P0011</t>
  </si>
  <si>
    <t>64oz empty glass bottle - pistol grip</t>
  </si>
  <si>
    <t>P0003</t>
  </si>
  <si>
    <t>P0012</t>
  </si>
  <si>
    <t>48oz empty glass bottle</t>
  </si>
  <si>
    <t>28mm</t>
  </si>
  <si>
    <t>P0013</t>
  </si>
  <si>
    <t>128oz empty glass bottle - PG</t>
  </si>
  <si>
    <t>58mm</t>
  </si>
  <si>
    <t>corrected by line lead</t>
  </si>
  <si>
    <t>P0014</t>
  </si>
  <si>
    <t>128oz empty PET vinegar bottle</t>
  </si>
  <si>
    <t>53mm</t>
  </si>
  <si>
    <t>P0024</t>
  </si>
  <si>
    <t>P0015</t>
  </si>
  <si>
    <t>64oz empty PET bottle for Juice or Vinegar</t>
  </si>
  <si>
    <t>18mm</t>
  </si>
  <si>
    <t>43mm</t>
  </si>
  <si>
    <t>14 months</t>
  </si>
  <si>
    <t>8 months</t>
  </si>
  <si>
    <t>24-25oz empty AS glass jar</t>
  </si>
  <si>
    <t>25mm</t>
  </si>
  <si>
    <t>70mm</t>
  </si>
  <si>
    <t>12 months</t>
  </si>
  <si>
    <t>P0017</t>
  </si>
  <si>
    <t>32-33oz empty AS glass jar</t>
  </si>
  <si>
    <t>82mm</t>
  </si>
  <si>
    <t>4oz empty plastic cups for AS</t>
  </si>
  <si>
    <t>10 months</t>
  </si>
  <si>
    <t>12/16oz empty vinegar glass bottle -12 PACK</t>
  </si>
  <si>
    <t>P0020</t>
  </si>
  <si>
    <t>32oz empty vinegar glass bottle</t>
  </si>
  <si>
    <t>P0028</t>
  </si>
  <si>
    <t>32oz empty AMBER vinegar glass bottle</t>
  </si>
  <si>
    <t>P0029</t>
  </si>
  <si>
    <t>24/16oz empty vinegar glass bottle - 24 PACK</t>
  </si>
  <si>
    <t>…</t>
  </si>
  <si>
    <t>I#</t>
  </si>
  <si>
    <t>Note : Le classeur "BOM" est suceptible de beaucoup s'agrandir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</si>
</sst>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Alignment="1">
      <alignment vertical="top" wrapText="1"/>
    </xf>
    <xf numFmtId="0" fontId="0" fillId="0" borderId="0" xfId="0" applyFill="1" applyAlignment="1">
      <alignment vertical="top" wrapText="1"/>
    </xf>
    <xf numFmtId="0" fontId="0" fillId="0" borderId="0" xfId="0" quotePrefix="1" applyAlignment="1">
      <alignment vertical="top" wrapText="1"/>
    </xf>
    <xf numFmtId="0" fontId="0" fillId="3" borderId="0" xfId="0" applyFill="1" applyBorder="1"/>
    <xf numFmtId="0" fontId="0" fillId="0" borderId="0" xfId="0" applyFill="1" applyBorder="1"/>
    <xf numFmtId="0" fontId="3" fillId="2" borderId="0" xfId="0" applyFont="1" applyFill="1" applyBorder="1"/>
    <xf numFmtId="0" fontId="3" fillId="0" borderId="0" xfId="0" applyFont="1" applyFill="1" applyBorder="1"/>
    <xf numFmtId="0" fontId="0" fillId="0" borderId="0" xfId="0" applyFont="1" applyFill="1" applyBorder="1"/>
    <xf numFmtId="0" fontId="2" fillId="0" borderId="0" xfId="0" applyFon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0" xfId="0" applyFont="1" applyAlignment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left"/>
    </xf>
    <xf numFmtId="0" fontId="0" fillId="4" borderId="5" xfId="0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2" fontId="0" fillId="4" borderId="6" xfId="0" applyNumberFormat="1" applyFill="1" applyBorder="1" applyAlignment="1">
      <alignment horizontal="center"/>
    </xf>
    <xf numFmtId="0" fontId="1" fillId="0" borderId="0" xfId="0" applyFont="1"/>
    <xf numFmtId="0" fontId="0" fillId="0" borderId="0" xfId="0" quotePrefix="1" applyFill="1" applyAlignment="1">
      <alignment vertical="top" wrapText="1"/>
    </xf>
    <xf numFmtId="0" fontId="0" fillId="0" borderId="0" xfId="0" applyFont="1" applyFill="1"/>
    <xf numFmtId="0" fontId="5" fillId="0" borderId="0" xfId="0" applyFont="1" applyFill="1"/>
    <xf numFmtId="0" fontId="1" fillId="0" borderId="0" xfId="0" applyFont="1" applyAlignment="1">
      <alignment vertical="top"/>
    </xf>
  </cellXfs>
  <cellStyles count="1">
    <cellStyle name="Normal" xfId="0" builtinId="0"/>
  </cellStyles>
  <dxfs count="15">
    <dxf>
      <alignment horizontal="general" vertical="top" textRotation="0" wrapText="1" indent="0" justifyLastLine="0" shrinkToFit="0" readingOrder="0"/>
    </dxf>
    <dxf>
      <font>
        <b/>
        <i val="0"/>
        <color theme="0"/>
      </font>
      <fill>
        <patternFill patternType="solid">
          <fgColor auto="1"/>
          <bgColor rgb="FFFF0000"/>
        </patternFill>
      </fill>
    </dxf>
    <dxf>
      <font>
        <b/>
        <i val="0"/>
        <color theme="0"/>
      </font>
      <fill>
        <patternFill patternType="solid">
          <fgColor auto="1"/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428624</xdr:colOff>
      <xdr:row>3</xdr:row>
      <xdr:rowOff>47624</xdr:rowOff>
    </xdr:from>
    <xdr:to>
      <xdr:col>20</xdr:col>
      <xdr:colOff>361950</xdr:colOff>
      <xdr:row>4</xdr:row>
      <xdr:rowOff>485775</xdr:rowOff>
    </xdr:to>
    <xdr:sp macro="" textlink="">
      <xdr:nvSpPr>
        <xdr:cNvPr id="5" name="TextBox 4"/>
        <xdr:cNvSpPr txBox="1"/>
      </xdr:nvSpPr>
      <xdr:spPr>
        <a:xfrm>
          <a:off x="6286499" y="428624"/>
          <a:ext cx="7248526" cy="62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2.1-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ici, j'aimerai mettre le "Component" </a:t>
          </a:r>
          <a:r>
            <a:rPr lang="en-US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commencant par "P" 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avec le "Production BOM no"=C5 ("ISJ013", trouve avec le 1ter) </a:t>
          </a:r>
          <a:r>
            <a:rPr lang="en-US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aussi present dans la colonne B de la feuille "Container_Specification" </a:t>
          </a:r>
          <a:r>
            <a:rPr lang="en-US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OU commencant par "PF"</a:t>
          </a:r>
          <a:endParaRPr lang="en-US">
            <a:solidFill>
              <a:srgbClr val="FF0000"/>
            </a:solidFill>
            <a:effectLst/>
          </a:endParaRPr>
        </a:p>
        <a:p>
          <a:r>
            <a:rPr lang="en-US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reponse attendue est P0016</a:t>
          </a:r>
          <a:endParaRPr lang="en-US" sz="1100"/>
        </a:p>
      </xdr:txBody>
    </xdr:sp>
    <xdr:clientData/>
  </xdr:twoCellAnchor>
  <xdr:twoCellAnchor>
    <xdr:from>
      <xdr:col>3</xdr:col>
      <xdr:colOff>762001</xdr:colOff>
      <xdr:row>4</xdr:row>
      <xdr:rowOff>171450</xdr:rowOff>
    </xdr:from>
    <xdr:to>
      <xdr:col>8</xdr:col>
      <xdr:colOff>428624</xdr:colOff>
      <xdr:row>4</xdr:row>
      <xdr:rowOff>171453</xdr:rowOff>
    </xdr:to>
    <xdr:cxnSp macro="">
      <xdr:nvCxnSpPr>
        <xdr:cNvPr id="7" name="Straight Arrow Connector 6"/>
        <xdr:cNvCxnSpPr>
          <a:stCxn id="5" idx="1"/>
        </xdr:cNvCxnSpPr>
      </xdr:nvCxnSpPr>
      <xdr:spPr>
        <a:xfrm flipH="1">
          <a:off x="1847851" y="742950"/>
          <a:ext cx="4438648" cy="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762000</xdr:colOff>
      <xdr:row>6</xdr:row>
      <xdr:rowOff>342900</xdr:rowOff>
    </xdr:from>
    <xdr:to>
      <xdr:col>5</xdr:col>
      <xdr:colOff>285750</xdr:colOff>
      <xdr:row>7</xdr:row>
      <xdr:rowOff>628650</xdr:rowOff>
    </xdr:to>
    <xdr:sp macro="" textlink="">
      <xdr:nvSpPr>
        <xdr:cNvPr id="8" name="TextBox 7"/>
        <xdr:cNvSpPr txBox="1"/>
      </xdr:nvSpPr>
      <xdr:spPr>
        <a:xfrm>
          <a:off x="1304925" y="2819400"/>
          <a:ext cx="17907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1-</a:t>
          </a:r>
          <a:r>
            <a:rPr lang="en-US" sz="1100" baseline="0"/>
            <a:t> ici, j'aimerai mettre le "Component" </a:t>
          </a:r>
          <a:r>
            <a:rPr lang="en-US" sz="1100" baseline="0">
              <a:solidFill>
                <a:srgbClr val="FF0000"/>
              </a:solidFill>
            </a:rPr>
            <a:t>commencant par "L"</a:t>
          </a:r>
          <a:r>
            <a:rPr lang="en-US" sz="1100" baseline="0"/>
            <a:t> avec le "Production BOM no"=B5 ("FS0025")</a:t>
          </a:r>
        </a:p>
        <a:p>
          <a:r>
            <a:rPr lang="en-US" sz="1100" i="1" baseline="0"/>
            <a:t>La reponse attendue est LS0025</a:t>
          </a:r>
          <a:endParaRPr lang="en-US" sz="1100" i="1"/>
        </a:p>
      </xdr:txBody>
    </xdr:sp>
    <xdr:clientData/>
  </xdr:twoCellAnchor>
  <xdr:twoCellAnchor>
    <xdr:from>
      <xdr:col>5</xdr:col>
      <xdr:colOff>561975</xdr:colOff>
      <xdr:row>6</xdr:row>
      <xdr:rowOff>333375</xdr:rowOff>
    </xdr:from>
    <xdr:to>
      <xdr:col>7</xdr:col>
      <xdr:colOff>1019175</xdr:colOff>
      <xdr:row>7</xdr:row>
      <xdr:rowOff>695325</xdr:rowOff>
    </xdr:to>
    <xdr:sp macro="" textlink="">
      <xdr:nvSpPr>
        <xdr:cNvPr id="11" name="TextBox 10"/>
        <xdr:cNvSpPr txBox="1"/>
      </xdr:nvSpPr>
      <xdr:spPr>
        <a:xfrm>
          <a:off x="3914775" y="2809875"/>
          <a:ext cx="17907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1-bis-</a:t>
          </a:r>
          <a:r>
            <a:rPr lang="en-US" sz="1100" baseline="0"/>
            <a:t> ici, j'aimerai mettre le "Component" </a:t>
          </a:r>
          <a:r>
            <a:rPr lang="en-US" sz="1100" baseline="0">
              <a:solidFill>
                <a:srgbClr val="FF0000"/>
              </a:solidFill>
            </a:rPr>
            <a:t>commencant par "CASE"</a:t>
          </a:r>
          <a:r>
            <a:rPr lang="en-US" sz="1100" baseline="0"/>
            <a:t> avec le "Production BOM no"=B5 ("FS0025")</a:t>
          </a:r>
        </a:p>
        <a:p>
          <a:r>
            <a:rPr lang="en-US" sz="1100" i="1" baseline="0"/>
            <a:t>La reponse attendue est CASE016</a:t>
          </a:r>
          <a:endParaRPr lang="en-US" sz="1100" i="1"/>
        </a:p>
      </xdr:txBody>
    </xdr:sp>
    <xdr:clientData/>
  </xdr:twoCellAnchor>
  <xdr:twoCellAnchor>
    <xdr:from>
      <xdr:col>4</xdr:col>
      <xdr:colOff>571500</xdr:colOff>
      <xdr:row>7</xdr:row>
      <xdr:rowOff>828675</xdr:rowOff>
    </xdr:from>
    <xdr:to>
      <xdr:col>6</xdr:col>
      <xdr:colOff>552450</xdr:colOff>
      <xdr:row>13</xdr:row>
      <xdr:rowOff>161925</xdr:rowOff>
    </xdr:to>
    <xdr:sp macro="" textlink="">
      <xdr:nvSpPr>
        <xdr:cNvPr id="12" name="TextBox 11"/>
        <xdr:cNvSpPr txBox="1"/>
      </xdr:nvSpPr>
      <xdr:spPr>
        <a:xfrm>
          <a:off x="2867025" y="4257675"/>
          <a:ext cx="17907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1-ter-</a:t>
          </a:r>
          <a:r>
            <a:rPr lang="en-US" sz="1100" baseline="0"/>
            <a:t> ici, j'aimerai mettre le "Component" </a:t>
          </a:r>
          <a:r>
            <a:rPr lang="en-US" sz="1100" baseline="0">
              <a:solidFill>
                <a:srgbClr val="FF0000"/>
              </a:solidFill>
            </a:rPr>
            <a:t>commencant par "I" </a:t>
          </a:r>
          <a:r>
            <a:rPr lang="en-US" sz="1100" baseline="0"/>
            <a:t>avec le "Production BOM no"=B5 ("FS0025")</a:t>
          </a:r>
        </a:p>
        <a:p>
          <a:r>
            <a:rPr lang="en-US" sz="1100" i="1" baseline="0"/>
            <a:t>La reponse attendue est ISJ013</a:t>
          </a:r>
          <a:endParaRPr lang="en-US" sz="1100" i="1"/>
        </a:p>
      </xdr:txBody>
    </xdr:sp>
    <xdr:clientData/>
  </xdr:twoCellAnchor>
  <xdr:twoCellAnchor>
    <xdr:from>
      <xdr:col>4</xdr:col>
      <xdr:colOff>419100</xdr:colOff>
      <xdr:row>4</xdr:row>
      <xdr:rowOff>523875</xdr:rowOff>
    </xdr:from>
    <xdr:to>
      <xdr:col>4</xdr:col>
      <xdr:colOff>447675</xdr:colOff>
      <xdr:row>6</xdr:row>
      <xdr:rowOff>342900</xdr:rowOff>
    </xdr:to>
    <xdr:cxnSp macro="">
      <xdr:nvCxnSpPr>
        <xdr:cNvPr id="14" name="Straight Arrow Connector 13"/>
        <xdr:cNvCxnSpPr>
          <a:stCxn id="8" idx="0"/>
        </xdr:cNvCxnSpPr>
      </xdr:nvCxnSpPr>
      <xdr:spPr>
        <a:xfrm flipH="1" flipV="1">
          <a:off x="2714625" y="1095375"/>
          <a:ext cx="28575" cy="1724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238126</xdr:colOff>
      <xdr:row>4</xdr:row>
      <xdr:rowOff>828675</xdr:rowOff>
    </xdr:from>
    <xdr:to>
      <xdr:col>7</xdr:col>
      <xdr:colOff>123825</xdr:colOff>
      <xdr:row>6</xdr:row>
      <xdr:rowOff>333375</xdr:rowOff>
    </xdr:to>
    <xdr:cxnSp macro="">
      <xdr:nvCxnSpPr>
        <xdr:cNvPr id="16" name="Straight Arrow Connector 15"/>
        <xdr:cNvCxnSpPr>
          <a:stCxn id="11" idx="0"/>
        </xdr:cNvCxnSpPr>
      </xdr:nvCxnSpPr>
      <xdr:spPr>
        <a:xfrm flipH="1" flipV="1">
          <a:off x="4343401" y="1400175"/>
          <a:ext cx="466724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238126</xdr:colOff>
      <xdr:row>4</xdr:row>
      <xdr:rowOff>457200</xdr:rowOff>
    </xdr:from>
    <xdr:to>
      <xdr:col>4</xdr:col>
      <xdr:colOff>571501</xdr:colOff>
      <xdr:row>10</xdr:row>
      <xdr:rowOff>114300</xdr:rowOff>
    </xdr:to>
    <xdr:cxnSp macro="">
      <xdr:nvCxnSpPr>
        <xdr:cNvPr id="20" name="Elbow Connector 19"/>
        <xdr:cNvCxnSpPr>
          <a:stCxn id="12" idx="1"/>
        </xdr:cNvCxnSpPr>
      </xdr:nvCxnSpPr>
      <xdr:spPr>
        <a:xfrm rot="10800000">
          <a:off x="781051" y="1028700"/>
          <a:ext cx="2085975" cy="3848100"/>
        </a:xfrm>
        <a:prstGeom prst="bentConnector2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400049</xdr:colOff>
      <xdr:row>4</xdr:row>
      <xdr:rowOff>914399</xdr:rowOff>
    </xdr:from>
    <xdr:to>
      <xdr:col>19</xdr:col>
      <xdr:colOff>238124</xdr:colOff>
      <xdr:row>5</xdr:row>
      <xdr:rowOff>590550</xdr:rowOff>
    </xdr:to>
    <xdr:sp macro="" textlink="">
      <xdr:nvSpPr>
        <xdr:cNvPr id="36" name="TextBox 35"/>
        <xdr:cNvSpPr txBox="1"/>
      </xdr:nvSpPr>
      <xdr:spPr>
        <a:xfrm>
          <a:off x="6257924" y="1485899"/>
          <a:ext cx="6543675" cy="62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2.2-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ici, j'aimerai mettre le "Component" </a:t>
          </a:r>
          <a:r>
            <a:rPr lang="en-US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commencant par "P" 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avec le "Production BOM no"=C5 ("ISJ013", trouve avec le 1ter) </a:t>
          </a:r>
          <a:r>
            <a:rPr lang="en-US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different du numero entre en 2-</a:t>
          </a:r>
          <a:endParaRPr lang="en-US">
            <a:effectLst/>
          </a:endParaRPr>
        </a:p>
        <a:p>
          <a:r>
            <a:rPr lang="en-US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reponse attendue est P0005</a:t>
          </a:r>
          <a:endParaRPr lang="en-US" sz="1100"/>
        </a:p>
      </xdr:txBody>
    </xdr:sp>
    <xdr:clientData/>
  </xdr:twoCellAnchor>
  <xdr:twoCellAnchor>
    <xdr:from>
      <xdr:col>5</xdr:col>
      <xdr:colOff>600076</xdr:colOff>
      <xdr:row>4</xdr:row>
      <xdr:rowOff>361951</xdr:rowOff>
    </xdr:from>
    <xdr:to>
      <xdr:col>8</xdr:col>
      <xdr:colOff>400050</xdr:colOff>
      <xdr:row>5</xdr:row>
      <xdr:rowOff>276226</xdr:rowOff>
    </xdr:to>
    <xdr:cxnSp macro="">
      <xdr:nvCxnSpPr>
        <xdr:cNvPr id="38" name="Elbow Connector 37"/>
        <xdr:cNvCxnSpPr>
          <a:stCxn id="36" idx="1"/>
        </xdr:cNvCxnSpPr>
      </xdr:nvCxnSpPr>
      <xdr:spPr>
        <a:xfrm rot="10800000">
          <a:off x="3952876" y="933451"/>
          <a:ext cx="2305049" cy="866775"/>
        </a:xfrm>
        <a:prstGeom prst="bentConnector3">
          <a:avLst>
            <a:gd name="adj1" fmla="val 12810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695325</xdr:colOff>
      <xdr:row>8</xdr:row>
      <xdr:rowOff>19049</xdr:rowOff>
    </xdr:from>
    <xdr:to>
      <xdr:col>10</xdr:col>
      <xdr:colOff>95250</xdr:colOff>
      <xdr:row>17</xdr:row>
      <xdr:rowOff>180974</xdr:rowOff>
    </xdr:to>
    <xdr:sp macro="" textlink="">
      <xdr:nvSpPr>
        <xdr:cNvPr id="42" name="TextBox 41"/>
        <xdr:cNvSpPr txBox="1"/>
      </xdr:nvSpPr>
      <xdr:spPr>
        <a:xfrm>
          <a:off x="5381625" y="4400549"/>
          <a:ext cx="1790700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1-quater-</a:t>
          </a:r>
          <a:r>
            <a:rPr lang="en-US" sz="1100" baseline="0"/>
            <a:t> ici, une place s'il y a une quatrieme chose avec le "Production BOM no"=B5 ("FS0025")</a:t>
          </a:r>
        </a:p>
        <a:p>
          <a:r>
            <a:rPr lang="en-US" sz="1100" i="1" baseline="0"/>
            <a:t>La reponse attendue est "" ici mais pour le FS0151, il y a deux CASE, du coup peut importe laquelle va ou, mais il y a une place en plus</a:t>
          </a:r>
          <a:endParaRPr lang="en-US" sz="1100" i="1"/>
        </a:p>
      </xdr:txBody>
    </xdr:sp>
    <xdr:clientData/>
  </xdr:twoCellAnchor>
  <xdr:twoCellAnchor>
    <xdr:from>
      <xdr:col>7</xdr:col>
      <xdr:colOff>704850</xdr:colOff>
      <xdr:row>4</xdr:row>
      <xdr:rowOff>704850</xdr:rowOff>
    </xdr:from>
    <xdr:to>
      <xdr:col>8</xdr:col>
      <xdr:colOff>419100</xdr:colOff>
      <xdr:row>8</xdr:row>
      <xdr:rowOff>19049</xdr:rowOff>
    </xdr:to>
    <xdr:cxnSp macro="">
      <xdr:nvCxnSpPr>
        <xdr:cNvPr id="44" name="Straight Arrow Connector 43"/>
        <xdr:cNvCxnSpPr>
          <a:stCxn id="42" idx="0"/>
        </xdr:cNvCxnSpPr>
      </xdr:nvCxnSpPr>
      <xdr:spPr>
        <a:xfrm flipH="1" flipV="1">
          <a:off x="5391150" y="1276350"/>
          <a:ext cx="885825" cy="31241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ec_Sheet%20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EASE READ"/>
      <sheetName val="Daily S.Sheet"/>
      <sheetName val="Entire S.Sheet"/>
      <sheetName val="Items (1)"/>
      <sheetName val="Items (2)"/>
      <sheetName val="Brite-Test S.Sheet"/>
      <sheetName val="Brites-Test"/>
      <sheetName val="Recipe"/>
      <sheetName val="Customer_wants"/>
      <sheetName val="Item_Master"/>
      <sheetName val="BOM"/>
      <sheetName val="Container_specification"/>
      <sheetName val="List"/>
      <sheetName val="Sheet3"/>
      <sheetName val="Sheet5"/>
      <sheetName val="Sheet6"/>
      <sheetName val="Sheet7"/>
      <sheetName val="Sheet10"/>
      <sheetName val="Sheet11"/>
      <sheetName val="Sheet19"/>
      <sheetName val="Sheet20"/>
      <sheetName val="Sheet21"/>
      <sheetName val="Sheet22"/>
      <sheetName val="Sheet23"/>
      <sheetName val="Sheet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 t="str">
            <v>Sauce Jar</v>
          </cell>
          <cell r="C3" t="str">
            <v>Organic</v>
          </cell>
          <cell r="D3" t="str">
            <v>NO</v>
          </cell>
        </row>
        <row r="4">
          <cell r="B4" t="str">
            <v>Sauce Pouch</v>
          </cell>
          <cell r="C4" t="str">
            <v>Natural</v>
          </cell>
          <cell r="D4" t="str">
            <v>Bottom</v>
          </cell>
        </row>
        <row r="5">
          <cell r="B5" t="str">
            <v>Sauce Cup</v>
          </cell>
          <cell r="C5" t="str">
            <v>Natural Filtered</v>
          </cell>
          <cell r="D5" t="str">
            <v>Half</v>
          </cell>
        </row>
        <row r="6">
          <cell r="B6" t="str">
            <v>Juice</v>
          </cell>
          <cell r="D6" t="str">
            <v>Half and Bottom</v>
          </cell>
        </row>
        <row r="7">
          <cell r="B7" t="str">
            <v>Vinegar</v>
          </cell>
          <cell r="D7" t="str">
            <v>NA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Items" displayName="Items" ref="B4:H24" totalsRowShown="0" dataDxfId="14">
  <autoFilter ref="B4:H24"/>
  <tableColumns count="7">
    <tableColumn id="1" name="F#" dataDxfId="13"/>
    <tableColumn id="2" name="I#" dataDxfId="0"/>
    <tableColumn id="6" name="Container/Film #" dataDxfId="12"/>
    <tableColumn id="7" name="Label/Pouch Sleeve #" dataDxfId="11"/>
    <tableColumn id="9" name="Closure #" dataDxfId="10"/>
    <tableColumn id="10" name="Case #" dataDxfId="9"/>
    <tableColumn id="26" name="Other packaging" dataDxfId="8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Container_Specification" displayName="Container_Specification" ref="B2:I17" totalsRowShown="0">
  <autoFilter ref="B2:I17"/>
  <sortState ref="B3:H17">
    <sortCondition ref="B1:B16"/>
  </sortState>
  <tableColumns count="8">
    <tableColumn id="1" name="Container" dataDxfId="7"/>
    <tableColumn id="2" name="Description" dataDxfId="6"/>
    <tableColumn id="3" name="Label placement" dataDxfId="5"/>
    <tableColumn id="7" name="Closure/Lid" dataDxfId="4"/>
    <tableColumn id="6" name="Number" dataDxfId="3"/>
    <tableColumn id="4" name="Shelf Life at Production"/>
    <tableColumn id="5" name="Shelf Life at Shipment"/>
    <tableColumn id="8" name="Comment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32"/>
  <sheetViews>
    <sheetView tabSelected="1" topLeftCell="B2" zoomScaleNormal="100" workbookViewId="0">
      <selection activeCell="K7" sqref="K7"/>
    </sheetView>
  </sheetViews>
  <sheetFormatPr defaultRowHeight="15" x14ac:dyDescent="0.25"/>
  <cols>
    <col min="1" max="1" width="9.140625" hidden="1" customWidth="1"/>
    <col min="2" max="3" width="8.140625" customWidth="1"/>
    <col min="4" max="4" width="18.140625" bestFit="1" customWidth="1"/>
    <col min="5" max="5" width="15.85546875" customWidth="1"/>
    <col min="6" max="6" width="11.28515625" bestFit="1" customWidth="1"/>
    <col min="7" max="7" width="8.7109375" bestFit="1" customWidth="1"/>
    <col min="8" max="8" width="17.5703125" bestFit="1" customWidth="1"/>
  </cols>
  <sheetData>
    <row r="1" spans="1:14" hidden="1" x14ac:dyDescent="0.25">
      <c r="A1" t="s">
        <v>0</v>
      </c>
    </row>
    <row r="2" spans="1:14" s="1" customFormat="1" x14ac:dyDescent="0.25">
      <c r="D2" s="2"/>
      <c r="E2" s="2"/>
      <c r="F2" s="2"/>
      <c r="G2" s="2"/>
      <c r="H2" s="2"/>
    </row>
    <row r="3" spans="1:14" s="1" customFormat="1" x14ac:dyDescent="0.25"/>
    <row r="4" spans="1:14" x14ac:dyDescent="0.25">
      <c r="B4" t="s">
        <v>1</v>
      </c>
      <c r="C4" t="s">
        <v>88</v>
      </c>
      <c r="D4" t="s">
        <v>2</v>
      </c>
      <c r="E4" t="s">
        <v>3</v>
      </c>
      <c r="F4" t="s">
        <v>4</v>
      </c>
      <c r="G4" t="s">
        <v>5</v>
      </c>
      <c r="H4" t="s">
        <v>6</v>
      </c>
    </row>
    <row r="5" spans="1:14" s="3" customFormat="1" ht="75" customHeight="1" x14ac:dyDescent="0.25">
      <c r="B5" s="4" t="s">
        <v>7</v>
      </c>
      <c r="C5" s="4"/>
      <c r="D5" s="4"/>
      <c r="E5" s="22"/>
      <c r="F5" s="4"/>
      <c r="G5" s="4"/>
      <c r="H5" s="4"/>
    </row>
    <row r="6" spans="1:14" s="3" customFormat="1" ht="75" customHeight="1" x14ac:dyDescent="0.25">
      <c r="B6" s="3" t="s">
        <v>9</v>
      </c>
      <c r="D6" s="4"/>
      <c r="E6" s="4"/>
      <c r="F6" s="4"/>
      <c r="G6" s="4"/>
      <c r="H6" s="4"/>
    </row>
    <row r="7" spans="1:14" s="3" customFormat="1" ht="75" customHeight="1" x14ac:dyDescent="0.25">
      <c r="B7" s="3" t="s">
        <v>10</v>
      </c>
      <c r="D7" s="4"/>
      <c r="E7" s="4"/>
      <c r="F7" s="4"/>
      <c r="G7" s="4"/>
      <c r="H7" s="4"/>
    </row>
    <row r="8" spans="1:14" s="3" customFormat="1" ht="75" customHeight="1" x14ac:dyDescent="0.25">
      <c r="B8" s="3" t="s">
        <v>12</v>
      </c>
      <c r="D8" s="4"/>
      <c r="E8" s="4"/>
      <c r="F8" s="4"/>
      <c r="G8" s="4"/>
      <c r="H8" s="4"/>
      <c r="N8" s="25" t="s">
        <v>89</v>
      </c>
    </row>
    <row r="9" spans="1:14" s="3" customFormat="1" x14ac:dyDescent="0.25">
      <c r="B9" s="3" t="s">
        <v>14</v>
      </c>
      <c r="D9" s="4"/>
      <c r="E9" s="4"/>
      <c r="F9" s="4"/>
      <c r="G9" s="4"/>
      <c r="H9" s="4"/>
    </row>
    <row r="10" spans="1:14" s="3" customFormat="1" x14ac:dyDescent="0.25">
      <c r="B10" s="3" t="s">
        <v>15</v>
      </c>
      <c r="D10" s="4"/>
      <c r="E10" s="4"/>
      <c r="F10" s="4"/>
      <c r="G10" s="4"/>
      <c r="H10" s="4"/>
    </row>
    <row r="11" spans="1:14" x14ac:dyDescent="0.25">
      <c r="B11" s="3" t="s">
        <v>17</v>
      </c>
      <c r="C11" s="3"/>
      <c r="D11" s="4"/>
      <c r="E11" s="4"/>
      <c r="F11" s="4"/>
      <c r="G11" s="4"/>
      <c r="H11" s="4"/>
    </row>
    <row r="12" spans="1:14" x14ac:dyDescent="0.25">
      <c r="B12" s="3" t="s">
        <v>18</v>
      </c>
      <c r="C12" s="3"/>
      <c r="D12" s="4"/>
      <c r="E12" s="4"/>
      <c r="F12" s="4"/>
      <c r="G12" s="4"/>
      <c r="H12" s="4"/>
    </row>
    <row r="13" spans="1:14" x14ac:dyDescent="0.25">
      <c r="B13" s="5" t="s">
        <v>87</v>
      </c>
      <c r="C13" s="5"/>
      <c r="D13" s="3"/>
      <c r="E13" s="3"/>
      <c r="F13" s="3"/>
      <c r="G13" s="3"/>
      <c r="H13" s="3"/>
    </row>
    <row r="14" spans="1:14" x14ac:dyDescent="0.25">
      <c r="B14" s="3"/>
      <c r="C14" s="3"/>
      <c r="D14" s="3"/>
      <c r="E14" s="3"/>
      <c r="F14" s="3"/>
      <c r="G14" s="3"/>
      <c r="H14" s="3"/>
    </row>
    <row r="15" spans="1:14" x14ac:dyDescent="0.25">
      <c r="B15" s="3"/>
      <c r="C15" s="3"/>
      <c r="D15" s="3"/>
      <c r="E15" s="3"/>
      <c r="F15" s="3"/>
      <c r="G15" s="3"/>
      <c r="H15" s="3"/>
    </row>
    <row r="16" spans="1:14" x14ac:dyDescent="0.25">
      <c r="B16" s="3"/>
      <c r="C16" s="3"/>
      <c r="D16" s="3"/>
      <c r="E16" s="3"/>
      <c r="F16" s="3"/>
      <c r="G16" s="3"/>
      <c r="H16" s="3"/>
    </row>
    <row r="17" spans="2:8" x14ac:dyDescent="0.25">
      <c r="B17" s="3"/>
      <c r="C17" s="3"/>
      <c r="D17" s="3"/>
      <c r="E17" s="3"/>
      <c r="F17" s="3"/>
      <c r="G17" s="3"/>
      <c r="H17" s="3"/>
    </row>
    <row r="18" spans="2:8" x14ac:dyDescent="0.25">
      <c r="B18" s="3"/>
      <c r="C18" s="3"/>
      <c r="D18" s="3"/>
      <c r="E18" s="3"/>
      <c r="F18" s="3"/>
      <c r="G18" s="3"/>
      <c r="H18" s="3"/>
    </row>
    <row r="19" spans="2:8" x14ac:dyDescent="0.25">
      <c r="B19" s="3"/>
      <c r="C19" s="3"/>
      <c r="D19" s="3"/>
      <c r="E19" s="3"/>
      <c r="F19" s="3"/>
      <c r="G19" s="3"/>
      <c r="H19" s="3"/>
    </row>
    <row r="20" spans="2:8" x14ac:dyDescent="0.25">
      <c r="B20" s="3"/>
      <c r="C20" s="3"/>
      <c r="D20" s="3"/>
      <c r="E20" s="3"/>
      <c r="F20" s="3"/>
      <c r="G20" s="3"/>
      <c r="H20" s="3"/>
    </row>
    <row r="21" spans="2:8" x14ac:dyDescent="0.25">
      <c r="B21" s="3"/>
      <c r="C21" s="3"/>
      <c r="D21" s="3"/>
      <c r="E21" s="3"/>
      <c r="F21" s="3"/>
      <c r="G21" s="3"/>
      <c r="H21" s="3"/>
    </row>
    <row r="22" spans="2:8" x14ac:dyDescent="0.25">
      <c r="B22" s="3"/>
      <c r="C22" s="3"/>
      <c r="D22" s="3"/>
      <c r="E22" s="3"/>
      <c r="F22" s="3"/>
      <c r="G22" s="3"/>
      <c r="H22" s="3"/>
    </row>
    <row r="23" spans="2:8" x14ac:dyDescent="0.25">
      <c r="B23" s="3"/>
      <c r="C23" s="3"/>
      <c r="D23" s="3"/>
      <c r="E23" s="3"/>
      <c r="F23" s="3"/>
      <c r="G23" s="3"/>
      <c r="H23" s="3"/>
    </row>
    <row r="24" spans="2:8" x14ac:dyDescent="0.25">
      <c r="B24" s="3"/>
      <c r="C24" s="3"/>
      <c r="D24" s="3"/>
      <c r="E24" s="3"/>
      <c r="F24" s="3"/>
      <c r="G24" s="3"/>
      <c r="H24" s="3"/>
    </row>
    <row r="26" spans="2:8" x14ac:dyDescent="0.25">
      <c r="B26" t="s">
        <v>19</v>
      </c>
    </row>
    <row r="28" spans="2:8" x14ac:dyDescent="0.25">
      <c r="B28" s="6"/>
      <c r="C28" s="6"/>
      <c r="D28" s="7"/>
      <c r="E28" s="7"/>
      <c r="F28" s="7"/>
      <c r="G28" s="7"/>
      <c r="H28" s="7"/>
    </row>
    <row r="29" spans="2:8" x14ac:dyDescent="0.25">
      <c r="B29" s="8"/>
      <c r="C29" s="8"/>
      <c r="D29" s="9"/>
      <c r="E29" s="9"/>
      <c r="F29" s="9"/>
      <c r="G29" s="9"/>
      <c r="H29" s="9"/>
    </row>
    <row r="30" spans="2:8" x14ac:dyDescent="0.25">
      <c r="B30" s="9"/>
      <c r="C30" s="9"/>
      <c r="D30" s="9"/>
      <c r="E30" s="9"/>
      <c r="F30" s="9"/>
      <c r="G30" s="9"/>
      <c r="H30" s="9"/>
    </row>
    <row r="31" spans="2:8" x14ac:dyDescent="0.25">
      <c r="B31" s="10"/>
      <c r="C31" s="10"/>
      <c r="D31" s="10"/>
      <c r="E31" s="10"/>
      <c r="F31" s="10"/>
      <c r="G31" s="10"/>
      <c r="H31" s="10"/>
    </row>
    <row r="32" spans="2:8" x14ac:dyDescent="0.25">
      <c r="B32" s="7"/>
      <c r="C32" s="7"/>
      <c r="D32" s="7"/>
      <c r="E32" s="7"/>
      <c r="F32" s="7"/>
      <c r="G32" s="7"/>
      <c r="H32" s="7"/>
    </row>
  </sheetData>
  <conditionalFormatting sqref="B6:C24">
    <cfRule type="duplicateValues" dxfId="2" priority="2"/>
  </conditionalFormatting>
  <conditionalFormatting sqref="B5:C5">
    <cfRule type="duplicateValues" dxfId="1" priority="1"/>
  </conditionalFormatting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J2128"/>
  <sheetViews>
    <sheetView workbookViewId="0">
      <pane xSplit="2" ySplit="3" topLeftCell="C4" activePane="bottomRight" state="frozenSplit"/>
      <selection pane="topRight" activeCell="C1" sqref="C1"/>
      <selection pane="bottomLeft" activeCell="A4" sqref="A4"/>
      <selection pane="bottomRight" activeCell="D38" sqref="D38"/>
    </sheetView>
  </sheetViews>
  <sheetFormatPr defaultColWidth="16.28515625" defaultRowHeight="15" x14ac:dyDescent="0.25"/>
  <cols>
    <col min="1" max="2" width="16.28515625" hidden="1" customWidth="1"/>
    <col min="3" max="3" width="16.28515625" customWidth="1"/>
    <col min="4" max="4" width="21.140625" bestFit="1" customWidth="1"/>
    <col min="5" max="5" width="8.42578125" bestFit="1" customWidth="1"/>
    <col min="6" max="6" width="12.42578125" bestFit="1" customWidth="1"/>
    <col min="7" max="7" width="53" bestFit="1" customWidth="1"/>
    <col min="8" max="8" width="9.28515625" bestFit="1" customWidth="1"/>
    <col min="9" max="9" width="9.7109375" bestFit="1" customWidth="1"/>
    <col min="10" max="10" width="8.42578125" bestFit="1" customWidth="1"/>
  </cols>
  <sheetData>
    <row r="1" spans="1:10" hidden="1" x14ac:dyDescent="0.25">
      <c r="A1" t="s">
        <v>20</v>
      </c>
      <c r="B1" t="s">
        <v>21</v>
      </c>
      <c r="D1" t="s">
        <v>22</v>
      </c>
      <c r="E1" t="s">
        <v>22</v>
      </c>
      <c r="F1" t="s">
        <v>22</v>
      </c>
      <c r="G1" t="s">
        <v>22</v>
      </c>
      <c r="H1" t="s">
        <v>22</v>
      </c>
      <c r="I1" t="s">
        <v>22</v>
      </c>
      <c r="J1" t="s">
        <v>22</v>
      </c>
    </row>
    <row r="2" spans="1:10" ht="15.75" thickBot="1" x14ac:dyDescent="0.3"/>
    <row r="3" spans="1:10" s="11" customFormat="1" ht="15.75" x14ac:dyDescent="0.25">
      <c r="D3" s="12" t="s">
        <v>23</v>
      </c>
      <c r="E3" s="13" t="s">
        <v>24</v>
      </c>
      <c r="F3" s="13" t="s">
        <v>25</v>
      </c>
      <c r="G3" s="13" t="s">
        <v>26</v>
      </c>
      <c r="H3" s="13" t="s">
        <v>27</v>
      </c>
      <c r="I3" s="13" t="s">
        <v>28</v>
      </c>
      <c r="J3" s="14" t="s">
        <v>29</v>
      </c>
    </row>
    <row r="4" spans="1:10" ht="15.75" thickBot="1" x14ac:dyDescent="0.3">
      <c r="B4" s="15" t="s">
        <v>30</v>
      </c>
      <c r="C4" s="15"/>
      <c r="D4" s="16" t="str">
        <f>"FV0995"</f>
        <v>FV0995</v>
      </c>
      <c r="E4" s="16">
        <v>20000</v>
      </c>
      <c r="F4" s="16"/>
      <c r="G4" s="17"/>
      <c r="H4" s="18"/>
      <c r="I4" s="19">
        <v>0</v>
      </c>
      <c r="J4" s="20">
        <v>0</v>
      </c>
    </row>
    <row r="5" spans="1:10" ht="15.75" thickBot="1" x14ac:dyDescent="0.3">
      <c r="A5" t="s">
        <v>31</v>
      </c>
      <c r="B5" s="15" t="str">
        <f>"""Manzana NAV"",""MANZANA"",""99000772"",""44"","" "",""22"",""False"",""43"",""0.00000000000000000000"",""12"","""",""50220"",""False"",""29"","""",""50210"",""False"",""18"","""",""11"","""",""2"",""20000"",""1"",""FV9991"",""14"",""0.00000000000000000000"",""45"",""0.00000000000000000000"",""19"","""",""20"",""0.000"&amp;"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","50220","False","29","","50210","False","18","","11","","2","20000","1","FV9991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5" s="15"/>
      <c r="D5" s="16" t="str">
        <f>"FV9991"</f>
        <v>FV9991</v>
      </c>
      <c r="E5" s="16">
        <v>20000</v>
      </c>
      <c r="F5" s="16"/>
      <c r="G5" s="17"/>
      <c r="H5" s="18"/>
      <c r="I5" s="19">
        <v>0</v>
      </c>
      <c r="J5" s="20">
        <v>0</v>
      </c>
    </row>
    <row r="6" spans="1:10" ht="15.75" thickBot="1" x14ac:dyDescent="0.3">
      <c r="A6" t="s">
        <v>31</v>
      </c>
      <c r="B6" s="15" t="str">
        <f>"""Manzana NAV"",""MANZANA"",""99000772"",""44"","" "",""22"",""False"",""43"",""0.00000000000000000000"",""12"","""",""50220"",""False"",""29"","""",""50210"",""False"",""18"","""",""11"","""",""2"",""20000"",""1"",""FV9992"",""14"",""0.00000000000000000000"",""45"",""0.00000000000000000000"",""19"","""",""20"",""0.000"&amp;"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","50220","False","29","","50210","False","18","","11","","2","20000","1","FV9992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6" s="15"/>
      <c r="D6" s="16" t="str">
        <f>"FV9992"</f>
        <v>FV9992</v>
      </c>
      <c r="E6" s="16">
        <v>20000</v>
      </c>
      <c r="F6" s="16"/>
      <c r="G6" s="17"/>
      <c r="H6" s="18"/>
      <c r="I6" s="19">
        <v>0</v>
      </c>
      <c r="J6" s="20">
        <v>0</v>
      </c>
    </row>
    <row r="7" spans="1:10" ht="15.75" thickBot="1" x14ac:dyDescent="0.3">
      <c r="A7" t="s">
        <v>31</v>
      </c>
      <c r="B7" s="15" t="str">
        <f>"""Manzana NAV"",""MANZANA"",""99000772"",""44"","" "",""22"",""False"",""43"",""0.00000000000000000000"",""12"",""10oz empty glass juice bottle"",""50220"",""False"",""29"","""",""50210"",""False"",""18"","""",""11"",""P0008"",""2"",""10000"",""1"",""IJ042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10000","1","IJ042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" s="15"/>
      <c r="D7" s="16" t="str">
        <f>"IJ042"</f>
        <v>IJ042</v>
      </c>
      <c r="E7" s="16">
        <v>10000</v>
      </c>
      <c r="F7" s="16" t="str">
        <f t="shared" ref="F7:F13" si="0">"P0008"</f>
        <v>P0008</v>
      </c>
      <c r="G7" s="17" t="str">
        <f t="shared" ref="G7:G13" si="1">"10oz empty glass juice bottle"</f>
        <v>10oz empty glass juice bottle</v>
      </c>
      <c r="H7" s="18" t="str">
        <f t="shared" ref="H7:H29" si="2">"BTLS"</f>
        <v>BTLS</v>
      </c>
      <c r="I7" s="19">
        <v>1</v>
      </c>
      <c r="J7" s="20">
        <v>1</v>
      </c>
    </row>
    <row r="8" spans="1:10" ht="15.75" thickBot="1" x14ac:dyDescent="0.3">
      <c r="A8" t="s">
        <v>31</v>
      </c>
      <c r="B8" s="15" t="str">
        <f>"""Manzana NAV"",""MANZANA"",""99000772"",""44"","" "",""22"",""False"",""43"",""0.00000000000000000000"",""12"",""10oz empty glass juice bottle"",""50220"",""False"",""29"","""",""50210"",""False"",""18"","""",""11"",""P0008"",""2"",""20000"",""1"",""IJ001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001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" s="15"/>
      <c r="D8" s="16" t="str">
        <f>"IJ001"</f>
        <v>IJ001</v>
      </c>
      <c r="E8" s="16">
        <v>20000</v>
      </c>
      <c r="F8" s="16" t="str">
        <f t="shared" si="0"/>
        <v>P0008</v>
      </c>
      <c r="G8" s="17" t="str">
        <f t="shared" si="1"/>
        <v>10oz empty glass juice bottle</v>
      </c>
      <c r="H8" s="18" t="str">
        <f t="shared" si="2"/>
        <v>BTLS</v>
      </c>
      <c r="I8" s="19">
        <v>1</v>
      </c>
      <c r="J8" s="20">
        <v>1</v>
      </c>
    </row>
    <row r="9" spans="1:10" ht="15.75" thickBot="1" x14ac:dyDescent="0.3">
      <c r="A9" t="s">
        <v>31</v>
      </c>
      <c r="B9" s="15" t="str">
        <f>"""Manzana NAV"",""MANZANA"",""99000772"",""44"","" "",""22"",""False"",""43"",""0.00000000000000000000"",""12"",""10oz empty glass juice bottle"",""50220"",""False"",""29"","""",""50210"",""False"",""18"","""",""11"",""P0008"",""2"",""20000"",""1"",""IJ009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009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" s="15"/>
      <c r="D9" s="16" t="str">
        <f>"IJ009"</f>
        <v>IJ009</v>
      </c>
      <c r="E9" s="16">
        <v>20000</v>
      </c>
      <c r="F9" s="16" t="str">
        <f t="shared" si="0"/>
        <v>P0008</v>
      </c>
      <c r="G9" s="17" t="str">
        <f t="shared" si="1"/>
        <v>10oz empty glass juice bottle</v>
      </c>
      <c r="H9" s="18" t="str">
        <f t="shared" si="2"/>
        <v>BTLS</v>
      </c>
      <c r="I9" s="19">
        <v>1</v>
      </c>
      <c r="J9" s="20">
        <v>1</v>
      </c>
    </row>
    <row r="10" spans="1:10" ht="15.75" thickBot="1" x14ac:dyDescent="0.3">
      <c r="A10" t="s">
        <v>31</v>
      </c>
      <c r="B10" s="15" t="str">
        <f>"""Manzana NAV"",""MANZANA"",""99000772"",""44"","" "",""22"",""False"",""43"",""0.00000000000000000000"",""12"",""10oz empty glass juice bottle"",""50220"",""False"",""29"","""",""50210"",""False"",""18"","""",""11"",""P0008"",""2"",""20000"",""1"",""IJ030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030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0" s="15"/>
      <c r="D10" s="16" t="str">
        <f>"IJ030"</f>
        <v>IJ030</v>
      </c>
      <c r="E10" s="16">
        <v>20000</v>
      </c>
      <c r="F10" s="16" t="str">
        <f t="shared" si="0"/>
        <v>P0008</v>
      </c>
      <c r="G10" s="17" t="str">
        <f t="shared" si="1"/>
        <v>10oz empty glass juice bottle</v>
      </c>
      <c r="H10" s="18" t="str">
        <f t="shared" si="2"/>
        <v>BTLS</v>
      </c>
      <c r="I10" s="19">
        <v>1</v>
      </c>
      <c r="J10" s="20">
        <v>1</v>
      </c>
    </row>
    <row r="11" spans="1:10" ht="15.75" thickBot="1" x14ac:dyDescent="0.3">
      <c r="A11" t="s">
        <v>31</v>
      </c>
      <c r="B11" s="15" t="str">
        <f>"""Manzana NAV"",""MANZANA"",""99000772"",""44"","" "",""22"",""False"",""43"",""0.00000000000000000000"",""12"",""10oz empty glass juice bottle"",""50220"",""False"",""29"","""",""50210"",""False"",""18"","""",""11"",""P0008"",""2"",""20000"",""1"",""IJ101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101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1" s="15"/>
      <c r="D11" s="16" t="str">
        <f>"IJ101"</f>
        <v>IJ101</v>
      </c>
      <c r="E11" s="16">
        <v>20000</v>
      </c>
      <c r="F11" s="16" t="str">
        <f t="shared" si="0"/>
        <v>P0008</v>
      </c>
      <c r="G11" s="17" t="str">
        <f t="shared" si="1"/>
        <v>10oz empty glass juice bottle</v>
      </c>
      <c r="H11" s="18" t="str">
        <f t="shared" si="2"/>
        <v>BTLS</v>
      </c>
      <c r="I11" s="19">
        <v>1</v>
      </c>
      <c r="J11" s="20">
        <v>1</v>
      </c>
    </row>
    <row r="12" spans="1:10" ht="15.75" thickBot="1" x14ac:dyDescent="0.3">
      <c r="A12" t="s">
        <v>31</v>
      </c>
      <c r="B12" s="15" t="str">
        <f>"""Manzana NAV"",""MANZANA"",""99000772"",""44"","" "",""22"",""False"",""43"",""0.00000000000000000000"",""12"",""10oz empty glass juice bottle"",""50220"",""False"",""29"","""",""50210"",""False"",""18"","""",""11"",""P0008"",""2"",""20000"",""1"",""IJ106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106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2" s="15"/>
      <c r="D12" s="16" t="str">
        <f>"IJ106"</f>
        <v>IJ106</v>
      </c>
      <c r="E12" s="16">
        <v>20000</v>
      </c>
      <c r="F12" s="16" t="str">
        <f t="shared" si="0"/>
        <v>P0008</v>
      </c>
      <c r="G12" s="17" t="str">
        <f t="shared" si="1"/>
        <v>10oz empty glass juice bottle</v>
      </c>
      <c r="H12" s="18" t="str">
        <f t="shared" si="2"/>
        <v>BTLS</v>
      </c>
      <c r="I12" s="19">
        <v>1</v>
      </c>
      <c r="J12" s="20">
        <v>1</v>
      </c>
    </row>
    <row r="13" spans="1:10" ht="15.75" thickBot="1" x14ac:dyDescent="0.3">
      <c r="A13" t="s">
        <v>31</v>
      </c>
      <c r="B13" s="15" t="str">
        <f>"""Manzana NAV"",""MANZANA"",""99000772"",""44"","" "",""22"",""False"",""43"",""0.00000000000000000000"",""12"",""10oz empty glass juice bottle"",""50220"",""False"",""29"","""",""50210"",""False"",""18"","""",""11"",""P0008"",""2"",""20000"",""1"",""IJ110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110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3" s="15"/>
      <c r="D13" s="16" t="str">
        <f>"IJ110"</f>
        <v>IJ110</v>
      </c>
      <c r="E13" s="16">
        <v>20000</v>
      </c>
      <c r="F13" s="16" t="str">
        <f t="shared" si="0"/>
        <v>P0008</v>
      </c>
      <c r="G13" s="17" t="str">
        <f t="shared" si="1"/>
        <v>10oz empty glass juice bottle</v>
      </c>
      <c r="H13" s="18" t="str">
        <f t="shared" si="2"/>
        <v>BTLS</v>
      </c>
      <c r="I13" s="19">
        <v>1</v>
      </c>
      <c r="J13" s="20">
        <v>1</v>
      </c>
    </row>
    <row r="14" spans="1:10" ht="15.75" thickBot="1" x14ac:dyDescent="0.3">
      <c r="A14" t="s">
        <v>31</v>
      </c>
      <c r="B14" s="15" t="str">
        <f>"""Manzana NAV"",""MANZANA"",""99000772"",""44"","" "",""22"",""False"",""43"",""0.00000000000000000000"",""12"",""128oz empty glass bottle"",""50220"",""False"",""29"","""",""50210"",""False"",""18"","""",""11"",""P0013"",""2"",""10000"",""1"",""IJ112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10000","1","IJ112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4" s="15"/>
      <c r="D14" s="16" t="str">
        <f>"IJ112"</f>
        <v>IJ112</v>
      </c>
      <c r="E14" s="16">
        <v>10000</v>
      </c>
      <c r="F14" s="16" t="str">
        <f t="shared" ref="F14:F22" si="3">"P0013"</f>
        <v>P0013</v>
      </c>
      <c r="G14" s="17" t="str">
        <f t="shared" ref="G14:G22" si="4">"128oz empty glass bottle"</f>
        <v>128oz empty glass bottle</v>
      </c>
      <c r="H14" s="18" t="str">
        <f t="shared" si="2"/>
        <v>BTLS</v>
      </c>
      <c r="I14" s="19">
        <v>1</v>
      </c>
      <c r="J14" s="20">
        <v>1</v>
      </c>
    </row>
    <row r="15" spans="1:10" ht="15.75" thickBot="1" x14ac:dyDescent="0.3">
      <c r="A15" t="s">
        <v>31</v>
      </c>
      <c r="B15" s="15" t="str">
        <f>"""Manzana NAV"",""MANZANA"",""99000772"",""44"","" "",""22"",""False"",""43"",""0.00000000000000000000"",""12"",""128oz empty glass bottle"",""50220"",""False"",""29"","""",""50210"",""False"",""18"","""",""11"",""P0013"",""2"",""10000"",""1"",""IJ115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10000","1","IJ115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" s="15"/>
      <c r="D15" s="16" t="str">
        <f>"IJ115"</f>
        <v>IJ115</v>
      </c>
      <c r="E15" s="16">
        <v>10000</v>
      </c>
      <c r="F15" s="16" t="str">
        <f t="shared" si="3"/>
        <v>P0013</v>
      </c>
      <c r="G15" s="17" t="str">
        <f t="shared" si="4"/>
        <v>128oz empty glass bottle</v>
      </c>
      <c r="H15" s="18" t="str">
        <f t="shared" si="2"/>
        <v>BTLS</v>
      </c>
      <c r="I15" s="19">
        <v>1</v>
      </c>
      <c r="J15" s="20">
        <v>1</v>
      </c>
    </row>
    <row r="16" spans="1:10" ht="15.75" thickBot="1" x14ac:dyDescent="0.3">
      <c r="A16" t="s">
        <v>31</v>
      </c>
      <c r="B16" s="15" t="str">
        <f>"""Manzana NAV"",""MANZANA"",""99000772"",""44"","" "",""22"",""False"",""43"",""0.00000000000000000000"",""12"",""128oz empty glass bottle"",""50220"",""False"",""29"","""",""50210"",""False"",""18"","""",""11"",""P0013"",""2"",""10000"",""1"",""IV013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10000","1","IV013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6" s="15"/>
      <c r="D16" s="16" t="str">
        <f>"IV013"</f>
        <v>IV013</v>
      </c>
      <c r="E16" s="16">
        <v>10000</v>
      </c>
      <c r="F16" s="16" t="str">
        <f t="shared" si="3"/>
        <v>P0013</v>
      </c>
      <c r="G16" s="17" t="str">
        <f t="shared" si="4"/>
        <v>128oz empty glass bottle</v>
      </c>
      <c r="H16" s="18" t="str">
        <f t="shared" si="2"/>
        <v>BTLS</v>
      </c>
      <c r="I16" s="19">
        <v>1</v>
      </c>
      <c r="J16" s="20">
        <v>1</v>
      </c>
    </row>
    <row r="17" spans="1:10" ht="15.75" thickBot="1" x14ac:dyDescent="0.3">
      <c r="A17" t="s">
        <v>31</v>
      </c>
      <c r="B17" s="15" t="str">
        <f>"""Manzana NAV"",""MANZANA"",""99000772"",""44"","" "",""22"",""False"",""43"",""0.00000000000000000000"",""12"",""128oz empty glass bottle"",""50220"",""False"",""29"","""",""50210"",""False"",""18"","""",""11"",""P0013"",""2"",""20000"",""1"",""IJ008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008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7" s="15"/>
      <c r="D17" s="16" t="str">
        <f>"IJ008"</f>
        <v>IJ008</v>
      </c>
      <c r="E17" s="16">
        <v>20000</v>
      </c>
      <c r="F17" s="16" t="str">
        <f t="shared" si="3"/>
        <v>P0013</v>
      </c>
      <c r="G17" s="17" t="str">
        <f t="shared" si="4"/>
        <v>128oz empty glass bottle</v>
      </c>
      <c r="H17" s="18" t="str">
        <f t="shared" si="2"/>
        <v>BTLS</v>
      </c>
      <c r="I17" s="19">
        <v>1</v>
      </c>
      <c r="J17" s="20">
        <v>1</v>
      </c>
    </row>
    <row r="18" spans="1:10" ht="15.75" thickBot="1" x14ac:dyDescent="0.3">
      <c r="A18" t="s">
        <v>31</v>
      </c>
      <c r="B18" s="15" t="str">
        <f>"""Manzana NAV"",""MANZANA"",""99000772"",""44"","" "",""22"",""False"",""43"",""0.00000000000000000000"",""12"",""128oz empty glass bottle"",""50220"",""False"",""29"","""",""50210"",""False"",""18"","""",""11"",""P0013"",""2"",""20000"",""1"",""IJ024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024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8" s="15"/>
      <c r="D18" s="16" t="str">
        <f>"IJ024"</f>
        <v>IJ024</v>
      </c>
      <c r="E18" s="16">
        <v>20000</v>
      </c>
      <c r="F18" s="16" t="str">
        <f t="shared" si="3"/>
        <v>P0013</v>
      </c>
      <c r="G18" s="17" t="str">
        <f t="shared" si="4"/>
        <v>128oz empty glass bottle</v>
      </c>
      <c r="H18" s="18" t="str">
        <f t="shared" si="2"/>
        <v>BTLS</v>
      </c>
      <c r="I18" s="19">
        <v>1</v>
      </c>
      <c r="J18" s="20">
        <v>1</v>
      </c>
    </row>
    <row r="19" spans="1:10" ht="15.75" thickBot="1" x14ac:dyDescent="0.3">
      <c r="A19" t="s">
        <v>31</v>
      </c>
      <c r="B19" s="15" t="str">
        <f>"""Manzana NAV"",""MANZANA"",""99000772"",""44"","" "",""22"",""False"",""43"",""0.00000000000000000000"",""12"",""128oz empty glass bottle"",""50220"",""False"",""29"","""",""50210"",""False"",""18"","""",""11"",""P0013"",""2"",""20000"",""1"",""IJ028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028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9" s="15"/>
      <c r="D19" s="16" t="str">
        <f>"IJ028"</f>
        <v>IJ028</v>
      </c>
      <c r="E19" s="16">
        <v>20000</v>
      </c>
      <c r="F19" s="16" t="str">
        <f t="shared" si="3"/>
        <v>P0013</v>
      </c>
      <c r="G19" s="17" t="str">
        <f t="shared" si="4"/>
        <v>128oz empty glass bottle</v>
      </c>
      <c r="H19" s="18" t="str">
        <f t="shared" si="2"/>
        <v>BTLS</v>
      </c>
      <c r="I19" s="19">
        <v>1</v>
      </c>
      <c r="J19" s="20">
        <v>1</v>
      </c>
    </row>
    <row r="20" spans="1:10" ht="15.75" thickBot="1" x14ac:dyDescent="0.3">
      <c r="A20" t="s">
        <v>31</v>
      </c>
      <c r="B20" s="15" t="str">
        <f>"""Manzana NAV"",""MANZANA"",""99000772"",""44"","" "",""22"",""False"",""43"",""0.00000000000000000000"",""12"",""128oz empty glass bottle"",""50220"",""False"",""29"","""",""50210"",""False"",""18"","""",""11"",""P0013"",""2"",""20000"",""1"",""IJ029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029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" s="15"/>
      <c r="D20" s="16" t="str">
        <f>"IJ029"</f>
        <v>IJ029</v>
      </c>
      <c r="E20" s="16">
        <v>20000</v>
      </c>
      <c r="F20" s="16" t="str">
        <f t="shared" si="3"/>
        <v>P0013</v>
      </c>
      <c r="G20" s="17" t="str">
        <f t="shared" si="4"/>
        <v>128oz empty glass bottle</v>
      </c>
      <c r="H20" s="18" t="str">
        <f t="shared" si="2"/>
        <v>BTLS</v>
      </c>
      <c r="I20" s="19">
        <v>1</v>
      </c>
      <c r="J20" s="20">
        <v>1</v>
      </c>
    </row>
    <row r="21" spans="1:10" ht="15.75" thickBot="1" x14ac:dyDescent="0.3">
      <c r="A21" t="s">
        <v>31</v>
      </c>
      <c r="B21" s="15" t="str">
        <f>"""Manzana NAV"",""MANZANA"",""99000772"",""44"","" "",""22"",""False"",""43"",""0.00000000000000000000"",""12"",""128oz empty glass bottle"",""50220"",""False"",""29"","""",""50210"",""False"",""18"","""",""11"",""P0013"",""2"",""20000"",""1"",""IJ105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105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" s="15"/>
      <c r="D21" s="16" t="str">
        <f>"IJ105"</f>
        <v>IJ105</v>
      </c>
      <c r="E21" s="16">
        <v>20000</v>
      </c>
      <c r="F21" s="16" t="str">
        <f t="shared" si="3"/>
        <v>P0013</v>
      </c>
      <c r="G21" s="17" t="str">
        <f t="shared" si="4"/>
        <v>128oz empty glass bottle</v>
      </c>
      <c r="H21" s="18" t="str">
        <f t="shared" si="2"/>
        <v>BTLS</v>
      </c>
      <c r="I21" s="19">
        <v>1</v>
      </c>
      <c r="J21" s="20">
        <v>1</v>
      </c>
    </row>
    <row r="22" spans="1:10" ht="15.75" thickBot="1" x14ac:dyDescent="0.3">
      <c r="A22" t="s">
        <v>31</v>
      </c>
      <c r="B22" s="15" t="str">
        <f>"""Manzana NAV"",""MANZANA"",""99000772"",""44"","" "",""22"",""False"",""43"",""0.00000000000000000000"",""12"",""128oz empty glass bottle"",""50220"",""False"",""29"","""",""50210"",""False"",""18"","""",""11"",""P0013"",""2"",""30000"",""1"",""IJ113"",""14"",""4.00000000000000000000"",""45"",""4.0000000000000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30000","1","IJ113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22" s="15"/>
      <c r="D22" s="16" t="str">
        <f>"IJ113"</f>
        <v>IJ113</v>
      </c>
      <c r="E22" s="16">
        <v>30000</v>
      </c>
      <c r="F22" s="16" t="str">
        <f t="shared" si="3"/>
        <v>P0013</v>
      </c>
      <c r="G22" s="17" t="str">
        <f t="shared" si="4"/>
        <v>128oz empty glass bottle</v>
      </c>
      <c r="H22" s="18" t="str">
        <f t="shared" si="2"/>
        <v>BTLS</v>
      </c>
      <c r="I22" s="19">
        <v>4</v>
      </c>
      <c r="J22" s="20">
        <v>4</v>
      </c>
    </row>
    <row r="23" spans="1:10" ht="15.75" thickBot="1" x14ac:dyDescent="0.3">
      <c r="A23" t="s">
        <v>31</v>
      </c>
      <c r="B23" s="15" t="str">
        <f>"""Manzana NAV"",""MANZANA"",""99000772"",""44"","" "",""22"",""False"",""43"",""0.00000000000000000000"",""12"",""128oz empty PET vinegar bottle"",""50220"",""False"",""29"","""",""50210"",""False"",""18"","""",""11"",""P0014"",""2"",""20000"",""1"",""IV011"",""14"",""1.00000000000000000000"",""45"",""1.0000000"&amp;"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PET vinegar bottle","50220","False","29","","50210","False","18","","11","P0014","2","20000","1","IV011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3" s="15"/>
      <c r="D23" s="16" t="str">
        <f>"IV011"</f>
        <v>IV011</v>
      </c>
      <c r="E23" s="16">
        <v>20000</v>
      </c>
      <c r="F23" s="16" t="str">
        <f>"P0014"</f>
        <v>P0014</v>
      </c>
      <c r="G23" s="17" t="str">
        <f>"128oz empty PET vinegar bottle"</f>
        <v>128oz empty PET vinegar bottle</v>
      </c>
      <c r="H23" s="18" t="str">
        <f t="shared" si="2"/>
        <v>BTLS</v>
      </c>
      <c r="I23" s="19">
        <v>1</v>
      </c>
      <c r="J23" s="20">
        <v>1</v>
      </c>
    </row>
    <row r="24" spans="1:10" ht="15.75" thickBot="1" x14ac:dyDescent="0.3">
      <c r="A24" t="s">
        <v>31</v>
      </c>
      <c r="B24" s="15" t="str">
        <f>"""Manzana NAV"",""MANZANA"",""99000772"",""44"","" "",""22"",""False"",""43"",""0.00000000000000000000"",""12"",""16oz empty vinegar bottle"",""50220"",""False"",""29"","""",""50210"",""False"",""18"","""",""11"",""P0019"",""2"",""10000"",""1"",""IV001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4" s="15"/>
      <c r="D24" s="16" t="str">
        <f>"IV001"</f>
        <v>IV001</v>
      </c>
      <c r="E24" s="16">
        <v>10000</v>
      </c>
      <c r="F24" s="16" t="str">
        <f>"P0019"</f>
        <v>P0019</v>
      </c>
      <c r="G24" s="17" t="str">
        <f>"16oz empty vinegar bottle"</f>
        <v>16oz empty vinegar bottle</v>
      </c>
      <c r="H24" s="18" t="str">
        <f t="shared" si="2"/>
        <v>BTLS</v>
      </c>
      <c r="I24" s="19">
        <v>1</v>
      </c>
      <c r="J24" s="20">
        <v>1</v>
      </c>
    </row>
    <row r="25" spans="1:10" ht="15.75" thickBot="1" x14ac:dyDescent="0.3">
      <c r="A25" t="s">
        <v>31</v>
      </c>
      <c r="B25" s="15" t="str">
        <f>"""Manzana NAV"",""MANZANA"",""99000772"",""44"","" "",""22"",""False"",""43"",""0.00000000000000000000"",""12"",""16oz empty vinegar bottle"",""50220"",""False"",""29"","""",""50210"",""False"",""18"","""",""11"",""P0019"",""2"",""10000"",""1"",""IV002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5" s="15"/>
      <c r="D25" s="16" t="str">
        <f>"IV002"</f>
        <v>IV002</v>
      </c>
      <c r="E25" s="16">
        <v>10000</v>
      </c>
      <c r="F25" s="16" t="str">
        <f>"P0019"</f>
        <v>P0019</v>
      </c>
      <c r="G25" s="17" t="str">
        <f>"16oz empty vinegar bottle"</f>
        <v>16oz empty vinegar bottle</v>
      </c>
      <c r="H25" s="18" t="str">
        <f t="shared" si="2"/>
        <v>BTLS</v>
      </c>
      <c r="I25" s="19">
        <v>1</v>
      </c>
      <c r="J25" s="20">
        <v>1</v>
      </c>
    </row>
    <row r="26" spans="1:10" ht="15.75" thickBot="1" x14ac:dyDescent="0.3">
      <c r="A26" t="s">
        <v>31</v>
      </c>
      <c r="B26" s="15" t="str">
        <f>"""Manzana NAV"",""MANZANA"",""99000772"",""44"","" "",""22"",""False"",""43"",""0.00000000000000000000"",""12"",""16oz empty vinegar bottle"",""50220"",""False"",""29"","""",""50210"",""False"",""18"","""",""11"",""P0019"",""2"",""10000"",""1"",""IV005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6" s="15"/>
      <c r="D26" s="16" t="str">
        <f>"IV005"</f>
        <v>IV005</v>
      </c>
      <c r="E26" s="16">
        <v>10000</v>
      </c>
      <c r="F26" s="16" t="str">
        <f>"P0019"</f>
        <v>P0019</v>
      </c>
      <c r="G26" s="17" t="str">
        <f>"16oz empty vinegar bottle"</f>
        <v>16oz empty vinegar bottle</v>
      </c>
      <c r="H26" s="18" t="str">
        <f t="shared" si="2"/>
        <v>BTLS</v>
      </c>
      <c r="I26" s="19">
        <v>1</v>
      </c>
      <c r="J26" s="20">
        <v>1</v>
      </c>
    </row>
    <row r="27" spans="1:10" ht="15.75" thickBot="1" x14ac:dyDescent="0.3">
      <c r="A27" t="s">
        <v>31</v>
      </c>
      <c r="B27" s="15" t="str">
        <f>"""Manzana NAV"",""MANZANA"",""99000772"",""44"","" "",""22"",""False"",""43"",""0.00000000000000000000"",""12"",""16oz empty vinegar bottle"",""50220"",""False"",""29"","""",""50210"",""False"",""18"","""",""11"",""P0019"",""2"",""10000"",""1"",""IV007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7" s="15"/>
      <c r="D27" s="16" t="str">
        <f>"IV007"</f>
        <v>IV007</v>
      </c>
      <c r="E27" s="16">
        <v>10000</v>
      </c>
      <c r="F27" s="16" t="str">
        <f>"P0019"</f>
        <v>P0019</v>
      </c>
      <c r="G27" s="17" t="str">
        <f>"16oz empty vinegar bottle"</f>
        <v>16oz empty vinegar bottle</v>
      </c>
      <c r="H27" s="18" t="str">
        <f t="shared" si="2"/>
        <v>BTLS</v>
      </c>
      <c r="I27" s="19">
        <v>1</v>
      </c>
      <c r="J27" s="20">
        <v>1</v>
      </c>
    </row>
    <row r="28" spans="1:10" ht="15.75" thickBot="1" x14ac:dyDescent="0.3">
      <c r="A28" t="s">
        <v>31</v>
      </c>
      <c r="B28" s="15" t="str">
        <f>"""Manzana NAV"",""MANZANA"",""99000772"",""44"","" "",""22"",""False"",""43"",""0.00000000000000000000"",""12"",""16oz empty vinegar bottle"",""50220"",""False"",""29"","""",""50210"",""False"",""18"","""",""11"",""P0019"",""2"",""10000"",""1"",""IV009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8" s="15"/>
      <c r="D28" s="16" t="str">
        <f>"IV009"</f>
        <v>IV009</v>
      </c>
      <c r="E28" s="16">
        <v>10000</v>
      </c>
      <c r="F28" s="16" t="str">
        <f>"P0019"</f>
        <v>P0019</v>
      </c>
      <c r="G28" s="17" t="str">
        <f>"16oz empty vinegar bottle"</f>
        <v>16oz empty vinegar bottle</v>
      </c>
      <c r="H28" s="18" t="str">
        <f t="shared" si="2"/>
        <v>BTLS</v>
      </c>
      <c r="I28" s="19">
        <v>1</v>
      </c>
      <c r="J28" s="20">
        <v>1</v>
      </c>
    </row>
    <row r="29" spans="1:10" ht="15.75" thickBot="1" x14ac:dyDescent="0.3">
      <c r="A29" t="s">
        <v>31</v>
      </c>
      <c r="B29" s="15" t="str">
        <f>"""Manzana NAV"",""MANZANA"",""99000772"",""44"","" "",""22"",""False"",""43"",""0.00000000000000000000"",""12"",""24/16oz empty vinegar glass bottle - 24 PACK"",""50220"",""False"",""29"","""",""50210"",""False"",""18"","""",""11"",""P0029"",""2"",""10000"",""1"",""IV018"",""14"",""1.00000000000000000000"","""&amp;"45"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","22","False","43","0.00000000000000000000","12","24/16oz empty vinegar glass bottle - 24 PACK","50220","False","29","","50210","False","18","","11","P0029","2","10000","1","IV018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9" s="15"/>
      <c r="D29" s="16" t="str">
        <f>"IV018"</f>
        <v>IV018</v>
      </c>
      <c r="E29" s="16">
        <v>10000</v>
      </c>
      <c r="F29" s="16" t="str">
        <f>"P0029"</f>
        <v>P0029</v>
      </c>
      <c r="G29" s="17" t="str">
        <f>"24/16oz empty vinegar glass bottle - 24 PACK"</f>
        <v>24/16oz empty vinegar glass bottle - 24 PACK</v>
      </c>
      <c r="H29" s="18" t="str">
        <f t="shared" si="2"/>
        <v>BTLS</v>
      </c>
      <c r="I29" s="19">
        <v>1</v>
      </c>
      <c r="J29" s="20">
        <v>1</v>
      </c>
    </row>
    <row r="30" spans="1:10" ht="15.75" thickBot="1" x14ac:dyDescent="0.3">
      <c r="A30" t="s">
        <v>31</v>
      </c>
      <c r="B30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001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001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0" s="15"/>
      <c r="D30" s="16" t="str">
        <f>"ISJ001"</f>
        <v>ISJ001</v>
      </c>
      <c r="E30" s="16">
        <v>10000</v>
      </c>
      <c r="F30" s="16" t="str">
        <f t="shared" ref="F30:F59" si="5">"P0016"</f>
        <v>P0016</v>
      </c>
      <c r="G30" s="17" t="str">
        <f t="shared" ref="G30:G59" si="6">"24-25oz empty sauce glass jar"</f>
        <v>24-25oz empty sauce glass jar</v>
      </c>
      <c r="H30" s="18" t="str">
        <f t="shared" ref="H30:H59" si="7">"JARS"</f>
        <v>JARS</v>
      </c>
      <c r="I30" s="19">
        <v>1</v>
      </c>
      <c r="J30" s="20">
        <v>1</v>
      </c>
    </row>
    <row r="31" spans="1:10" ht="15.75" thickBot="1" x14ac:dyDescent="0.3">
      <c r="A31" t="s">
        <v>31</v>
      </c>
      <c r="B31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1" s="15"/>
      <c r="D31" s="16" t="str">
        <f>"ISJ003"</f>
        <v>ISJ003</v>
      </c>
      <c r="E31" s="16">
        <v>10000</v>
      </c>
      <c r="F31" s="16" t="str">
        <f t="shared" si="5"/>
        <v>P0016</v>
      </c>
      <c r="G31" s="17" t="str">
        <f t="shared" si="6"/>
        <v>24-25oz empty sauce glass jar</v>
      </c>
      <c r="H31" s="18" t="str">
        <f t="shared" si="7"/>
        <v>JARS</v>
      </c>
      <c r="I31" s="19">
        <v>1</v>
      </c>
      <c r="J31" s="20">
        <v>1</v>
      </c>
    </row>
    <row r="32" spans="1:10" ht="15.75" thickBot="1" x14ac:dyDescent="0.3">
      <c r="A32" t="s">
        <v>31</v>
      </c>
      <c r="B32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2" s="15"/>
      <c r="D32" s="16" t="str">
        <f>"ISJ005"</f>
        <v>ISJ005</v>
      </c>
      <c r="E32" s="16">
        <v>10000</v>
      </c>
      <c r="F32" s="16" t="str">
        <f t="shared" si="5"/>
        <v>P0016</v>
      </c>
      <c r="G32" s="17" t="str">
        <f t="shared" si="6"/>
        <v>24-25oz empty sauce glass jar</v>
      </c>
      <c r="H32" s="18" t="str">
        <f t="shared" si="7"/>
        <v>JARS</v>
      </c>
      <c r="I32" s="19">
        <v>1</v>
      </c>
      <c r="J32" s="20">
        <v>1</v>
      </c>
    </row>
    <row r="33" spans="1:10" ht="15.75" thickBot="1" x14ac:dyDescent="0.3">
      <c r="A33" t="s">
        <v>31</v>
      </c>
      <c r="B33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006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006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3" s="15"/>
      <c r="D33" s="16" t="str">
        <f>"ISJ006"</f>
        <v>ISJ006</v>
      </c>
      <c r="E33" s="16">
        <v>10000</v>
      </c>
      <c r="F33" s="16" t="str">
        <f t="shared" si="5"/>
        <v>P0016</v>
      </c>
      <c r="G33" s="17" t="str">
        <f t="shared" si="6"/>
        <v>24-25oz empty sauce glass jar</v>
      </c>
      <c r="H33" s="18" t="str">
        <f t="shared" si="7"/>
        <v>JARS</v>
      </c>
      <c r="I33" s="19">
        <v>1</v>
      </c>
      <c r="J33" s="20">
        <v>1</v>
      </c>
    </row>
    <row r="34" spans="1:10" ht="15.75" thickBot="1" x14ac:dyDescent="0.3">
      <c r="A34" t="s">
        <v>31</v>
      </c>
      <c r="B34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007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007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4" s="15"/>
      <c r="D34" s="16" t="str">
        <f>"ISJ007"</f>
        <v>ISJ007</v>
      </c>
      <c r="E34" s="16">
        <v>10000</v>
      </c>
      <c r="F34" s="16" t="str">
        <f t="shared" si="5"/>
        <v>P0016</v>
      </c>
      <c r="G34" s="17" t="str">
        <f t="shared" si="6"/>
        <v>24-25oz empty sauce glass jar</v>
      </c>
      <c r="H34" s="18" t="str">
        <f t="shared" si="7"/>
        <v>JARS</v>
      </c>
      <c r="I34" s="19">
        <v>1</v>
      </c>
      <c r="J34" s="20">
        <v>1</v>
      </c>
    </row>
    <row r="35" spans="1:10" ht="15.75" thickBot="1" x14ac:dyDescent="0.3">
      <c r="A35" t="s">
        <v>31</v>
      </c>
      <c r="B35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008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008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5" s="15"/>
      <c r="D35" s="16" t="str">
        <f>"ISJ008"</f>
        <v>ISJ008</v>
      </c>
      <c r="E35" s="16">
        <v>10000</v>
      </c>
      <c r="F35" s="16" t="str">
        <f t="shared" si="5"/>
        <v>P0016</v>
      </c>
      <c r="G35" s="17" t="str">
        <f t="shared" si="6"/>
        <v>24-25oz empty sauce glass jar</v>
      </c>
      <c r="H35" s="18" t="str">
        <f t="shared" si="7"/>
        <v>JARS</v>
      </c>
      <c r="I35" s="19">
        <v>1</v>
      </c>
      <c r="J35" s="20">
        <v>1</v>
      </c>
    </row>
    <row r="36" spans="1:10" ht="15.75" thickBot="1" x14ac:dyDescent="0.3">
      <c r="A36" t="s">
        <v>31</v>
      </c>
      <c r="B36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009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009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6" s="15"/>
      <c r="D36" s="16" t="str">
        <f>"ISJ009"</f>
        <v>ISJ009</v>
      </c>
      <c r="E36" s="16">
        <v>10000</v>
      </c>
      <c r="F36" s="16" t="str">
        <f t="shared" si="5"/>
        <v>P0016</v>
      </c>
      <c r="G36" s="17" t="str">
        <f t="shared" si="6"/>
        <v>24-25oz empty sauce glass jar</v>
      </c>
      <c r="H36" s="18" t="str">
        <f t="shared" si="7"/>
        <v>JARS</v>
      </c>
      <c r="I36" s="19">
        <v>1</v>
      </c>
      <c r="J36" s="20">
        <v>1</v>
      </c>
    </row>
    <row r="37" spans="1:10" ht="15.75" thickBot="1" x14ac:dyDescent="0.3">
      <c r="A37" t="s">
        <v>31</v>
      </c>
      <c r="B37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010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010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7" s="15"/>
      <c r="D37" s="16" t="str">
        <f>"ISJ010"</f>
        <v>ISJ010</v>
      </c>
      <c r="E37" s="16">
        <v>10000</v>
      </c>
      <c r="F37" s="16" t="str">
        <f t="shared" si="5"/>
        <v>P0016</v>
      </c>
      <c r="G37" s="17" t="str">
        <f t="shared" si="6"/>
        <v>24-25oz empty sauce glass jar</v>
      </c>
      <c r="H37" s="18" t="str">
        <f t="shared" si="7"/>
        <v>JARS</v>
      </c>
      <c r="I37" s="19">
        <v>1</v>
      </c>
      <c r="J37" s="20">
        <v>1</v>
      </c>
    </row>
    <row r="38" spans="1:10" ht="15.75" thickBot="1" x14ac:dyDescent="0.3">
      <c r="A38" t="s">
        <v>31</v>
      </c>
      <c r="B38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8" s="15"/>
      <c r="D38" s="16" t="str">
        <f>"ISJ013"</f>
        <v>ISJ013</v>
      </c>
      <c r="E38" s="16">
        <v>10000</v>
      </c>
      <c r="F38" s="16" t="str">
        <f t="shared" si="5"/>
        <v>P0016</v>
      </c>
      <c r="G38" s="17" t="str">
        <f t="shared" si="6"/>
        <v>24-25oz empty sauce glass jar</v>
      </c>
      <c r="H38" s="18" t="str">
        <f t="shared" si="7"/>
        <v>JARS</v>
      </c>
      <c r="I38" s="19">
        <v>1</v>
      </c>
      <c r="J38" s="20">
        <v>1</v>
      </c>
    </row>
    <row r="39" spans="1:10" ht="15.75" thickBot="1" x14ac:dyDescent="0.3">
      <c r="A39" t="s">
        <v>31</v>
      </c>
      <c r="B39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9" s="15"/>
      <c r="D39" s="16" t="str">
        <f>"ISJ014"</f>
        <v>ISJ014</v>
      </c>
      <c r="E39" s="16">
        <v>10000</v>
      </c>
      <c r="F39" s="16" t="str">
        <f t="shared" si="5"/>
        <v>P0016</v>
      </c>
      <c r="G39" s="17" t="str">
        <f t="shared" si="6"/>
        <v>24-25oz empty sauce glass jar</v>
      </c>
      <c r="H39" s="18" t="str">
        <f t="shared" si="7"/>
        <v>JARS</v>
      </c>
      <c r="I39" s="19">
        <v>1</v>
      </c>
      <c r="J39" s="20">
        <v>1</v>
      </c>
    </row>
    <row r="40" spans="1:10" ht="15.75" thickBot="1" x14ac:dyDescent="0.3">
      <c r="A40" t="s">
        <v>31</v>
      </c>
      <c r="B40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0" s="15"/>
      <c r="D40" s="16" t="str">
        <f>"ISJ015"</f>
        <v>ISJ015</v>
      </c>
      <c r="E40" s="16">
        <v>10000</v>
      </c>
      <c r="F40" s="16" t="str">
        <f t="shared" si="5"/>
        <v>P0016</v>
      </c>
      <c r="G40" s="17" t="str">
        <f t="shared" si="6"/>
        <v>24-25oz empty sauce glass jar</v>
      </c>
      <c r="H40" s="18" t="str">
        <f t="shared" si="7"/>
        <v>JARS</v>
      </c>
      <c r="I40" s="19">
        <v>1</v>
      </c>
      <c r="J40" s="20">
        <v>1</v>
      </c>
    </row>
    <row r="41" spans="1:10" ht="15.75" thickBot="1" x14ac:dyDescent="0.3">
      <c r="A41" t="s">
        <v>31</v>
      </c>
      <c r="B41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016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016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1" s="15"/>
      <c r="D41" s="16" t="str">
        <f>"ISJ016"</f>
        <v>ISJ016</v>
      </c>
      <c r="E41" s="16">
        <v>10000</v>
      </c>
      <c r="F41" s="16" t="str">
        <f t="shared" si="5"/>
        <v>P0016</v>
      </c>
      <c r="G41" s="17" t="str">
        <f t="shared" si="6"/>
        <v>24-25oz empty sauce glass jar</v>
      </c>
      <c r="H41" s="18" t="str">
        <f t="shared" si="7"/>
        <v>JARS</v>
      </c>
      <c r="I41" s="19">
        <v>1</v>
      </c>
      <c r="J41" s="20">
        <v>1</v>
      </c>
    </row>
    <row r="42" spans="1:10" ht="15.75" thickBot="1" x14ac:dyDescent="0.3">
      <c r="A42" t="s">
        <v>31</v>
      </c>
      <c r="B42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017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017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2" s="15"/>
      <c r="D42" s="16" t="str">
        <f>"ISJ017"</f>
        <v>ISJ017</v>
      </c>
      <c r="E42" s="16">
        <v>10000</v>
      </c>
      <c r="F42" s="16" t="str">
        <f t="shared" si="5"/>
        <v>P0016</v>
      </c>
      <c r="G42" s="17" t="str">
        <f t="shared" si="6"/>
        <v>24-25oz empty sauce glass jar</v>
      </c>
      <c r="H42" s="18" t="str">
        <f t="shared" si="7"/>
        <v>JARS</v>
      </c>
      <c r="I42" s="19">
        <v>1</v>
      </c>
      <c r="J42" s="20">
        <v>1</v>
      </c>
    </row>
    <row r="43" spans="1:10" ht="15.75" thickBot="1" x14ac:dyDescent="0.3">
      <c r="A43" t="s">
        <v>31</v>
      </c>
      <c r="B43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019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019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3" s="15"/>
      <c r="D43" s="16" t="str">
        <f>"ISJ019"</f>
        <v>ISJ019</v>
      </c>
      <c r="E43" s="16">
        <v>10000</v>
      </c>
      <c r="F43" s="16" t="str">
        <f t="shared" si="5"/>
        <v>P0016</v>
      </c>
      <c r="G43" s="17" t="str">
        <f t="shared" si="6"/>
        <v>24-25oz empty sauce glass jar</v>
      </c>
      <c r="H43" s="18" t="str">
        <f t="shared" si="7"/>
        <v>JARS</v>
      </c>
      <c r="I43" s="19">
        <v>1</v>
      </c>
      <c r="J43" s="20">
        <v>1</v>
      </c>
    </row>
    <row r="44" spans="1:10" ht="15.75" thickBot="1" x14ac:dyDescent="0.3">
      <c r="A44" t="s">
        <v>31</v>
      </c>
      <c r="B44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020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020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4" s="15"/>
      <c r="D44" s="16" t="str">
        <f>"ISJ020"</f>
        <v>ISJ020</v>
      </c>
      <c r="E44" s="16">
        <v>10000</v>
      </c>
      <c r="F44" s="16" t="str">
        <f t="shared" si="5"/>
        <v>P0016</v>
      </c>
      <c r="G44" s="17" t="str">
        <f t="shared" si="6"/>
        <v>24-25oz empty sauce glass jar</v>
      </c>
      <c r="H44" s="18" t="str">
        <f t="shared" si="7"/>
        <v>JARS</v>
      </c>
      <c r="I44" s="19">
        <v>1</v>
      </c>
      <c r="J44" s="20">
        <v>1</v>
      </c>
    </row>
    <row r="45" spans="1:10" ht="15.75" thickBot="1" x14ac:dyDescent="0.3">
      <c r="A45" t="s">
        <v>31</v>
      </c>
      <c r="B45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021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021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5" s="15"/>
      <c r="D45" s="16" t="str">
        <f>"ISJ021"</f>
        <v>ISJ021</v>
      </c>
      <c r="E45" s="16">
        <v>10000</v>
      </c>
      <c r="F45" s="16" t="str">
        <f t="shared" si="5"/>
        <v>P0016</v>
      </c>
      <c r="G45" s="17" t="str">
        <f t="shared" si="6"/>
        <v>24-25oz empty sauce glass jar</v>
      </c>
      <c r="H45" s="18" t="str">
        <f t="shared" si="7"/>
        <v>JARS</v>
      </c>
      <c r="I45" s="19">
        <v>1</v>
      </c>
      <c r="J45" s="20">
        <v>1</v>
      </c>
    </row>
    <row r="46" spans="1:10" ht="15.75" thickBot="1" x14ac:dyDescent="0.3">
      <c r="A46" t="s">
        <v>31</v>
      </c>
      <c r="B46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022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022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6" s="15"/>
      <c r="D46" s="16" t="str">
        <f>"ISJ022"</f>
        <v>ISJ022</v>
      </c>
      <c r="E46" s="16">
        <v>10000</v>
      </c>
      <c r="F46" s="16" t="str">
        <f t="shared" si="5"/>
        <v>P0016</v>
      </c>
      <c r="G46" s="17" t="str">
        <f t="shared" si="6"/>
        <v>24-25oz empty sauce glass jar</v>
      </c>
      <c r="H46" s="18" t="str">
        <f t="shared" si="7"/>
        <v>JARS</v>
      </c>
      <c r="I46" s="19">
        <v>1</v>
      </c>
      <c r="J46" s="20">
        <v>1</v>
      </c>
    </row>
    <row r="47" spans="1:10" ht="15.75" thickBot="1" x14ac:dyDescent="0.3">
      <c r="A47" t="s">
        <v>31</v>
      </c>
      <c r="B47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7" s="15"/>
      <c r="D47" s="16" t="str">
        <f>"ISJ023"</f>
        <v>ISJ023</v>
      </c>
      <c r="E47" s="16">
        <v>10000</v>
      </c>
      <c r="F47" s="16" t="str">
        <f t="shared" si="5"/>
        <v>P0016</v>
      </c>
      <c r="G47" s="17" t="str">
        <f t="shared" si="6"/>
        <v>24-25oz empty sauce glass jar</v>
      </c>
      <c r="H47" s="18" t="str">
        <f t="shared" si="7"/>
        <v>JARS</v>
      </c>
      <c r="I47" s="19">
        <v>1</v>
      </c>
      <c r="J47" s="20">
        <v>1</v>
      </c>
    </row>
    <row r="48" spans="1:10" ht="15.75" thickBot="1" x14ac:dyDescent="0.3">
      <c r="A48" t="s">
        <v>31</v>
      </c>
      <c r="B48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8" s="15"/>
      <c r="D48" s="16" t="str">
        <f>"ISJ024"</f>
        <v>ISJ024</v>
      </c>
      <c r="E48" s="16">
        <v>10000</v>
      </c>
      <c r="F48" s="16" t="str">
        <f t="shared" si="5"/>
        <v>P0016</v>
      </c>
      <c r="G48" s="17" t="str">
        <f t="shared" si="6"/>
        <v>24-25oz empty sauce glass jar</v>
      </c>
      <c r="H48" s="18" t="str">
        <f t="shared" si="7"/>
        <v>JARS</v>
      </c>
      <c r="I48" s="19">
        <v>1</v>
      </c>
      <c r="J48" s="20">
        <v>1</v>
      </c>
    </row>
    <row r="49" spans="1:10" ht="15.75" thickBot="1" x14ac:dyDescent="0.3">
      <c r="A49" t="s">
        <v>31</v>
      </c>
      <c r="B49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9" s="15"/>
      <c r="D49" s="16" t="str">
        <f>"ISJ025"</f>
        <v>ISJ025</v>
      </c>
      <c r="E49" s="16">
        <v>10000</v>
      </c>
      <c r="F49" s="16" t="str">
        <f t="shared" si="5"/>
        <v>P0016</v>
      </c>
      <c r="G49" s="17" t="str">
        <f t="shared" si="6"/>
        <v>24-25oz empty sauce glass jar</v>
      </c>
      <c r="H49" s="18" t="str">
        <f t="shared" si="7"/>
        <v>JARS</v>
      </c>
      <c r="I49" s="19">
        <v>1</v>
      </c>
      <c r="J49" s="20">
        <v>1</v>
      </c>
    </row>
    <row r="50" spans="1:10" ht="15.75" thickBot="1" x14ac:dyDescent="0.3">
      <c r="A50" t="s">
        <v>31</v>
      </c>
      <c r="B50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026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026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0" s="15"/>
      <c r="D50" s="16" t="str">
        <f>"ISJ026"</f>
        <v>ISJ026</v>
      </c>
      <c r="E50" s="16">
        <v>10000</v>
      </c>
      <c r="F50" s="16" t="str">
        <f t="shared" si="5"/>
        <v>P0016</v>
      </c>
      <c r="G50" s="17" t="str">
        <f t="shared" si="6"/>
        <v>24-25oz empty sauce glass jar</v>
      </c>
      <c r="H50" s="18" t="str">
        <f t="shared" si="7"/>
        <v>JARS</v>
      </c>
      <c r="I50" s="19">
        <v>1</v>
      </c>
      <c r="J50" s="20">
        <v>1</v>
      </c>
    </row>
    <row r="51" spans="1:10" ht="15.75" thickBot="1" x14ac:dyDescent="0.3">
      <c r="A51" t="s">
        <v>31</v>
      </c>
      <c r="B51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027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027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1" s="15"/>
      <c r="D51" s="16" t="str">
        <f>"ISJ027"</f>
        <v>ISJ027</v>
      </c>
      <c r="E51" s="16">
        <v>10000</v>
      </c>
      <c r="F51" s="16" t="str">
        <f t="shared" si="5"/>
        <v>P0016</v>
      </c>
      <c r="G51" s="17" t="str">
        <f t="shared" si="6"/>
        <v>24-25oz empty sauce glass jar</v>
      </c>
      <c r="H51" s="18" t="str">
        <f t="shared" si="7"/>
        <v>JARS</v>
      </c>
      <c r="I51" s="19">
        <v>1</v>
      </c>
      <c r="J51" s="20">
        <v>1</v>
      </c>
    </row>
    <row r="52" spans="1:10" ht="15.75" thickBot="1" x14ac:dyDescent="0.3">
      <c r="A52" t="s">
        <v>31</v>
      </c>
      <c r="B52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028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028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2" s="15"/>
      <c r="D52" s="16" t="str">
        <f>"ISJ028"</f>
        <v>ISJ028</v>
      </c>
      <c r="E52" s="16">
        <v>10000</v>
      </c>
      <c r="F52" s="16" t="str">
        <f t="shared" si="5"/>
        <v>P0016</v>
      </c>
      <c r="G52" s="17" t="str">
        <f t="shared" si="6"/>
        <v>24-25oz empty sauce glass jar</v>
      </c>
      <c r="H52" s="18" t="str">
        <f t="shared" si="7"/>
        <v>JARS</v>
      </c>
      <c r="I52" s="19">
        <v>1</v>
      </c>
      <c r="J52" s="20">
        <v>1</v>
      </c>
    </row>
    <row r="53" spans="1:10" ht="15.75" thickBot="1" x14ac:dyDescent="0.3">
      <c r="A53" t="s">
        <v>31</v>
      </c>
      <c r="B53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029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029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3" s="15"/>
      <c r="D53" s="16" t="str">
        <f>"ISJ029"</f>
        <v>ISJ029</v>
      </c>
      <c r="E53" s="16">
        <v>10000</v>
      </c>
      <c r="F53" s="16" t="str">
        <f t="shared" si="5"/>
        <v>P0016</v>
      </c>
      <c r="G53" s="17" t="str">
        <f t="shared" si="6"/>
        <v>24-25oz empty sauce glass jar</v>
      </c>
      <c r="H53" s="18" t="str">
        <f t="shared" si="7"/>
        <v>JARS</v>
      </c>
      <c r="I53" s="19">
        <v>1</v>
      </c>
      <c r="J53" s="20">
        <v>1</v>
      </c>
    </row>
    <row r="54" spans="1:10" ht="15.75" thickBot="1" x14ac:dyDescent="0.3">
      <c r="A54" t="s">
        <v>31</v>
      </c>
      <c r="B54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030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030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4" s="15"/>
      <c r="D54" s="16" t="str">
        <f>"ISJ030"</f>
        <v>ISJ030</v>
      </c>
      <c r="E54" s="16">
        <v>10000</v>
      </c>
      <c r="F54" s="16" t="str">
        <f t="shared" si="5"/>
        <v>P0016</v>
      </c>
      <c r="G54" s="17" t="str">
        <f t="shared" si="6"/>
        <v>24-25oz empty sauce glass jar</v>
      </c>
      <c r="H54" s="18" t="str">
        <f t="shared" si="7"/>
        <v>JARS</v>
      </c>
      <c r="I54" s="19">
        <v>1</v>
      </c>
      <c r="J54" s="20">
        <v>1</v>
      </c>
    </row>
    <row r="55" spans="1:10" ht="15.75" thickBot="1" x14ac:dyDescent="0.3">
      <c r="A55" t="s">
        <v>31</v>
      </c>
      <c r="B55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031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031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5" s="15"/>
      <c r="D55" s="16" t="str">
        <f>"ISJ031"</f>
        <v>ISJ031</v>
      </c>
      <c r="E55" s="16">
        <v>10000</v>
      </c>
      <c r="F55" s="16" t="str">
        <f t="shared" si="5"/>
        <v>P0016</v>
      </c>
      <c r="G55" s="17" t="str">
        <f t="shared" si="6"/>
        <v>24-25oz empty sauce glass jar</v>
      </c>
      <c r="H55" s="18" t="str">
        <f t="shared" si="7"/>
        <v>JARS</v>
      </c>
      <c r="I55" s="19">
        <v>1</v>
      </c>
      <c r="J55" s="20">
        <v>1</v>
      </c>
    </row>
    <row r="56" spans="1:10" ht="15.75" thickBot="1" x14ac:dyDescent="0.3">
      <c r="A56" t="s">
        <v>31</v>
      </c>
      <c r="B56" s="15" t="str">
        <f>"""Manzana NAV"",""MANZANA"",""99000772"",""44"","" "",""22"",""False"",""43"",""0.00000000000000000000"",""12"",""24-25oz empty sauce glass jar"",""50220"",""False"",""29"","""",""50210"",""False"",""18"","""",""11"",""P0016"",""2"",""10000"",""1"",""ISJ033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033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6" s="15"/>
      <c r="D56" s="16" t="str">
        <f>"ISJ033"</f>
        <v>ISJ033</v>
      </c>
      <c r="E56" s="16">
        <v>10000</v>
      </c>
      <c r="F56" s="16" t="str">
        <f t="shared" si="5"/>
        <v>P0016</v>
      </c>
      <c r="G56" s="17" t="str">
        <f t="shared" si="6"/>
        <v>24-25oz empty sauce glass jar</v>
      </c>
      <c r="H56" s="18" t="str">
        <f t="shared" si="7"/>
        <v>JARS</v>
      </c>
      <c r="I56" s="19">
        <v>1</v>
      </c>
      <c r="J56" s="20">
        <v>1</v>
      </c>
    </row>
    <row r="57" spans="1:10" ht="15.75" thickBot="1" x14ac:dyDescent="0.3">
      <c r="A57" t="s">
        <v>31</v>
      </c>
      <c r="B57" s="15" t="str">
        <f>"""Manzana NAV"",""MANZANA"",""99000772"",""44"","" "",""22"",""False"",""43"",""0.00000000000000000000"",""12"",""24-25oz empty sauce glass jar"",""50220"",""False"",""29"","""",""50210"",""False"",""18"","""",""11"",""P0016"",""2"",""20000"",""1"",""ISJ032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20000","1","ISJ032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7" s="15"/>
      <c r="D57" s="16" t="str">
        <f>"ISJ032"</f>
        <v>ISJ032</v>
      </c>
      <c r="E57" s="16">
        <v>20000</v>
      </c>
      <c r="F57" s="16" t="str">
        <f t="shared" si="5"/>
        <v>P0016</v>
      </c>
      <c r="G57" s="17" t="str">
        <f t="shared" si="6"/>
        <v>24-25oz empty sauce glass jar</v>
      </c>
      <c r="H57" s="18" t="str">
        <f t="shared" si="7"/>
        <v>JARS</v>
      </c>
      <c r="I57" s="19">
        <v>1</v>
      </c>
      <c r="J57" s="20">
        <v>1</v>
      </c>
    </row>
    <row r="58" spans="1:10" ht="15.75" thickBot="1" x14ac:dyDescent="0.3">
      <c r="A58" t="s">
        <v>31</v>
      </c>
      <c r="B58" s="15" t="str">
        <f>"""Manzana NAV"",""MANZANA"",""99000772"",""44"","" "",""22"",""False"",""43"",""0.00000000000000000000"",""12"",""24-25oz empty sauce glass jar"",""50220"",""False"",""29"","""",""50210"",""False"",""18"","""",""11"",""P0016"",""2"",""20000"",""1"",""ISJ034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20000","1","ISJ034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8" s="15"/>
      <c r="D58" s="16" t="str">
        <f>"ISJ034"</f>
        <v>ISJ034</v>
      </c>
      <c r="E58" s="16">
        <v>20000</v>
      </c>
      <c r="F58" s="16" t="str">
        <f t="shared" si="5"/>
        <v>P0016</v>
      </c>
      <c r="G58" s="17" t="str">
        <f t="shared" si="6"/>
        <v>24-25oz empty sauce glass jar</v>
      </c>
      <c r="H58" s="18" t="str">
        <f t="shared" si="7"/>
        <v>JARS</v>
      </c>
      <c r="I58" s="19">
        <v>1</v>
      </c>
      <c r="J58" s="20">
        <v>1</v>
      </c>
    </row>
    <row r="59" spans="1:10" ht="15.75" thickBot="1" x14ac:dyDescent="0.3">
      <c r="A59" t="s">
        <v>31</v>
      </c>
      <c r="B59" s="15" t="str">
        <f>"""Manzana NAV"",""MANZANA"",""99000772"",""44"","" "",""22"",""False"",""43"",""0.00000000000000000000"",""12"",""24-25oz empty sauce glass jar"",""50220"",""False"",""29"","""",""50210"",""False"",""18"","""",""11"",""P0016"",""2"",""20000"",""1"",""ISJ035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20000","1","ISJ035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9" s="15"/>
      <c r="D59" s="16" t="str">
        <f>"ISJ035"</f>
        <v>ISJ035</v>
      </c>
      <c r="E59" s="16">
        <v>20000</v>
      </c>
      <c r="F59" s="16" t="str">
        <f t="shared" si="5"/>
        <v>P0016</v>
      </c>
      <c r="G59" s="17" t="str">
        <f t="shared" si="6"/>
        <v>24-25oz empty sauce glass jar</v>
      </c>
      <c r="H59" s="18" t="str">
        <f t="shared" si="7"/>
        <v>JARS</v>
      </c>
      <c r="I59" s="19">
        <v>1</v>
      </c>
      <c r="J59" s="20">
        <v>1</v>
      </c>
    </row>
    <row r="60" spans="1:10" ht="15.75" thickBot="1" x14ac:dyDescent="0.3">
      <c r="A60" t="s">
        <v>31</v>
      </c>
      <c r="B60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001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0" s="15"/>
      <c r="D60" s="16" t="str">
        <f>"IV001"</f>
        <v>IV001</v>
      </c>
      <c r="E60" s="16">
        <v>20000</v>
      </c>
      <c r="F60" s="16" t="str">
        <f t="shared" ref="F60:F72" si="8">"P0007"</f>
        <v>P0007</v>
      </c>
      <c r="G60" s="17" t="str">
        <f t="shared" ref="G60:G72" si="9">"28mm Twist Cap for vinegar bottles"</f>
        <v>28mm Twist Cap for vinegar bottles</v>
      </c>
      <c r="H60" s="18" t="str">
        <f t="shared" ref="H60:H72" si="10">"CAPS"</f>
        <v>CAPS</v>
      </c>
      <c r="I60" s="19">
        <v>1</v>
      </c>
      <c r="J60" s="20">
        <v>1</v>
      </c>
    </row>
    <row r="61" spans="1:10" ht="15.75" thickBot="1" x14ac:dyDescent="0.3">
      <c r="A61" t="s">
        <v>31</v>
      </c>
      <c r="B61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002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1" s="15"/>
      <c r="D61" s="16" t="str">
        <f>"IV002"</f>
        <v>IV002</v>
      </c>
      <c r="E61" s="16">
        <v>20000</v>
      </c>
      <c r="F61" s="16" t="str">
        <f t="shared" si="8"/>
        <v>P0007</v>
      </c>
      <c r="G61" s="17" t="str">
        <f t="shared" si="9"/>
        <v>28mm Twist Cap for vinegar bottles</v>
      </c>
      <c r="H61" s="18" t="str">
        <f t="shared" si="10"/>
        <v>CAPS</v>
      </c>
      <c r="I61" s="19">
        <v>1</v>
      </c>
      <c r="J61" s="20">
        <v>1</v>
      </c>
    </row>
    <row r="62" spans="1:10" ht="15.75" thickBot="1" x14ac:dyDescent="0.3">
      <c r="A62" t="s">
        <v>31</v>
      </c>
      <c r="B62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003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2" s="15"/>
      <c r="D62" s="16" t="str">
        <f>"IV003"</f>
        <v>IV003</v>
      </c>
      <c r="E62" s="16">
        <v>20000</v>
      </c>
      <c r="F62" s="16" t="str">
        <f t="shared" si="8"/>
        <v>P0007</v>
      </c>
      <c r="G62" s="17" t="str">
        <f t="shared" si="9"/>
        <v>28mm Twist Cap for vinegar bottles</v>
      </c>
      <c r="H62" s="18" t="str">
        <f t="shared" si="10"/>
        <v>CAPS</v>
      </c>
      <c r="I62" s="19">
        <v>1</v>
      </c>
      <c r="J62" s="20">
        <v>1</v>
      </c>
    </row>
    <row r="63" spans="1:10" ht="15.75" thickBot="1" x14ac:dyDescent="0.3">
      <c r="A63" t="s">
        <v>31</v>
      </c>
      <c r="B63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004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3" s="15"/>
      <c r="D63" s="16" t="str">
        <f>"IV004"</f>
        <v>IV004</v>
      </c>
      <c r="E63" s="16">
        <v>20000</v>
      </c>
      <c r="F63" s="16" t="str">
        <f t="shared" si="8"/>
        <v>P0007</v>
      </c>
      <c r="G63" s="17" t="str">
        <f t="shared" si="9"/>
        <v>28mm Twist Cap for vinegar bottles</v>
      </c>
      <c r="H63" s="18" t="str">
        <f t="shared" si="10"/>
        <v>CAPS</v>
      </c>
      <c r="I63" s="19">
        <v>1</v>
      </c>
      <c r="J63" s="20">
        <v>1</v>
      </c>
    </row>
    <row r="64" spans="1:10" ht="15.75" thickBot="1" x14ac:dyDescent="0.3">
      <c r="A64" t="s">
        <v>31</v>
      </c>
      <c r="B64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005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4" s="15"/>
      <c r="D64" s="16" t="str">
        <f>"IV005"</f>
        <v>IV005</v>
      </c>
      <c r="E64" s="16">
        <v>20000</v>
      </c>
      <c r="F64" s="16" t="str">
        <f t="shared" si="8"/>
        <v>P0007</v>
      </c>
      <c r="G64" s="17" t="str">
        <f t="shared" si="9"/>
        <v>28mm Twist Cap for vinegar bottles</v>
      </c>
      <c r="H64" s="18" t="str">
        <f t="shared" si="10"/>
        <v>CAPS</v>
      </c>
      <c r="I64" s="19">
        <v>1</v>
      </c>
      <c r="J64" s="20">
        <v>1</v>
      </c>
    </row>
    <row r="65" spans="1:10" ht="15.75" thickBot="1" x14ac:dyDescent="0.3">
      <c r="A65" t="s">
        <v>31</v>
      </c>
      <c r="B65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007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5" s="15"/>
      <c r="D65" s="16" t="str">
        <f>"IV007"</f>
        <v>IV007</v>
      </c>
      <c r="E65" s="16">
        <v>20000</v>
      </c>
      <c r="F65" s="16" t="str">
        <f t="shared" si="8"/>
        <v>P0007</v>
      </c>
      <c r="G65" s="17" t="str">
        <f t="shared" si="9"/>
        <v>28mm Twist Cap for vinegar bottles</v>
      </c>
      <c r="H65" s="18" t="str">
        <f t="shared" si="10"/>
        <v>CAPS</v>
      </c>
      <c r="I65" s="19">
        <v>1</v>
      </c>
      <c r="J65" s="20">
        <v>1</v>
      </c>
    </row>
    <row r="66" spans="1:10" ht="15.75" thickBot="1" x14ac:dyDescent="0.3">
      <c r="A66" t="s">
        <v>31</v>
      </c>
      <c r="B66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008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6" s="15"/>
      <c r="D66" s="16" t="str">
        <f>"IV008"</f>
        <v>IV008</v>
      </c>
      <c r="E66" s="16">
        <v>20000</v>
      </c>
      <c r="F66" s="16" t="str">
        <f t="shared" si="8"/>
        <v>P0007</v>
      </c>
      <c r="G66" s="17" t="str">
        <f t="shared" si="9"/>
        <v>28mm Twist Cap for vinegar bottles</v>
      </c>
      <c r="H66" s="18" t="str">
        <f t="shared" si="10"/>
        <v>CAPS</v>
      </c>
      <c r="I66" s="19">
        <v>1</v>
      </c>
      <c r="J66" s="20">
        <v>1</v>
      </c>
    </row>
    <row r="67" spans="1:10" ht="15.75" thickBot="1" x14ac:dyDescent="0.3">
      <c r="A67" t="s">
        <v>31</v>
      </c>
      <c r="B67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009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7" s="15"/>
      <c r="D67" s="16" t="str">
        <f>"IV009"</f>
        <v>IV009</v>
      </c>
      <c r="E67" s="16">
        <v>20000</v>
      </c>
      <c r="F67" s="16" t="str">
        <f t="shared" si="8"/>
        <v>P0007</v>
      </c>
      <c r="G67" s="17" t="str">
        <f t="shared" si="9"/>
        <v>28mm Twist Cap for vinegar bottles</v>
      </c>
      <c r="H67" s="18" t="str">
        <f t="shared" si="10"/>
        <v>CAPS</v>
      </c>
      <c r="I67" s="19">
        <v>1</v>
      </c>
      <c r="J67" s="20">
        <v>1</v>
      </c>
    </row>
    <row r="68" spans="1:10" ht="15.75" thickBot="1" x14ac:dyDescent="0.3">
      <c r="A68" t="s">
        <v>31</v>
      </c>
      <c r="B68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010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8" s="15"/>
      <c r="D68" s="16" t="str">
        <f>"IV010"</f>
        <v>IV010</v>
      </c>
      <c r="E68" s="16">
        <v>20000</v>
      </c>
      <c r="F68" s="16" t="str">
        <f t="shared" si="8"/>
        <v>P0007</v>
      </c>
      <c r="G68" s="17" t="str">
        <f t="shared" si="9"/>
        <v>28mm Twist Cap for vinegar bottles</v>
      </c>
      <c r="H68" s="18" t="str">
        <f t="shared" si="10"/>
        <v>CAPS</v>
      </c>
      <c r="I68" s="19">
        <v>1</v>
      </c>
      <c r="J68" s="20">
        <v>1</v>
      </c>
    </row>
    <row r="69" spans="1:10" ht="15.75" thickBot="1" x14ac:dyDescent="0.3">
      <c r="A69" t="s">
        <v>31</v>
      </c>
      <c r="B69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014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9" s="15"/>
      <c r="D69" s="16" t="str">
        <f>"IV014"</f>
        <v>IV014</v>
      </c>
      <c r="E69" s="16">
        <v>20000</v>
      </c>
      <c r="F69" s="16" t="str">
        <f t="shared" si="8"/>
        <v>P0007</v>
      </c>
      <c r="G69" s="17" t="str">
        <f t="shared" si="9"/>
        <v>28mm Twist Cap for vinegar bottles</v>
      </c>
      <c r="H69" s="18" t="str">
        <f t="shared" si="10"/>
        <v>CAPS</v>
      </c>
      <c r="I69" s="19">
        <v>1</v>
      </c>
      <c r="J69" s="20">
        <v>1</v>
      </c>
    </row>
    <row r="70" spans="1:10" ht="15.75" thickBot="1" x14ac:dyDescent="0.3">
      <c r="A70" t="s">
        <v>31</v>
      </c>
      <c r="B70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015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70" s="15"/>
      <c r="D70" s="16" t="str">
        <f>"IV015"</f>
        <v>IV015</v>
      </c>
      <c r="E70" s="16">
        <v>20000</v>
      </c>
      <c r="F70" s="16" t="str">
        <f t="shared" si="8"/>
        <v>P0007</v>
      </c>
      <c r="G70" s="17" t="str">
        <f t="shared" si="9"/>
        <v>28mm Twist Cap for vinegar bottles</v>
      </c>
      <c r="H70" s="18" t="str">
        <f t="shared" si="10"/>
        <v>CAPS</v>
      </c>
      <c r="I70" s="19">
        <v>1</v>
      </c>
      <c r="J70" s="20">
        <v>1</v>
      </c>
    </row>
    <row r="71" spans="1:10" ht="15.75" thickBot="1" x14ac:dyDescent="0.3">
      <c r="A71" t="s">
        <v>31</v>
      </c>
      <c r="B71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017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71" s="15"/>
      <c r="D71" s="16" t="str">
        <f>"IV017"</f>
        <v>IV017</v>
      </c>
      <c r="E71" s="16">
        <v>20000</v>
      </c>
      <c r="F71" s="16" t="str">
        <f t="shared" si="8"/>
        <v>P0007</v>
      </c>
      <c r="G71" s="17" t="str">
        <f t="shared" si="9"/>
        <v>28mm Twist Cap for vinegar bottles</v>
      </c>
      <c r="H71" s="18" t="str">
        <f t="shared" si="10"/>
        <v>CAPS</v>
      </c>
      <c r="I71" s="19">
        <v>1</v>
      </c>
      <c r="J71" s="20">
        <v>1</v>
      </c>
    </row>
    <row r="72" spans="1:10" ht="15.75" thickBot="1" x14ac:dyDescent="0.3">
      <c r="A72" t="s">
        <v>31</v>
      </c>
      <c r="B72" s="15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018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72" s="15"/>
      <c r="D72" s="16" t="str">
        <f>"IV018"</f>
        <v>IV018</v>
      </c>
      <c r="E72" s="16">
        <v>20000</v>
      </c>
      <c r="F72" s="16" t="str">
        <f t="shared" si="8"/>
        <v>P0007</v>
      </c>
      <c r="G72" s="17" t="str">
        <f t="shared" si="9"/>
        <v>28mm Twist Cap for vinegar bottles</v>
      </c>
      <c r="H72" s="18" t="str">
        <f t="shared" si="10"/>
        <v>CAPS</v>
      </c>
      <c r="I72" s="19">
        <v>1</v>
      </c>
      <c r="J72" s="20">
        <v>1</v>
      </c>
    </row>
    <row r="73" spans="1:10" ht="15.75" thickBot="1" x14ac:dyDescent="0.3">
      <c r="A73" t="s">
        <v>31</v>
      </c>
      <c r="B73" s="15" t="str">
        <f>"""Manzana NAV"",""MANZANA"",""99000772"",""44"","" "",""22"",""False"",""43"",""0.00000000000000000000"",""12"",""32-33oz empty sauce glass jar"",""50220"",""False"",""29"","""",""50210"",""False"",""18"","""",""11"",""P0017"",""2"",""10000"",""1"",""ISJ012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","22","False","43","0.00000000000000000000","12","32-33oz empty sauce glass jar","50220","False","29","","50210","False","18","","11","P0017","2","10000","1","ISJ012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73" s="15"/>
      <c r="D73" s="16" t="str">
        <f>"ISJ012"</f>
        <v>ISJ012</v>
      </c>
      <c r="E73" s="16">
        <v>10000</v>
      </c>
      <c r="F73" s="16" t="str">
        <f>"P0017"</f>
        <v>P0017</v>
      </c>
      <c r="G73" s="17" t="str">
        <f>"32-33oz empty sauce glass jar"</f>
        <v>32-33oz empty sauce glass jar</v>
      </c>
      <c r="H73" s="18" t="str">
        <f>"JARS"</f>
        <v>JARS</v>
      </c>
      <c r="I73" s="19">
        <v>1</v>
      </c>
      <c r="J73" s="20">
        <v>1</v>
      </c>
    </row>
    <row r="74" spans="1:10" ht="15.75" thickBot="1" x14ac:dyDescent="0.3">
      <c r="A74" t="s">
        <v>31</v>
      </c>
      <c r="B74" s="15" t="str">
        <f>"""Manzana NAV"",""MANZANA"",""99000772"",""44"","" "",""22"",""False"",""43"",""0.00000000000000000000"",""12"",""32-33oz empty sauce glass jar"",""50220"",""False"",""29"","""",""50210"",""False"",""18"","""",""11"",""P0017"",""2"",""20000"",""1"",""ISJ004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","22","False","43","0.00000000000000000000","12","32-33oz empty sauce glass jar","50220","False","29","","50210","False","18","","11","P0017","2","20000","1","ISJ004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74" s="15"/>
      <c r="D74" s="16" t="str">
        <f>"ISJ004"</f>
        <v>ISJ004</v>
      </c>
      <c r="E74" s="16">
        <v>20000</v>
      </c>
      <c r="F74" s="16" t="str">
        <f>"P0017"</f>
        <v>P0017</v>
      </c>
      <c r="G74" s="17" t="str">
        <f>"32-33oz empty sauce glass jar"</f>
        <v>32-33oz empty sauce glass jar</v>
      </c>
      <c r="H74" s="18" t="str">
        <f>"JARS"</f>
        <v>JARS</v>
      </c>
      <c r="I74" s="19">
        <v>1</v>
      </c>
      <c r="J74" s="20">
        <v>1</v>
      </c>
    </row>
    <row r="75" spans="1:10" ht="15.75" thickBot="1" x14ac:dyDescent="0.3">
      <c r="A75" t="s">
        <v>31</v>
      </c>
      <c r="B75" s="15" t="str">
        <f>"""Manzana NAV"",""MANZANA"",""99000772"",""44"","" "",""22"",""False"",""43"",""0.00000000000000000000"",""12"",""32oz empty AMBER vinegar glass bottle"",""50220"",""False"",""29"","""",""50210"",""False"",""18"","""",""11"",""P0028"",""2"",""10000"",""1"",""IV017"",""14"",""1.00000000000000000000"",""45"",""1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AMBER vinegar glass bottle","50220","False","29","","50210","False","18","","11","P0028","2","10000","1","IV017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5" s="15"/>
      <c r="D75" s="16" t="str">
        <f>"IV017"</f>
        <v>IV017</v>
      </c>
      <c r="E75" s="16">
        <v>10000</v>
      </c>
      <c r="F75" s="16" t="str">
        <f>"P0028"</f>
        <v>P0028</v>
      </c>
      <c r="G75" s="17" t="str">
        <f>"32oz empty AMBER vinegar glass bottle"</f>
        <v>32oz empty AMBER vinegar glass bottle</v>
      </c>
      <c r="H75" s="18" t="str">
        <f t="shared" ref="H75:H95" si="11">"BTLS"</f>
        <v>BTLS</v>
      </c>
      <c r="I75" s="19">
        <v>1</v>
      </c>
      <c r="J75" s="20">
        <v>1</v>
      </c>
    </row>
    <row r="76" spans="1:10" ht="15.75" thickBot="1" x14ac:dyDescent="0.3">
      <c r="A76" t="s">
        <v>31</v>
      </c>
      <c r="B76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002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002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6" s="15"/>
      <c r="D76" s="16" t="str">
        <f>"IJ002"</f>
        <v>IJ002</v>
      </c>
      <c r="E76" s="16">
        <v>10000</v>
      </c>
      <c r="F76" s="16" t="str">
        <f t="shared" ref="F76:F89" si="12">"P0009"</f>
        <v>P0009</v>
      </c>
      <c r="G76" s="17" t="str">
        <f t="shared" ref="G76:G88" si="13">"32oz empty glass juice bottle"</f>
        <v>32oz empty glass juice bottle</v>
      </c>
      <c r="H76" s="18" t="str">
        <f t="shared" si="11"/>
        <v>BTLS</v>
      </c>
      <c r="I76" s="19">
        <v>1</v>
      </c>
      <c r="J76" s="20">
        <v>1</v>
      </c>
    </row>
    <row r="77" spans="1:10" ht="15.75" thickBot="1" x14ac:dyDescent="0.3">
      <c r="A77" t="s">
        <v>31</v>
      </c>
      <c r="B77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015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015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7" s="15"/>
      <c r="D77" s="16" t="str">
        <f>"IJ015"</f>
        <v>IJ015</v>
      </c>
      <c r="E77" s="16">
        <v>10000</v>
      </c>
      <c r="F77" s="16" t="str">
        <f t="shared" si="12"/>
        <v>P0009</v>
      </c>
      <c r="G77" s="17" t="str">
        <f t="shared" si="13"/>
        <v>32oz empty glass juice bottle</v>
      </c>
      <c r="H77" s="18" t="str">
        <f t="shared" si="11"/>
        <v>BTLS</v>
      </c>
      <c r="I77" s="19">
        <v>1</v>
      </c>
      <c r="J77" s="20">
        <v>1</v>
      </c>
    </row>
    <row r="78" spans="1:10" ht="15.75" thickBot="1" x14ac:dyDescent="0.3">
      <c r="A78" t="s">
        <v>31</v>
      </c>
      <c r="B78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017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017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8" s="15"/>
      <c r="D78" s="16" t="str">
        <f>"IJ017"</f>
        <v>IJ017</v>
      </c>
      <c r="E78" s="16">
        <v>10000</v>
      </c>
      <c r="F78" s="16" t="str">
        <f t="shared" si="12"/>
        <v>P0009</v>
      </c>
      <c r="G78" s="17" t="str">
        <f t="shared" si="13"/>
        <v>32oz empty glass juice bottle</v>
      </c>
      <c r="H78" s="18" t="str">
        <f t="shared" si="11"/>
        <v>BTLS</v>
      </c>
      <c r="I78" s="19">
        <v>1</v>
      </c>
      <c r="J78" s="20">
        <v>1</v>
      </c>
    </row>
    <row r="79" spans="1:10" ht="15.75" thickBot="1" x14ac:dyDescent="0.3">
      <c r="A79" t="s">
        <v>31</v>
      </c>
      <c r="B79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018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018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9" s="15"/>
      <c r="D79" s="16" t="str">
        <f>"IJ018"</f>
        <v>IJ018</v>
      </c>
      <c r="E79" s="16">
        <v>10000</v>
      </c>
      <c r="F79" s="16" t="str">
        <f t="shared" si="12"/>
        <v>P0009</v>
      </c>
      <c r="G79" s="17" t="str">
        <f t="shared" si="13"/>
        <v>32oz empty glass juice bottle</v>
      </c>
      <c r="H79" s="18" t="str">
        <f t="shared" si="11"/>
        <v>BTLS</v>
      </c>
      <c r="I79" s="19">
        <v>1</v>
      </c>
      <c r="J79" s="20">
        <v>1</v>
      </c>
    </row>
    <row r="80" spans="1:10" ht="15.75" thickBot="1" x14ac:dyDescent="0.3">
      <c r="A80" t="s">
        <v>31</v>
      </c>
      <c r="B80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020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020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0" s="15"/>
      <c r="D80" s="16" t="str">
        <f>"IJ020"</f>
        <v>IJ020</v>
      </c>
      <c r="E80" s="16">
        <v>10000</v>
      </c>
      <c r="F80" s="16" t="str">
        <f t="shared" si="12"/>
        <v>P0009</v>
      </c>
      <c r="G80" s="17" t="str">
        <f t="shared" si="13"/>
        <v>32oz empty glass juice bottle</v>
      </c>
      <c r="H80" s="18" t="str">
        <f t="shared" si="11"/>
        <v>BTLS</v>
      </c>
      <c r="I80" s="19">
        <v>1</v>
      </c>
      <c r="J80" s="20">
        <v>1</v>
      </c>
    </row>
    <row r="81" spans="1:10" ht="15.75" thickBot="1" x14ac:dyDescent="0.3">
      <c r="A81" t="s">
        <v>31</v>
      </c>
      <c r="B81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102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102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1" s="15"/>
      <c r="D81" s="16" t="str">
        <f>"IJ102"</f>
        <v>IJ102</v>
      </c>
      <c r="E81" s="16">
        <v>10000</v>
      </c>
      <c r="F81" s="16" t="str">
        <f t="shared" si="12"/>
        <v>P0009</v>
      </c>
      <c r="G81" s="17" t="str">
        <f t="shared" si="13"/>
        <v>32oz empty glass juice bottle</v>
      </c>
      <c r="H81" s="18" t="str">
        <f t="shared" si="11"/>
        <v>BTLS</v>
      </c>
      <c r="I81" s="19">
        <v>1</v>
      </c>
      <c r="J81" s="20">
        <v>1</v>
      </c>
    </row>
    <row r="82" spans="1:10" ht="15.75" thickBot="1" x14ac:dyDescent="0.3">
      <c r="A82" t="s">
        <v>31</v>
      </c>
      <c r="B82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107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107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2" s="15"/>
      <c r="D82" s="16" t="str">
        <f>"IJ107"</f>
        <v>IJ107</v>
      </c>
      <c r="E82" s="16">
        <v>10000</v>
      </c>
      <c r="F82" s="16" t="str">
        <f t="shared" si="12"/>
        <v>P0009</v>
      </c>
      <c r="G82" s="17" t="str">
        <f t="shared" si="13"/>
        <v>32oz empty glass juice bottle</v>
      </c>
      <c r="H82" s="18" t="str">
        <f t="shared" si="11"/>
        <v>BTLS</v>
      </c>
      <c r="I82" s="19">
        <v>1</v>
      </c>
      <c r="J82" s="20">
        <v>1</v>
      </c>
    </row>
    <row r="83" spans="1:10" ht="15.75" thickBot="1" x14ac:dyDescent="0.3">
      <c r="A83" t="s">
        <v>31</v>
      </c>
      <c r="B83" s="15" t="str">
        <f>"""Manzana NAV"",""MANZANA"",""99000772"",""44"","" "",""22"",""False"",""43"",""0.00000000000000000000"",""12"",""32oz empty glass juice bottle"",""50220"",""False"",""29"","""",""50210"",""False"",""18"","""",""11"",""P0009"",""2"",""10000"",""1"",""IJ111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111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3" s="15"/>
      <c r="D83" s="16" t="str">
        <f>"IJ111"</f>
        <v>IJ111</v>
      </c>
      <c r="E83" s="16">
        <v>10000</v>
      </c>
      <c r="F83" s="16" t="str">
        <f t="shared" si="12"/>
        <v>P0009</v>
      </c>
      <c r="G83" s="17" t="str">
        <f t="shared" si="13"/>
        <v>32oz empty glass juice bottle</v>
      </c>
      <c r="H83" s="18" t="str">
        <f t="shared" si="11"/>
        <v>BTLS</v>
      </c>
      <c r="I83" s="19">
        <v>1</v>
      </c>
      <c r="J83" s="20">
        <v>1</v>
      </c>
    </row>
    <row r="84" spans="1:10" ht="15.75" thickBot="1" x14ac:dyDescent="0.3">
      <c r="A84" t="s">
        <v>31</v>
      </c>
      <c r="B84" s="15" t="str">
        <f>"""Manzana NAV"",""MANZANA"",""99000772"",""44"","" "",""22"",""False"",""43"",""0.00000000000000000000"",""12"",""32oz empty glass juice bottle"",""50220"",""False"",""29"","""",""50210"",""False"",""18"","""",""11"",""P0009"",""2"",""20000"",""1"",""IJ011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011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4" s="15"/>
      <c r="D84" s="16" t="str">
        <f>"IJ011"</f>
        <v>IJ011</v>
      </c>
      <c r="E84" s="16">
        <v>20000</v>
      </c>
      <c r="F84" s="16" t="str">
        <f t="shared" si="12"/>
        <v>P0009</v>
      </c>
      <c r="G84" s="17" t="str">
        <f t="shared" si="13"/>
        <v>32oz empty glass juice bottle</v>
      </c>
      <c r="H84" s="18" t="str">
        <f t="shared" si="11"/>
        <v>BTLS</v>
      </c>
      <c r="I84" s="19">
        <v>1</v>
      </c>
      <c r="J84" s="20">
        <v>1</v>
      </c>
    </row>
    <row r="85" spans="1:10" ht="15.75" thickBot="1" x14ac:dyDescent="0.3">
      <c r="A85" t="s">
        <v>31</v>
      </c>
      <c r="B85" s="15" t="str">
        <f>"""Manzana NAV"",""MANZANA"",""99000772"",""44"","" "",""22"",""False"",""43"",""0.00000000000000000000"",""12"",""32oz empty glass juice bottle"",""50220"",""False"",""29"","""",""50210"",""False"",""18"","""",""11"",""P0009"",""2"",""20000"",""1"",""IJ012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012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5" s="15"/>
      <c r="D85" s="16" t="str">
        <f>"IJ012"</f>
        <v>IJ012</v>
      </c>
      <c r="E85" s="16">
        <v>20000</v>
      </c>
      <c r="F85" s="16" t="str">
        <f t="shared" si="12"/>
        <v>P0009</v>
      </c>
      <c r="G85" s="17" t="str">
        <f t="shared" si="13"/>
        <v>32oz empty glass juice bottle</v>
      </c>
      <c r="H85" s="18" t="str">
        <f t="shared" si="11"/>
        <v>BTLS</v>
      </c>
      <c r="I85" s="19">
        <v>1</v>
      </c>
      <c r="J85" s="20">
        <v>1</v>
      </c>
    </row>
    <row r="86" spans="1:10" ht="15.75" thickBot="1" x14ac:dyDescent="0.3">
      <c r="A86" t="s">
        <v>31</v>
      </c>
      <c r="B86" s="15" t="str">
        <f>"""Manzana NAV"",""MANZANA"",""99000772"",""44"","" "",""22"",""False"",""43"",""0.00000000000000000000"",""12"",""32oz empty glass juice bottle"",""50220"",""False"",""29"","""",""50210"",""False"",""18"","""",""11"",""P0009"",""2"",""20000"",""1"",""IJ013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013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6" s="15"/>
      <c r="D86" s="16" t="str">
        <f>"IJ013"</f>
        <v>IJ013</v>
      </c>
      <c r="E86" s="16">
        <v>20000</v>
      </c>
      <c r="F86" s="16" t="str">
        <f t="shared" si="12"/>
        <v>P0009</v>
      </c>
      <c r="G86" s="17" t="str">
        <f t="shared" si="13"/>
        <v>32oz empty glass juice bottle</v>
      </c>
      <c r="H86" s="18" t="str">
        <f t="shared" si="11"/>
        <v>BTLS</v>
      </c>
      <c r="I86" s="19">
        <v>1</v>
      </c>
      <c r="J86" s="20">
        <v>1</v>
      </c>
    </row>
    <row r="87" spans="1:10" ht="15.75" thickBot="1" x14ac:dyDescent="0.3">
      <c r="A87" t="s">
        <v>31</v>
      </c>
      <c r="B87" s="15" t="str">
        <f>"""Manzana NAV"",""MANZANA"",""99000772"",""44"","" "",""22"",""False"",""43"",""0.00000000000000000000"",""12"",""32oz empty glass juice bottle"",""50220"",""False"",""29"","""",""50210"",""False"",""18"","""",""11"",""P0009"",""2"",""20000"",""1"",""IJ039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039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7" s="15"/>
      <c r="D87" s="16" t="str">
        <f>"IJ039"</f>
        <v>IJ039</v>
      </c>
      <c r="E87" s="16">
        <v>20000</v>
      </c>
      <c r="F87" s="16" t="str">
        <f t="shared" si="12"/>
        <v>P0009</v>
      </c>
      <c r="G87" s="17" t="str">
        <f t="shared" si="13"/>
        <v>32oz empty glass juice bottle</v>
      </c>
      <c r="H87" s="18" t="str">
        <f t="shared" si="11"/>
        <v>BTLS</v>
      </c>
      <c r="I87" s="19">
        <v>1</v>
      </c>
      <c r="J87" s="20">
        <v>1</v>
      </c>
    </row>
    <row r="88" spans="1:10" ht="15.75" thickBot="1" x14ac:dyDescent="0.3">
      <c r="A88" t="s">
        <v>31</v>
      </c>
      <c r="B88" s="15" t="str">
        <f>"""Manzana NAV"",""MANZANA"",""99000772"",""44"","" "",""22"",""False"",""43"",""0.00000000000000000000"",""12"",""32oz empty glass juice bottle"",""50220"",""False"",""29"","""",""50210"",""False"",""18"","""",""11"",""P0009"",""2"",""30000"",""1"",""IJ010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30000","1","IJ010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8" s="15"/>
      <c r="D88" s="16" t="str">
        <f>"IJ010"</f>
        <v>IJ010</v>
      </c>
      <c r="E88" s="16">
        <v>30000</v>
      </c>
      <c r="F88" s="16" t="str">
        <f t="shared" si="12"/>
        <v>P0009</v>
      </c>
      <c r="G88" s="17" t="str">
        <f t="shared" si="13"/>
        <v>32oz empty glass juice bottle</v>
      </c>
      <c r="H88" s="18" t="str">
        <f t="shared" si="11"/>
        <v>BTLS</v>
      </c>
      <c r="I88" s="19">
        <v>1</v>
      </c>
      <c r="J88" s="20">
        <v>1</v>
      </c>
    </row>
    <row r="89" spans="1:10" ht="15.75" thickBot="1" x14ac:dyDescent="0.3">
      <c r="A89" t="s">
        <v>31</v>
      </c>
      <c r="B89" s="15" t="str">
        <f>"""Manzana NAV"",""MANZANA"",""99000772"",""44"","" "",""22"",""False"",""43"",""0.00000000000000000000"",""12"",""32oz empty glass juice bottle-diamnd nck"",""50220"",""False"",""29"","""",""50210"",""False"",""18"","""",""11"",""P0009"",""2"",""10000"",""1"",""IJT000"",""14"",""1.00000000000000000000"",""45"""&amp;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bottle-diamnd nck","50220","False","29","","50210","False","18","","11","P0009","2","10000","1","IJT000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9" s="15"/>
      <c r="D89" s="16" t="str">
        <f>"IJT000"</f>
        <v>IJT000</v>
      </c>
      <c r="E89" s="16">
        <v>10000</v>
      </c>
      <c r="F89" s="16" t="str">
        <f t="shared" si="12"/>
        <v>P0009</v>
      </c>
      <c r="G89" s="17" t="str">
        <f>"32oz empty glass juice bottle-diamnd nck"</f>
        <v>32oz empty glass juice bottle-diamnd nck</v>
      </c>
      <c r="H89" s="18" t="str">
        <f t="shared" si="11"/>
        <v>BTLS</v>
      </c>
      <c r="I89" s="19">
        <v>1</v>
      </c>
      <c r="J89" s="20">
        <v>1</v>
      </c>
    </row>
    <row r="90" spans="1:10" ht="15.75" thickBot="1" x14ac:dyDescent="0.3">
      <c r="A90" t="s">
        <v>31</v>
      </c>
      <c r="B90" s="15" t="str">
        <f>"""Manzana NAV"",""MANZANA"",""99000772"",""44"","" "",""22"",""False"",""43"",""0.00000000000000000000"",""12"",""32oz empty vinegar bottle"",""50220"",""False"",""29"","""",""50210"",""False"",""18"","""",""11"",""P0020"",""2"",""10000"",""1"",""IV003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003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0" s="15"/>
      <c r="D90" s="16" t="str">
        <f>"IV003"</f>
        <v>IV003</v>
      </c>
      <c r="E90" s="16">
        <v>10000</v>
      </c>
      <c r="F90" s="16" t="str">
        <f t="shared" ref="F90:F95" si="14">"P0020"</f>
        <v>P0020</v>
      </c>
      <c r="G90" s="17" t="str">
        <f t="shared" ref="G90:G95" si="15">"32oz empty vinegar bottle"</f>
        <v>32oz empty vinegar bottle</v>
      </c>
      <c r="H90" s="18" t="str">
        <f t="shared" si="11"/>
        <v>BTLS</v>
      </c>
      <c r="I90" s="19">
        <v>1</v>
      </c>
      <c r="J90" s="20">
        <v>1</v>
      </c>
    </row>
    <row r="91" spans="1:10" ht="15.75" thickBot="1" x14ac:dyDescent="0.3">
      <c r="A91" t="s">
        <v>31</v>
      </c>
      <c r="B91" s="15" t="str">
        <f>"""Manzana NAV"",""MANZANA"",""99000772"",""44"","" "",""22"",""False"",""43"",""0.00000000000000000000"",""12"",""32oz empty vinegar bottle"",""50220"",""False"",""29"","""",""50210"",""False"",""18"","""",""11"",""P0020"",""2"",""10000"",""1"",""IV004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004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1" s="15"/>
      <c r="D91" s="16" t="str">
        <f>"IV004"</f>
        <v>IV004</v>
      </c>
      <c r="E91" s="16">
        <v>10000</v>
      </c>
      <c r="F91" s="16" t="str">
        <f t="shared" si="14"/>
        <v>P0020</v>
      </c>
      <c r="G91" s="17" t="str">
        <f t="shared" si="15"/>
        <v>32oz empty vinegar bottle</v>
      </c>
      <c r="H91" s="18" t="str">
        <f t="shared" si="11"/>
        <v>BTLS</v>
      </c>
      <c r="I91" s="19">
        <v>1</v>
      </c>
      <c r="J91" s="20">
        <v>1</v>
      </c>
    </row>
    <row r="92" spans="1:10" ht="15.75" thickBot="1" x14ac:dyDescent="0.3">
      <c r="A92" t="s">
        <v>31</v>
      </c>
      <c r="B92" s="15" t="str">
        <f>"""Manzana NAV"",""MANZANA"",""99000772"",""44"","" "",""22"",""False"",""43"",""0.00000000000000000000"",""12"",""32oz empty vinegar bottle"",""50220"",""False"",""29"","""",""50210"",""False"",""18"","""",""11"",""P0020"",""2"",""10000"",""1"",""IV008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008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2" s="15"/>
      <c r="D92" s="16" t="str">
        <f>"IV008"</f>
        <v>IV008</v>
      </c>
      <c r="E92" s="16">
        <v>10000</v>
      </c>
      <c r="F92" s="16" t="str">
        <f t="shared" si="14"/>
        <v>P0020</v>
      </c>
      <c r="G92" s="17" t="str">
        <f t="shared" si="15"/>
        <v>32oz empty vinegar bottle</v>
      </c>
      <c r="H92" s="18" t="str">
        <f t="shared" si="11"/>
        <v>BTLS</v>
      </c>
      <c r="I92" s="19">
        <v>1</v>
      </c>
      <c r="J92" s="20">
        <v>1</v>
      </c>
    </row>
    <row r="93" spans="1:10" ht="15.75" thickBot="1" x14ac:dyDescent="0.3">
      <c r="A93" t="s">
        <v>31</v>
      </c>
      <c r="B93" s="15" t="str">
        <f>"""Manzana NAV"",""MANZANA"",""99000772"",""44"","" "",""22"",""False"",""43"",""0.00000000000000000000"",""12"",""32oz empty vinegar bottle"",""50220"",""False"",""29"","""",""50210"",""False"",""18"","""",""11"",""P0020"",""2"",""10000"",""1"",""IV010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010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3" s="15"/>
      <c r="D93" s="16" t="str">
        <f>"IV010"</f>
        <v>IV010</v>
      </c>
      <c r="E93" s="16">
        <v>10000</v>
      </c>
      <c r="F93" s="16" t="str">
        <f t="shared" si="14"/>
        <v>P0020</v>
      </c>
      <c r="G93" s="17" t="str">
        <f t="shared" si="15"/>
        <v>32oz empty vinegar bottle</v>
      </c>
      <c r="H93" s="18" t="str">
        <f t="shared" si="11"/>
        <v>BTLS</v>
      </c>
      <c r="I93" s="19">
        <v>1</v>
      </c>
      <c r="J93" s="20">
        <v>1</v>
      </c>
    </row>
    <row r="94" spans="1:10" ht="15.75" thickBot="1" x14ac:dyDescent="0.3">
      <c r="A94" t="s">
        <v>31</v>
      </c>
      <c r="B94" s="15" t="str">
        <f>"""Manzana NAV"",""MANZANA"",""99000772"",""44"","" "",""22"",""False"",""43"",""0.00000000000000000000"",""12"",""32oz empty vinegar bottle"",""50220"",""False"",""29"","""",""50210"",""False"",""18"","""",""11"",""P0020"",""2"",""10000"",""1"",""IV014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014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4" s="15"/>
      <c r="D94" s="16" t="str">
        <f>"IV014"</f>
        <v>IV014</v>
      </c>
      <c r="E94" s="16">
        <v>10000</v>
      </c>
      <c r="F94" s="16" t="str">
        <f t="shared" si="14"/>
        <v>P0020</v>
      </c>
      <c r="G94" s="17" t="str">
        <f t="shared" si="15"/>
        <v>32oz empty vinegar bottle</v>
      </c>
      <c r="H94" s="18" t="str">
        <f t="shared" si="11"/>
        <v>BTLS</v>
      </c>
      <c r="I94" s="19">
        <v>1</v>
      </c>
      <c r="J94" s="20">
        <v>1</v>
      </c>
    </row>
    <row r="95" spans="1:10" ht="15.75" thickBot="1" x14ac:dyDescent="0.3">
      <c r="A95" t="s">
        <v>31</v>
      </c>
      <c r="B95" s="15" t="str">
        <f>"""Manzana NAV"",""MANZANA"",""99000772"",""44"","" "",""22"",""False"",""43"",""0.00000000000000000000"",""12"",""32oz empty vinegar bottle"",""50220"",""False"",""29"","""",""50210"",""False"",""18"","""",""11"",""P0020"",""2"",""10000"",""1"",""IV015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015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5" s="15"/>
      <c r="D95" s="16" t="str">
        <f>"IV015"</f>
        <v>IV015</v>
      </c>
      <c r="E95" s="16">
        <v>10000</v>
      </c>
      <c r="F95" s="16" t="str">
        <f t="shared" si="14"/>
        <v>P0020</v>
      </c>
      <c r="G95" s="17" t="str">
        <f t="shared" si="15"/>
        <v>32oz empty vinegar bottle</v>
      </c>
      <c r="H95" s="18" t="str">
        <f t="shared" si="11"/>
        <v>BTLS</v>
      </c>
      <c r="I95" s="19">
        <v>1</v>
      </c>
      <c r="J95" s="20">
        <v>1</v>
      </c>
    </row>
    <row r="96" spans="1:10" ht="15.75" thickBot="1" x14ac:dyDescent="0.3">
      <c r="A96" t="s">
        <v>31</v>
      </c>
      <c r="B96" s="15" t="str">
        <f>"""Manzana NAV"",""MANZANA"",""99000772"",""44"","" "",""22"",""False"",""43"",""0.00000000000000000000"",""12"",""38mm Metal Lug for glass bottles"",""50220"",""False"",""29"","""",""50210"",""False"",""18"","""",""11"",""P0003"",""2"",""5000"",""1"",""IJ117"",""14"",""1.00000000000000000000"",""45"",""1.000000"&amp;"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5000","1","IJ117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96" s="15"/>
      <c r="D96" s="16" t="str">
        <f>"IJ117"</f>
        <v>IJ117</v>
      </c>
      <c r="E96" s="16">
        <v>5000</v>
      </c>
      <c r="F96" s="16" t="str">
        <f t="shared" ref="F96:F114" si="16">"P0003"</f>
        <v>P0003</v>
      </c>
      <c r="G96" s="17" t="str">
        <f t="shared" ref="G96:G114" si="17">"38mm Metal Lug for glass bottles"</f>
        <v>38mm Metal Lug for glass bottles</v>
      </c>
      <c r="H96" s="18" t="str">
        <f t="shared" ref="H96:H152" si="18">"CAPS"</f>
        <v>CAPS</v>
      </c>
      <c r="I96" s="19">
        <v>1</v>
      </c>
      <c r="J96" s="20">
        <v>1</v>
      </c>
    </row>
    <row r="97" spans="1:10" ht="15.75" thickBot="1" x14ac:dyDescent="0.3">
      <c r="A97" t="s">
        <v>31</v>
      </c>
      <c r="B97" s="15" t="str">
        <f>"""Manzana NAV"",""MANZANA"",""99000772"",""44"","" "",""22"",""False"",""43"",""0.00000000000000000000"",""12"",""38mm Metal Lug for glass bottles"",""50220"",""False"",""29"","""",""50210"",""False"",""18"","""",""11"",""P0003"",""2"",""10000"",""1"",""IJ113"",""14"",""4.00000000000000000000"",""45"",""4.00000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10000","1","IJ113","14","4.00000000000000000000","45","4.00000000000000000000","19","","20","0.00000000000000000000","50000","0.00000000000000000000","50230","False","28","","10","Item","13","CAPS","21","","3","","42","0.00000000000000000000","50200","False","41","0.00000000000000000000"</v>
      </c>
      <c r="C97" s="15"/>
      <c r="D97" s="16" t="str">
        <f>"IJ113"</f>
        <v>IJ113</v>
      </c>
      <c r="E97" s="16">
        <v>10000</v>
      </c>
      <c r="F97" s="16" t="str">
        <f t="shared" si="16"/>
        <v>P0003</v>
      </c>
      <c r="G97" s="17" t="str">
        <f t="shared" si="17"/>
        <v>38mm Metal Lug for glass bottles</v>
      </c>
      <c r="H97" s="18" t="str">
        <f t="shared" si="18"/>
        <v>CAPS</v>
      </c>
      <c r="I97" s="19">
        <v>4</v>
      </c>
      <c r="J97" s="20">
        <v>4</v>
      </c>
    </row>
    <row r="98" spans="1:10" ht="15.75" thickBot="1" x14ac:dyDescent="0.3">
      <c r="A98" t="s">
        <v>31</v>
      </c>
      <c r="B98" s="15" t="str">
        <f>"""Manzana NAV"",""MANZANA"",""99000772"",""44"","" "",""22"",""False"",""43"",""0.00000000000000000000"",""12"",""38mm Metal Lug for glass bottles"",""50220"",""False"",""29"","""",""50210"",""False"",""18"","""",""11"",""P0003"",""2"",""20000"",""1"",""IJ005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J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98" s="15"/>
      <c r="D98" s="16" t="str">
        <f>"IJ005"</f>
        <v>IJ005</v>
      </c>
      <c r="E98" s="16">
        <v>20000</v>
      </c>
      <c r="F98" s="16" t="str">
        <f t="shared" si="16"/>
        <v>P0003</v>
      </c>
      <c r="G98" s="17" t="str">
        <f t="shared" si="17"/>
        <v>38mm Metal Lug for glass bottles</v>
      </c>
      <c r="H98" s="18" t="str">
        <f t="shared" si="18"/>
        <v>CAPS</v>
      </c>
      <c r="I98" s="19">
        <v>1</v>
      </c>
      <c r="J98" s="20">
        <v>1</v>
      </c>
    </row>
    <row r="99" spans="1:10" ht="15.75" thickBot="1" x14ac:dyDescent="0.3">
      <c r="A99" t="s">
        <v>31</v>
      </c>
      <c r="B99" s="15" t="str">
        <f>"""Manzana NAV"",""MANZANA"",""99000772"",""44"","" "",""22"",""False"",""43"",""0.00000000000000000000"",""12"",""38mm Metal Lug for glass bottles"",""50220"",""False"",""29"","""",""50210"",""False"",""18"","""",""11"",""P0003"",""2"",""20000"",""1"",""IJ043"",""14"",""6.00000000000000000000"",""45"",""6.00000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J043","14","6.00000000000000000000","45","6.00000000000000000000","19","","20","0.00000000000000000000","50000","0.00000000000000000000","50230","False","28","","10","Item","13","CAPS","21","","3","","42","0.00000000000000000000","50200","False","41","0.00000000000000000000"</v>
      </c>
      <c r="C99" s="15"/>
      <c r="D99" s="16" t="str">
        <f>"IJ043"</f>
        <v>IJ043</v>
      </c>
      <c r="E99" s="16">
        <v>20000</v>
      </c>
      <c r="F99" s="16" t="str">
        <f t="shared" si="16"/>
        <v>P0003</v>
      </c>
      <c r="G99" s="17" t="str">
        <f t="shared" si="17"/>
        <v>38mm Metal Lug for glass bottles</v>
      </c>
      <c r="H99" s="18" t="str">
        <f t="shared" si="18"/>
        <v>CAPS</v>
      </c>
      <c r="I99" s="19">
        <v>6</v>
      </c>
      <c r="J99" s="20">
        <v>6</v>
      </c>
    </row>
    <row r="100" spans="1:10" ht="15.75" thickBot="1" x14ac:dyDescent="0.3">
      <c r="A100" t="s">
        <v>31</v>
      </c>
      <c r="B100" s="15" t="str">
        <f>"""Manzana NAV"",""MANZANA"",""99000772"",""44"","" "",""22"",""False"",""43"",""0.00000000000000000000"",""12"",""38mm Metal Lug for glass bottles"",""50220"",""False"",""29"","""",""50210"",""False"",""18"","""",""11"",""P0003"",""2"",""20000"",""1"",""IJ115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J115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0" s="15"/>
      <c r="D100" s="16" t="str">
        <f>"IJ115"</f>
        <v>IJ115</v>
      </c>
      <c r="E100" s="16">
        <v>20000</v>
      </c>
      <c r="F100" s="16" t="str">
        <f t="shared" si="16"/>
        <v>P0003</v>
      </c>
      <c r="G100" s="17" t="str">
        <f t="shared" si="17"/>
        <v>38mm Metal Lug for glass bottles</v>
      </c>
      <c r="H100" s="18" t="str">
        <f t="shared" si="18"/>
        <v>CAPS</v>
      </c>
      <c r="I100" s="19">
        <v>1</v>
      </c>
      <c r="J100" s="20">
        <v>1</v>
      </c>
    </row>
    <row r="101" spans="1:10" ht="15.75" thickBot="1" x14ac:dyDescent="0.3">
      <c r="A101" t="s">
        <v>31</v>
      </c>
      <c r="B101" s="15" t="str">
        <f>"""Manzana NAV"",""MANZANA"",""99000772"",""44"","" "",""22"",""False"",""43"",""0.00000000000000000000"",""12"",""38mm Metal Lug for glass bottles"",""50220"",""False"",""29"","""",""50210"",""False"",""18"","""",""11"",""P0003"",""2"",""20000"",""1"",""IV013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V013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1" s="15"/>
      <c r="D101" s="16" t="str">
        <f>"IV013"</f>
        <v>IV013</v>
      </c>
      <c r="E101" s="16">
        <v>20000</v>
      </c>
      <c r="F101" s="16" t="str">
        <f t="shared" si="16"/>
        <v>P0003</v>
      </c>
      <c r="G101" s="17" t="str">
        <f t="shared" si="17"/>
        <v>38mm Metal Lug for glass bottles</v>
      </c>
      <c r="H101" s="18" t="str">
        <f t="shared" si="18"/>
        <v>CAPS</v>
      </c>
      <c r="I101" s="19">
        <v>1</v>
      </c>
      <c r="J101" s="20">
        <v>1</v>
      </c>
    </row>
    <row r="102" spans="1:10" ht="15.75" thickBot="1" x14ac:dyDescent="0.3">
      <c r="A102" t="s">
        <v>31</v>
      </c>
      <c r="B102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001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2" s="15"/>
      <c r="D102" s="16" t="str">
        <f>"IJ001"</f>
        <v>IJ001</v>
      </c>
      <c r="E102" s="16">
        <v>30000</v>
      </c>
      <c r="F102" s="16" t="str">
        <f t="shared" si="16"/>
        <v>P0003</v>
      </c>
      <c r="G102" s="17" t="str">
        <f t="shared" si="17"/>
        <v>38mm Metal Lug for glass bottles</v>
      </c>
      <c r="H102" s="18" t="str">
        <f t="shared" si="18"/>
        <v>CAPS</v>
      </c>
      <c r="I102" s="19">
        <v>1</v>
      </c>
      <c r="J102" s="20">
        <v>1</v>
      </c>
    </row>
    <row r="103" spans="1:10" ht="15.75" thickBot="1" x14ac:dyDescent="0.3">
      <c r="A103" t="s">
        <v>31</v>
      </c>
      <c r="B103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008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3" s="15"/>
      <c r="D103" s="16" t="str">
        <f>"IJ008"</f>
        <v>IJ008</v>
      </c>
      <c r="E103" s="16">
        <v>30000</v>
      </c>
      <c r="F103" s="16" t="str">
        <f t="shared" si="16"/>
        <v>P0003</v>
      </c>
      <c r="G103" s="17" t="str">
        <f t="shared" si="17"/>
        <v>38mm Metal Lug for glass bottles</v>
      </c>
      <c r="H103" s="18" t="str">
        <f t="shared" si="18"/>
        <v>CAPS</v>
      </c>
      <c r="I103" s="19">
        <v>1</v>
      </c>
      <c r="J103" s="20">
        <v>1</v>
      </c>
    </row>
    <row r="104" spans="1:10" ht="15.75" thickBot="1" x14ac:dyDescent="0.3">
      <c r="A104" t="s">
        <v>31</v>
      </c>
      <c r="B104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009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4" s="15"/>
      <c r="D104" s="16" t="str">
        <f>"IJ009"</f>
        <v>IJ009</v>
      </c>
      <c r="E104" s="16">
        <v>30000</v>
      </c>
      <c r="F104" s="16" t="str">
        <f t="shared" si="16"/>
        <v>P0003</v>
      </c>
      <c r="G104" s="17" t="str">
        <f t="shared" si="17"/>
        <v>38mm Metal Lug for glass bottles</v>
      </c>
      <c r="H104" s="18" t="str">
        <f t="shared" si="18"/>
        <v>CAPS</v>
      </c>
      <c r="I104" s="19">
        <v>1</v>
      </c>
      <c r="J104" s="20">
        <v>1</v>
      </c>
    </row>
    <row r="105" spans="1:10" ht="15.75" thickBot="1" x14ac:dyDescent="0.3">
      <c r="A105" t="s">
        <v>31</v>
      </c>
      <c r="B105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024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024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5" s="15"/>
      <c r="D105" s="16" t="str">
        <f>"IJ024"</f>
        <v>IJ024</v>
      </c>
      <c r="E105" s="16">
        <v>30000</v>
      </c>
      <c r="F105" s="16" t="str">
        <f t="shared" si="16"/>
        <v>P0003</v>
      </c>
      <c r="G105" s="17" t="str">
        <f t="shared" si="17"/>
        <v>38mm Metal Lug for glass bottles</v>
      </c>
      <c r="H105" s="18" t="str">
        <f t="shared" si="18"/>
        <v>CAPS</v>
      </c>
      <c r="I105" s="19">
        <v>1</v>
      </c>
      <c r="J105" s="20">
        <v>1</v>
      </c>
    </row>
    <row r="106" spans="1:10" ht="15.75" thickBot="1" x14ac:dyDescent="0.3">
      <c r="A106" t="s">
        <v>31</v>
      </c>
      <c r="B106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028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028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6" s="15"/>
      <c r="D106" s="16" t="str">
        <f>"IJ028"</f>
        <v>IJ028</v>
      </c>
      <c r="E106" s="16">
        <v>30000</v>
      </c>
      <c r="F106" s="16" t="str">
        <f t="shared" si="16"/>
        <v>P0003</v>
      </c>
      <c r="G106" s="17" t="str">
        <f t="shared" si="17"/>
        <v>38mm Metal Lug for glass bottles</v>
      </c>
      <c r="H106" s="18" t="str">
        <f t="shared" si="18"/>
        <v>CAPS</v>
      </c>
      <c r="I106" s="19">
        <v>1</v>
      </c>
      <c r="J106" s="20">
        <v>1</v>
      </c>
    </row>
    <row r="107" spans="1:10" ht="15.75" thickBot="1" x14ac:dyDescent="0.3">
      <c r="A107" t="s">
        <v>31</v>
      </c>
      <c r="B107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029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029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7" s="15"/>
      <c r="D107" s="16" t="str">
        <f>"IJ029"</f>
        <v>IJ029</v>
      </c>
      <c r="E107" s="16">
        <v>30000</v>
      </c>
      <c r="F107" s="16" t="str">
        <f t="shared" si="16"/>
        <v>P0003</v>
      </c>
      <c r="G107" s="17" t="str">
        <f t="shared" si="17"/>
        <v>38mm Metal Lug for glass bottles</v>
      </c>
      <c r="H107" s="18" t="str">
        <f t="shared" si="18"/>
        <v>CAPS</v>
      </c>
      <c r="I107" s="19">
        <v>1</v>
      </c>
      <c r="J107" s="20">
        <v>1</v>
      </c>
    </row>
    <row r="108" spans="1:10" ht="15.75" thickBot="1" x14ac:dyDescent="0.3">
      <c r="A108" t="s">
        <v>31</v>
      </c>
      <c r="B108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030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030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8" s="15"/>
      <c r="D108" s="16" t="str">
        <f>"IJ030"</f>
        <v>IJ030</v>
      </c>
      <c r="E108" s="16">
        <v>30000</v>
      </c>
      <c r="F108" s="16" t="str">
        <f t="shared" si="16"/>
        <v>P0003</v>
      </c>
      <c r="G108" s="17" t="str">
        <f t="shared" si="17"/>
        <v>38mm Metal Lug for glass bottles</v>
      </c>
      <c r="H108" s="18" t="str">
        <f t="shared" si="18"/>
        <v>CAPS</v>
      </c>
      <c r="I108" s="19">
        <v>1</v>
      </c>
      <c r="J108" s="20">
        <v>1</v>
      </c>
    </row>
    <row r="109" spans="1:10" ht="15.75" thickBot="1" x14ac:dyDescent="0.3">
      <c r="A109" t="s">
        <v>31</v>
      </c>
      <c r="B109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101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9" s="15"/>
      <c r="D109" s="16" t="str">
        <f>"IJ101"</f>
        <v>IJ101</v>
      </c>
      <c r="E109" s="16">
        <v>30000</v>
      </c>
      <c r="F109" s="16" t="str">
        <f t="shared" si="16"/>
        <v>P0003</v>
      </c>
      <c r="G109" s="17" t="str">
        <f t="shared" si="17"/>
        <v>38mm Metal Lug for glass bottles</v>
      </c>
      <c r="H109" s="18" t="str">
        <f t="shared" si="18"/>
        <v>CAPS</v>
      </c>
      <c r="I109" s="19">
        <v>1</v>
      </c>
      <c r="J109" s="20">
        <v>1</v>
      </c>
    </row>
    <row r="110" spans="1:10" ht="15.75" thickBot="1" x14ac:dyDescent="0.3">
      <c r="A110" t="s">
        <v>31</v>
      </c>
      <c r="B110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105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0" s="15"/>
      <c r="D110" s="16" t="str">
        <f>"IJ105"</f>
        <v>IJ105</v>
      </c>
      <c r="E110" s="16">
        <v>30000</v>
      </c>
      <c r="F110" s="16" t="str">
        <f t="shared" si="16"/>
        <v>P0003</v>
      </c>
      <c r="G110" s="17" t="str">
        <f t="shared" si="17"/>
        <v>38mm Metal Lug for glass bottles</v>
      </c>
      <c r="H110" s="18" t="str">
        <f t="shared" si="18"/>
        <v>CAPS</v>
      </c>
      <c r="I110" s="19">
        <v>1</v>
      </c>
      <c r="J110" s="20">
        <v>1</v>
      </c>
    </row>
    <row r="111" spans="1:10" ht="15.75" thickBot="1" x14ac:dyDescent="0.3">
      <c r="A111" t="s">
        <v>31</v>
      </c>
      <c r="B111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106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1" s="15"/>
      <c r="D111" s="16" t="str">
        <f>"IJ106"</f>
        <v>IJ106</v>
      </c>
      <c r="E111" s="16">
        <v>30000</v>
      </c>
      <c r="F111" s="16" t="str">
        <f t="shared" si="16"/>
        <v>P0003</v>
      </c>
      <c r="G111" s="17" t="str">
        <f t="shared" si="17"/>
        <v>38mm Metal Lug for glass bottles</v>
      </c>
      <c r="H111" s="18" t="str">
        <f t="shared" si="18"/>
        <v>CAPS</v>
      </c>
      <c r="I111" s="19">
        <v>1</v>
      </c>
      <c r="J111" s="20">
        <v>1</v>
      </c>
    </row>
    <row r="112" spans="1:10" ht="15.75" thickBot="1" x14ac:dyDescent="0.3">
      <c r="A112" t="s">
        <v>31</v>
      </c>
      <c r="B112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110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2" s="15"/>
      <c r="D112" s="16" t="str">
        <f>"IJ110"</f>
        <v>IJ110</v>
      </c>
      <c r="E112" s="16">
        <v>30000</v>
      </c>
      <c r="F112" s="16" t="str">
        <f t="shared" si="16"/>
        <v>P0003</v>
      </c>
      <c r="G112" s="17" t="str">
        <f t="shared" si="17"/>
        <v>38mm Metal Lug for glass bottles</v>
      </c>
      <c r="H112" s="18" t="str">
        <f t="shared" si="18"/>
        <v>CAPS</v>
      </c>
      <c r="I112" s="19">
        <v>1</v>
      </c>
      <c r="J112" s="20">
        <v>1</v>
      </c>
    </row>
    <row r="113" spans="1:10" ht="15.75" thickBot="1" x14ac:dyDescent="0.3">
      <c r="A113" t="s">
        <v>31</v>
      </c>
      <c r="B113" s="15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112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3" s="15"/>
      <c r="D113" s="16" t="str">
        <f>"IJ112"</f>
        <v>IJ112</v>
      </c>
      <c r="E113" s="16">
        <v>30000</v>
      </c>
      <c r="F113" s="16" t="str">
        <f t="shared" si="16"/>
        <v>P0003</v>
      </c>
      <c r="G113" s="17" t="str">
        <f t="shared" si="17"/>
        <v>38mm Metal Lug for glass bottles</v>
      </c>
      <c r="H113" s="18" t="str">
        <f t="shared" si="18"/>
        <v>CAPS</v>
      </c>
      <c r="I113" s="19">
        <v>1</v>
      </c>
      <c r="J113" s="20">
        <v>1</v>
      </c>
    </row>
    <row r="114" spans="1:10" ht="15.75" thickBot="1" x14ac:dyDescent="0.3">
      <c r="A114" t="s">
        <v>31</v>
      </c>
      <c r="B114" s="15" t="str">
        <f>"""Manzana NAV"",""MANZANA"",""99000772"",""44"","" "",""22"",""False"",""43"",""0.00000000000000000000"",""12"",""38mm Metal Lug for glass bottles"",""50220"",""False"",""29"","""",""50210"",""False"",""18"","""",""11"",""P0003"",""2"",""40000"",""1"",""IJ042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40000","1","IJ042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4" s="15"/>
      <c r="D114" s="16" t="str">
        <f>"IJ042"</f>
        <v>IJ042</v>
      </c>
      <c r="E114" s="16">
        <v>40000</v>
      </c>
      <c r="F114" s="16" t="str">
        <f t="shared" si="16"/>
        <v>P0003</v>
      </c>
      <c r="G114" s="17" t="str">
        <f t="shared" si="17"/>
        <v>38mm Metal Lug for glass bottles</v>
      </c>
      <c r="H114" s="18" t="str">
        <f t="shared" si="18"/>
        <v>CAPS</v>
      </c>
      <c r="I114" s="19">
        <v>1</v>
      </c>
      <c r="J114" s="20">
        <v>1</v>
      </c>
    </row>
    <row r="115" spans="1:10" ht="15.75" thickBot="1" x14ac:dyDescent="0.3">
      <c r="A115" t="s">
        <v>31</v>
      </c>
      <c r="B115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10000"",""1"",""IJ040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10000","1","IJ040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5" s="15"/>
      <c r="D115" s="16" t="str">
        <f>"IJ040"</f>
        <v>IJ040</v>
      </c>
      <c r="E115" s="16">
        <v>10000</v>
      </c>
      <c r="F115" s="16" t="str">
        <f t="shared" ref="F115:F121" si="19">"P0002"</f>
        <v>P0002</v>
      </c>
      <c r="G115" s="17" t="str">
        <f t="shared" ref="G115:G121" si="20">"43mm VLT white Lined Cap for 64oz PET bottles"</f>
        <v>43mm VLT white Lined Cap for 64oz PET bottles</v>
      </c>
      <c r="H115" s="18" t="str">
        <f t="shared" si="18"/>
        <v>CAPS</v>
      </c>
      <c r="I115" s="19">
        <v>1</v>
      </c>
      <c r="J115" s="20">
        <v>1</v>
      </c>
    </row>
    <row r="116" spans="1:10" ht="15.75" thickBot="1" x14ac:dyDescent="0.3">
      <c r="A116" t="s">
        <v>31</v>
      </c>
      <c r="B116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10000"",""1"",""IJ041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10000","1","IJ041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6" s="15"/>
      <c r="D116" s="16" t="str">
        <f>"IJ041"</f>
        <v>IJ041</v>
      </c>
      <c r="E116" s="16">
        <v>10000</v>
      </c>
      <c r="F116" s="16" t="str">
        <f t="shared" si="19"/>
        <v>P0002</v>
      </c>
      <c r="G116" s="17" t="str">
        <f t="shared" si="20"/>
        <v>43mm VLT white Lined Cap for 64oz PET bottles</v>
      </c>
      <c r="H116" s="18" t="str">
        <f t="shared" si="18"/>
        <v>CAPS</v>
      </c>
      <c r="I116" s="19">
        <v>1</v>
      </c>
      <c r="J116" s="20">
        <v>1</v>
      </c>
    </row>
    <row r="117" spans="1:10" ht="15.75" thickBot="1" x14ac:dyDescent="0.3">
      <c r="A117" t="s">
        <v>31</v>
      </c>
      <c r="B117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10000"",""1"",""IV016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10000","1","IV016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7" s="15"/>
      <c r="D117" s="16" t="str">
        <f>"IV016"</f>
        <v>IV016</v>
      </c>
      <c r="E117" s="16">
        <v>10000</v>
      </c>
      <c r="F117" s="16" t="str">
        <f t="shared" si="19"/>
        <v>P0002</v>
      </c>
      <c r="G117" s="17" t="str">
        <f t="shared" si="20"/>
        <v>43mm VLT white Lined Cap for 64oz PET bottles</v>
      </c>
      <c r="H117" s="18" t="str">
        <f t="shared" si="18"/>
        <v>CAPS</v>
      </c>
      <c r="I117" s="19">
        <v>1</v>
      </c>
      <c r="J117" s="20">
        <v>1</v>
      </c>
    </row>
    <row r="118" spans="1:10" ht="15.75" thickBot="1" x14ac:dyDescent="0.3">
      <c r="A118" t="s">
        <v>31</v>
      </c>
      <c r="B118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15000"",""1"",""IJ006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15000","1","IJ006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8" s="15"/>
      <c r="D118" s="16" t="str">
        <f>"IJ006"</f>
        <v>IJ006</v>
      </c>
      <c r="E118" s="16">
        <v>15000</v>
      </c>
      <c r="F118" s="16" t="str">
        <f t="shared" si="19"/>
        <v>P0002</v>
      </c>
      <c r="G118" s="17" t="str">
        <f t="shared" si="20"/>
        <v>43mm VLT white Lined Cap for 64oz PET bottles</v>
      </c>
      <c r="H118" s="18" t="str">
        <f t="shared" si="18"/>
        <v>CAPS</v>
      </c>
      <c r="I118" s="19">
        <v>1</v>
      </c>
      <c r="J118" s="20">
        <v>1</v>
      </c>
    </row>
    <row r="119" spans="1:10" ht="15.75" thickBot="1" x14ac:dyDescent="0.3">
      <c r="A119" t="s">
        <v>31</v>
      </c>
      <c r="B119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20000"",""1"",""IV012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20000","1","IV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9" s="15"/>
      <c r="D119" s="16" t="str">
        <f>"IV012"</f>
        <v>IV012</v>
      </c>
      <c r="E119" s="16">
        <v>20000</v>
      </c>
      <c r="F119" s="16" t="str">
        <f t="shared" si="19"/>
        <v>P0002</v>
      </c>
      <c r="G119" s="17" t="str">
        <f t="shared" si="20"/>
        <v>43mm VLT white Lined Cap for 64oz PET bottles</v>
      </c>
      <c r="H119" s="18" t="str">
        <f t="shared" si="18"/>
        <v>CAPS</v>
      </c>
      <c r="I119" s="19">
        <v>1</v>
      </c>
      <c r="J119" s="20">
        <v>1</v>
      </c>
    </row>
    <row r="120" spans="1:10" ht="15.75" thickBot="1" x14ac:dyDescent="0.3">
      <c r="A120" t="s">
        <v>31</v>
      </c>
      <c r="B120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30000"",""1"",""IJ016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30000","1","IJ016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0" s="15"/>
      <c r="D120" s="16" t="str">
        <f>"IJ016"</f>
        <v>IJ016</v>
      </c>
      <c r="E120" s="16">
        <v>30000</v>
      </c>
      <c r="F120" s="16" t="str">
        <f t="shared" si="19"/>
        <v>P0002</v>
      </c>
      <c r="G120" s="17" t="str">
        <f t="shared" si="20"/>
        <v>43mm VLT white Lined Cap for 64oz PET bottles</v>
      </c>
      <c r="H120" s="18" t="str">
        <f t="shared" si="18"/>
        <v>CAPS</v>
      </c>
      <c r="I120" s="19">
        <v>1</v>
      </c>
      <c r="J120" s="20">
        <v>1</v>
      </c>
    </row>
    <row r="121" spans="1:10" ht="15.75" thickBot="1" x14ac:dyDescent="0.3">
      <c r="A121" t="s">
        <v>31</v>
      </c>
      <c r="B121" s="15" t="str">
        <f>"""Manzana NAV"",""MANZANA"",""99000772"",""44"","" "",""22"",""False"",""43"",""0.00000000000000000000"",""12"",""43mm VLT white Lined Cap for 64oz PET bottles"",""50220"",""False"",""29"","""",""50210"",""False"",""18"","""",""11"",""P0002"",""2"",""30000"",""1"",""IJ023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30000","1","IJ023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1" s="15"/>
      <c r="D121" s="16" t="str">
        <f>"IJ023"</f>
        <v>IJ023</v>
      </c>
      <c r="E121" s="16">
        <v>30000</v>
      </c>
      <c r="F121" s="16" t="str">
        <f t="shared" si="19"/>
        <v>P0002</v>
      </c>
      <c r="G121" s="17" t="str">
        <f t="shared" si="20"/>
        <v>43mm VLT white Lined Cap for 64oz PET bottles</v>
      </c>
      <c r="H121" s="18" t="str">
        <f t="shared" si="18"/>
        <v>CAPS</v>
      </c>
      <c r="I121" s="19">
        <v>1</v>
      </c>
      <c r="J121" s="20">
        <v>1</v>
      </c>
    </row>
    <row r="122" spans="1:10" ht="15.75" thickBot="1" x14ac:dyDescent="0.3">
      <c r="A122" t="s">
        <v>31</v>
      </c>
      <c r="B122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003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2" s="15"/>
      <c r="D122" s="16" t="str">
        <f>"IJ003"</f>
        <v>IJ003</v>
      </c>
      <c r="E122" s="16">
        <v>10000</v>
      </c>
      <c r="F122" s="16" t="str">
        <f t="shared" ref="F122:F152" si="21">"P0004"</f>
        <v>P0004</v>
      </c>
      <c r="G122" s="17" t="str">
        <f t="shared" ref="G122:G152" si="22">"48mm Metal Lug for glass bottles"</f>
        <v>48mm Metal Lug for glass bottles</v>
      </c>
      <c r="H122" s="18" t="str">
        <f t="shared" si="18"/>
        <v>CAPS</v>
      </c>
      <c r="I122" s="19">
        <v>1</v>
      </c>
      <c r="J122" s="20">
        <v>1</v>
      </c>
    </row>
    <row r="123" spans="1:10" ht="15.75" thickBot="1" x14ac:dyDescent="0.3">
      <c r="A123" t="s">
        <v>31</v>
      </c>
      <c r="B123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004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3" s="15"/>
      <c r="D123" s="16" t="str">
        <f>"IJ004"</f>
        <v>IJ004</v>
      </c>
      <c r="E123" s="16">
        <v>10000</v>
      </c>
      <c r="F123" s="16" t="str">
        <f t="shared" si="21"/>
        <v>P0004</v>
      </c>
      <c r="G123" s="17" t="str">
        <f t="shared" si="22"/>
        <v>48mm Metal Lug for glass bottles</v>
      </c>
      <c r="H123" s="18" t="str">
        <f t="shared" si="18"/>
        <v>CAPS</v>
      </c>
      <c r="I123" s="19">
        <v>1</v>
      </c>
      <c r="J123" s="20">
        <v>1</v>
      </c>
    </row>
    <row r="124" spans="1:10" ht="15.75" thickBot="1" x14ac:dyDescent="0.3">
      <c r="A124" t="s">
        <v>31</v>
      </c>
      <c r="B124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013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013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4" s="15"/>
      <c r="D124" s="16" t="str">
        <f>"IJ013"</f>
        <v>IJ013</v>
      </c>
      <c r="E124" s="16">
        <v>10000</v>
      </c>
      <c r="F124" s="16" t="str">
        <f t="shared" si="21"/>
        <v>P0004</v>
      </c>
      <c r="G124" s="17" t="str">
        <f t="shared" si="22"/>
        <v>48mm Metal Lug for glass bottles</v>
      </c>
      <c r="H124" s="18" t="str">
        <f t="shared" si="18"/>
        <v>CAPS</v>
      </c>
      <c r="I124" s="19">
        <v>1</v>
      </c>
      <c r="J124" s="20">
        <v>1</v>
      </c>
    </row>
    <row r="125" spans="1:10" ht="15.75" thickBot="1" x14ac:dyDescent="0.3">
      <c r="A125" t="s">
        <v>31</v>
      </c>
      <c r="B125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025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025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5" s="15"/>
      <c r="D125" s="16" t="str">
        <f>"IJ025"</f>
        <v>IJ025</v>
      </c>
      <c r="E125" s="16">
        <v>10000</v>
      </c>
      <c r="F125" s="16" t="str">
        <f t="shared" si="21"/>
        <v>P0004</v>
      </c>
      <c r="G125" s="17" t="str">
        <f t="shared" si="22"/>
        <v>48mm Metal Lug for glass bottles</v>
      </c>
      <c r="H125" s="18" t="str">
        <f t="shared" si="18"/>
        <v>CAPS</v>
      </c>
      <c r="I125" s="19">
        <v>1</v>
      </c>
      <c r="J125" s="20">
        <v>1</v>
      </c>
    </row>
    <row r="126" spans="1:10" ht="15.75" thickBot="1" x14ac:dyDescent="0.3">
      <c r="A126" t="s">
        <v>31</v>
      </c>
      <c r="B126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027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027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6" s="15"/>
      <c r="D126" s="16" t="str">
        <f>"IJ027"</f>
        <v>IJ027</v>
      </c>
      <c r="E126" s="16">
        <v>10000</v>
      </c>
      <c r="F126" s="16" t="str">
        <f t="shared" si="21"/>
        <v>P0004</v>
      </c>
      <c r="G126" s="17" t="str">
        <f t="shared" si="22"/>
        <v>48mm Metal Lug for glass bottles</v>
      </c>
      <c r="H126" s="18" t="str">
        <f t="shared" si="18"/>
        <v>CAPS</v>
      </c>
      <c r="I126" s="19">
        <v>1</v>
      </c>
      <c r="J126" s="20">
        <v>1</v>
      </c>
    </row>
    <row r="127" spans="1:10" ht="15.75" thickBot="1" x14ac:dyDescent="0.3">
      <c r="A127" t="s">
        <v>31</v>
      </c>
      <c r="B127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031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031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7" s="15"/>
      <c r="D127" s="16" t="str">
        <f>"IJ031"</f>
        <v>IJ031</v>
      </c>
      <c r="E127" s="16">
        <v>10000</v>
      </c>
      <c r="F127" s="16" t="str">
        <f t="shared" si="21"/>
        <v>P0004</v>
      </c>
      <c r="G127" s="17" t="str">
        <f t="shared" si="22"/>
        <v>48mm Metal Lug for glass bottles</v>
      </c>
      <c r="H127" s="18" t="str">
        <f t="shared" si="18"/>
        <v>CAPS</v>
      </c>
      <c r="I127" s="19">
        <v>1</v>
      </c>
      <c r="J127" s="20">
        <v>1</v>
      </c>
    </row>
    <row r="128" spans="1:10" ht="15.75" thickBot="1" x14ac:dyDescent="0.3">
      <c r="A128" t="s">
        <v>31</v>
      </c>
      <c r="B128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039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039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8" s="15"/>
      <c r="D128" s="16" t="str">
        <f>"IJ039"</f>
        <v>IJ039</v>
      </c>
      <c r="E128" s="16">
        <v>10000</v>
      </c>
      <c r="F128" s="16" t="str">
        <f t="shared" si="21"/>
        <v>P0004</v>
      </c>
      <c r="G128" s="17" t="str">
        <f t="shared" si="22"/>
        <v>48mm Metal Lug for glass bottles</v>
      </c>
      <c r="H128" s="18" t="str">
        <f t="shared" si="18"/>
        <v>CAPS</v>
      </c>
      <c r="I128" s="19">
        <v>1</v>
      </c>
      <c r="J128" s="20">
        <v>1</v>
      </c>
    </row>
    <row r="129" spans="1:10" ht="15.75" thickBot="1" x14ac:dyDescent="0.3">
      <c r="A129" t="s">
        <v>31</v>
      </c>
      <c r="B129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9" s="15"/>
      <c r="D129" s="16" t="str">
        <f>"IJ103"</f>
        <v>IJ103</v>
      </c>
      <c r="E129" s="16">
        <v>10000</v>
      </c>
      <c r="F129" s="16" t="str">
        <f t="shared" si="21"/>
        <v>P0004</v>
      </c>
      <c r="G129" s="17" t="str">
        <f t="shared" si="22"/>
        <v>48mm Metal Lug for glass bottles</v>
      </c>
      <c r="H129" s="18" t="str">
        <f t="shared" si="18"/>
        <v>CAPS</v>
      </c>
      <c r="I129" s="19">
        <v>1</v>
      </c>
      <c r="J129" s="20">
        <v>1</v>
      </c>
    </row>
    <row r="130" spans="1:10" ht="15.75" thickBot="1" x14ac:dyDescent="0.3">
      <c r="A130" t="s">
        <v>31</v>
      </c>
      <c r="B130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0" s="15"/>
      <c r="D130" s="16" t="str">
        <f>"IJ104"</f>
        <v>IJ104</v>
      </c>
      <c r="E130" s="16">
        <v>10000</v>
      </c>
      <c r="F130" s="16" t="str">
        <f t="shared" si="21"/>
        <v>P0004</v>
      </c>
      <c r="G130" s="17" t="str">
        <f t="shared" si="22"/>
        <v>48mm Metal Lug for glass bottles</v>
      </c>
      <c r="H130" s="18" t="str">
        <f t="shared" si="18"/>
        <v>CAPS</v>
      </c>
      <c r="I130" s="19">
        <v>1</v>
      </c>
      <c r="J130" s="20">
        <v>1</v>
      </c>
    </row>
    <row r="131" spans="1:10" ht="15.75" thickBot="1" x14ac:dyDescent="0.3">
      <c r="A131" t="s">
        <v>31</v>
      </c>
      <c r="B131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1" s="15"/>
      <c r="D131" s="16" t="str">
        <f>"IJ108"</f>
        <v>IJ108</v>
      </c>
      <c r="E131" s="16">
        <v>10000</v>
      </c>
      <c r="F131" s="16" t="str">
        <f t="shared" si="21"/>
        <v>P0004</v>
      </c>
      <c r="G131" s="17" t="str">
        <f t="shared" si="22"/>
        <v>48mm Metal Lug for glass bottles</v>
      </c>
      <c r="H131" s="18" t="str">
        <f t="shared" si="18"/>
        <v>CAPS</v>
      </c>
      <c r="I131" s="19">
        <v>1</v>
      </c>
      <c r="J131" s="20">
        <v>1</v>
      </c>
    </row>
    <row r="132" spans="1:10" ht="15.75" thickBot="1" x14ac:dyDescent="0.3">
      <c r="A132" t="s">
        <v>31</v>
      </c>
      <c r="B132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2" s="15"/>
      <c r="D132" s="16" t="str">
        <f>"IJ109"</f>
        <v>IJ109</v>
      </c>
      <c r="E132" s="16">
        <v>10000</v>
      </c>
      <c r="F132" s="16" t="str">
        <f t="shared" si="21"/>
        <v>P0004</v>
      </c>
      <c r="G132" s="17" t="str">
        <f t="shared" si="22"/>
        <v>48mm Metal Lug for glass bottles</v>
      </c>
      <c r="H132" s="18" t="str">
        <f t="shared" si="18"/>
        <v>CAPS</v>
      </c>
      <c r="I132" s="19">
        <v>1</v>
      </c>
      <c r="J132" s="20">
        <v>1</v>
      </c>
    </row>
    <row r="133" spans="1:10" ht="15.75" thickBot="1" x14ac:dyDescent="0.3">
      <c r="A133" t="s">
        <v>31</v>
      </c>
      <c r="B133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116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3" s="15"/>
      <c r="D133" s="16" t="str">
        <f>"IJ116"</f>
        <v>IJ116</v>
      </c>
      <c r="E133" s="16">
        <v>10000</v>
      </c>
      <c r="F133" s="16" t="str">
        <f t="shared" si="21"/>
        <v>P0004</v>
      </c>
      <c r="G133" s="17" t="str">
        <f t="shared" si="22"/>
        <v>48mm Metal Lug for glass bottles</v>
      </c>
      <c r="H133" s="18" t="str">
        <f t="shared" si="18"/>
        <v>CAPS</v>
      </c>
      <c r="I133" s="19">
        <v>1</v>
      </c>
      <c r="J133" s="20">
        <v>1</v>
      </c>
    </row>
    <row r="134" spans="1:10" ht="15.75" thickBot="1" x14ac:dyDescent="0.3">
      <c r="A134" t="s">
        <v>31</v>
      </c>
      <c r="B134" s="15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118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4" s="15"/>
      <c r="D134" s="16" t="str">
        <f>"IJ118"</f>
        <v>IJ118</v>
      </c>
      <c r="E134" s="16">
        <v>10000</v>
      </c>
      <c r="F134" s="16" t="str">
        <f t="shared" si="21"/>
        <v>P0004</v>
      </c>
      <c r="G134" s="17" t="str">
        <f t="shared" si="22"/>
        <v>48mm Metal Lug for glass bottles</v>
      </c>
      <c r="H134" s="18" t="str">
        <f t="shared" si="18"/>
        <v>CAPS</v>
      </c>
      <c r="I134" s="19">
        <v>1</v>
      </c>
      <c r="J134" s="20">
        <v>1</v>
      </c>
    </row>
    <row r="135" spans="1:10" ht="15.75" thickBot="1" x14ac:dyDescent="0.3">
      <c r="A135" t="s">
        <v>31</v>
      </c>
      <c r="B135" s="15" t="str">
        <f>"""Manzana NAV"",""MANZANA"",""99000772"",""44"","" "",""22"",""False"",""43"",""0.00000000000000000000"",""12"",""48mm Metal Lug for glass bottles"",""50220"",""False"",""29"","""",""50210"",""False"",""18"","""",""11"",""P0004"",""2"",""15000"",""1"",""IJ018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15000","1","IJ018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5" s="15"/>
      <c r="D135" s="16" t="str">
        <f>"IJ018"</f>
        <v>IJ018</v>
      </c>
      <c r="E135" s="16">
        <v>15000</v>
      </c>
      <c r="F135" s="16" t="str">
        <f t="shared" si="21"/>
        <v>P0004</v>
      </c>
      <c r="G135" s="17" t="str">
        <f t="shared" si="22"/>
        <v>48mm Metal Lug for glass bottles</v>
      </c>
      <c r="H135" s="18" t="str">
        <f t="shared" si="18"/>
        <v>CAPS</v>
      </c>
      <c r="I135" s="19">
        <v>1</v>
      </c>
      <c r="J135" s="20">
        <v>1</v>
      </c>
    </row>
    <row r="136" spans="1:10" ht="15.75" thickBot="1" x14ac:dyDescent="0.3">
      <c r="A136" t="s">
        <v>31</v>
      </c>
      <c r="B136" s="15" t="str">
        <f>"""Manzana NAV"",""MANZANA"",""99000772"",""44"","" "",""22"",""False"",""43"",""0.00000000000000000000"",""12"",""48mm Metal Lug for glass bottles"",""50220"",""False"",""29"","""",""50210"",""False"",""18"","""",""11"",""P0004"",""2"",""20000"",""1"",""IJ010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6" s="15"/>
      <c r="D136" s="16" t="str">
        <f>"IJ010"</f>
        <v>IJ010</v>
      </c>
      <c r="E136" s="16">
        <v>20000</v>
      </c>
      <c r="F136" s="16" t="str">
        <f t="shared" si="21"/>
        <v>P0004</v>
      </c>
      <c r="G136" s="17" t="str">
        <f t="shared" si="22"/>
        <v>48mm Metal Lug for glass bottles</v>
      </c>
      <c r="H136" s="18" t="str">
        <f t="shared" si="18"/>
        <v>CAPS</v>
      </c>
      <c r="I136" s="19">
        <v>1</v>
      </c>
      <c r="J136" s="20">
        <v>1</v>
      </c>
    </row>
    <row r="137" spans="1:10" ht="15.75" thickBot="1" x14ac:dyDescent="0.3">
      <c r="A137" t="s">
        <v>31</v>
      </c>
      <c r="B137" s="15" t="str">
        <f>"""Manzana NAV"",""MANZANA"",""99000772"",""44"","" "",""22"",""False"",""43"",""0.00000000000000000000"",""12"",""48mm Metal Lug for glass bottles"",""50220"",""False"",""29"","""",""50210"",""False"",""18"","""",""11"",""P0004"",""2"",""20000"",""1"",""IJ026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026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7" s="15"/>
      <c r="D137" s="16" t="str">
        <f>"IJ026"</f>
        <v>IJ026</v>
      </c>
      <c r="E137" s="16">
        <v>20000</v>
      </c>
      <c r="F137" s="16" t="str">
        <f t="shared" si="21"/>
        <v>P0004</v>
      </c>
      <c r="G137" s="17" t="str">
        <f t="shared" si="22"/>
        <v>48mm Metal Lug for glass bottles</v>
      </c>
      <c r="H137" s="18" t="str">
        <f t="shared" si="18"/>
        <v>CAPS</v>
      </c>
      <c r="I137" s="19">
        <v>1</v>
      </c>
      <c r="J137" s="20">
        <v>1</v>
      </c>
    </row>
    <row r="138" spans="1:10" ht="15.75" thickBot="1" x14ac:dyDescent="0.3">
      <c r="A138" t="s">
        <v>31</v>
      </c>
      <c r="B138" s="15" t="str">
        <f>"""Manzana NAV"",""MANZANA"",""99000772"",""44"","" "",""22"",""False"",""43"",""0.00000000000000000000"",""12"",""48mm Metal Lug for glass bottles"",""50220"",""False"",""29"","""",""50210"",""False"",""18"","""",""11"",""P0004"",""2"",""20000"",""1"",""IJ032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032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8" s="15"/>
      <c r="D138" s="16" t="str">
        <f>"IJ032"</f>
        <v>IJ032</v>
      </c>
      <c r="E138" s="16">
        <v>20000</v>
      </c>
      <c r="F138" s="16" t="str">
        <f t="shared" si="21"/>
        <v>P0004</v>
      </c>
      <c r="G138" s="17" t="str">
        <f t="shared" si="22"/>
        <v>48mm Metal Lug for glass bottles</v>
      </c>
      <c r="H138" s="18" t="str">
        <f t="shared" si="18"/>
        <v>CAPS</v>
      </c>
      <c r="I138" s="19">
        <v>1</v>
      </c>
      <c r="J138" s="20">
        <v>1</v>
      </c>
    </row>
    <row r="139" spans="1:10" ht="15.75" thickBot="1" x14ac:dyDescent="0.3">
      <c r="A139" t="s">
        <v>31</v>
      </c>
      <c r="B139" s="15" t="str">
        <f>"""Manzana NAV"",""MANZANA"",""99000772"",""44"","" "",""22"",""False"",""43"",""0.00000000000000000000"",""12"",""48mm Metal Lug for glass bottles"",""50220"",""False"",""29"","""",""50210"",""False"",""18"","""",""11"",""P0004"",""2"",""20000"",""1"",""IJ114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114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9" s="15"/>
      <c r="D139" s="16" t="str">
        <f>"IJ114"</f>
        <v>IJ114</v>
      </c>
      <c r="E139" s="16">
        <v>20000</v>
      </c>
      <c r="F139" s="16" t="str">
        <f t="shared" si="21"/>
        <v>P0004</v>
      </c>
      <c r="G139" s="17" t="str">
        <f t="shared" si="22"/>
        <v>48mm Metal Lug for glass bottles</v>
      </c>
      <c r="H139" s="18" t="str">
        <f t="shared" si="18"/>
        <v>CAPS</v>
      </c>
      <c r="I139" s="19">
        <v>1</v>
      </c>
      <c r="J139" s="20">
        <v>1</v>
      </c>
    </row>
    <row r="140" spans="1:10" ht="15.75" thickBot="1" x14ac:dyDescent="0.3">
      <c r="A140" t="s">
        <v>31</v>
      </c>
      <c r="B140" s="15" t="str">
        <f>"""Manzana NAV"",""MANZANA"",""99000772"",""44"","" "",""22"",""False"",""43"",""0.00000000000000000000"",""12"",""48mm Metal Lug for glass bottles"",""50220"",""False"",""29"","""",""50210"",""False"",""18"","""",""11"",""P0004"",""2"",""20000"",""1"",""IJT000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T000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0" s="15"/>
      <c r="D140" s="16" t="str">
        <f>"IJT000"</f>
        <v>IJT000</v>
      </c>
      <c r="E140" s="16">
        <v>20000</v>
      </c>
      <c r="F140" s="16" t="str">
        <f t="shared" si="21"/>
        <v>P0004</v>
      </c>
      <c r="G140" s="17" t="str">
        <f t="shared" si="22"/>
        <v>48mm Metal Lug for glass bottles</v>
      </c>
      <c r="H140" s="18" t="str">
        <f t="shared" si="18"/>
        <v>CAPS</v>
      </c>
      <c r="I140" s="19">
        <v>1</v>
      </c>
      <c r="J140" s="20">
        <v>1</v>
      </c>
    </row>
    <row r="141" spans="1:10" ht="15.75" thickBot="1" x14ac:dyDescent="0.3">
      <c r="A141" t="s">
        <v>31</v>
      </c>
      <c r="B141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002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1" s="15"/>
      <c r="D141" s="16" t="str">
        <f>"IJ002"</f>
        <v>IJ002</v>
      </c>
      <c r="E141" s="16">
        <v>30000</v>
      </c>
      <c r="F141" s="16" t="str">
        <f t="shared" si="21"/>
        <v>P0004</v>
      </c>
      <c r="G141" s="17" t="str">
        <f t="shared" si="22"/>
        <v>48mm Metal Lug for glass bottles</v>
      </c>
      <c r="H141" s="18" t="str">
        <f t="shared" si="18"/>
        <v>CAPS</v>
      </c>
      <c r="I141" s="19">
        <v>1</v>
      </c>
      <c r="J141" s="20">
        <v>1</v>
      </c>
    </row>
    <row r="142" spans="1:10" ht="15.75" thickBot="1" x14ac:dyDescent="0.3">
      <c r="A142" t="s">
        <v>31</v>
      </c>
      <c r="B142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2" s="15"/>
      <c r="D142" s="16" t="str">
        <f>"IJ011"</f>
        <v>IJ011</v>
      </c>
      <c r="E142" s="16">
        <v>30000</v>
      </c>
      <c r="F142" s="16" t="str">
        <f t="shared" si="21"/>
        <v>P0004</v>
      </c>
      <c r="G142" s="17" t="str">
        <f t="shared" si="22"/>
        <v>48mm Metal Lug for glass bottles</v>
      </c>
      <c r="H142" s="18" t="str">
        <f t="shared" si="18"/>
        <v>CAPS</v>
      </c>
      <c r="I142" s="19">
        <v>1</v>
      </c>
      <c r="J142" s="20">
        <v>1</v>
      </c>
    </row>
    <row r="143" spans="1:10" ht="15.75" thickBot="1" x14ac:dyDescent="0.3">
      <c r="A143" t="s">
        <v>31</v>
      </c>
      <c r="B143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3" s="15"/>
      <c r="D143" s="16" t="str">
        <f>"IJ012"</f>
        <v>IJ012</v>
      </c>
      <c r="E143" s="16">
        <v>30000</v>
      </c>
      <c r="F143" s="16" t="str">
        <f t="shared" si="21"/>
        <v>P0004</v>
      </c>
      <c r="G143" s="17" t="str">
        <f t="shared" si="22"/>
        <v>48mm Metal Lug for glass bottles</v>
      </c>
      <c r="H143" s="18" t="str">
        <f t="shared" si="18"/>
        <v>CAPS</v>
      </c>
      <c r="I143" s="19">
        <v>1</v>
      </c>
      <c r="J143" s="20">
        <v>1</v>
      </c>
    </row>
    <row r="144" spans="1:10" ht="15.75" thickBot="1" x14ac:dyDescent="0.3">
      <c r="A144" t="s">
        <v>31</v>
      </c>
      <c r="B144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4" s="15"/>
      <c r="D144" s="16" t="str">
        <f>"IJ014"</f>
        <v>IJ014</v>
      </c>
      <c r="E144" s="16">
        <v>30000</v>
      </c>
      <c r="F144" s="16" t="str">
        <f t="shared" si="21"/>
        <v>P0004</v>
      </c>
      <c r="G144" s="17" t="str">
        <f t="shared" si="22"/>
        <v>48mm Metal Lug for glass bottles</v>
      </c>
      <c r="H144" s="18" t="str">
        <f t="shared" si="18"/>
        <v>CAPS</v>
      </c>
      <c r="I144" s="19">
        <v>1</v>
      </c>
      <c r="J144" s="20">
        <v>1</v>
      </c>
    </row>
    <row r="145" spans="1:10" ht="15.75" thickBot="1" x14ac:dyDescent="0.3">
      <c r="A145" t="s">
        <v>31</v>
      </c>
      <c r="B145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5" s="15"/>
      <c r="D145" s="16" t="str">
        <f>"IJ015"</f>
        <v>IJ015</v>
      </c>
      <c r="E145" s="16">
        <v>30000</v>
      </c>
      <c r="F145" s="16" t="str">
        <f t="shared" si="21"/>
        <v>P0004</v>
      </c>
      <c r="G145" s="17" t="str">
        <f t="shared" si="22"/>
        <v>48mm Metal Lug for glass bottles</v>
      </c>
      <c r="H145" s="18" t="str">
        <f t="shared" si="18"/>
        <v>CAPS</v>
      </c>
      <c r="I145" s="19">
        <v>1</v>
      </c>
      <c r="J145" s="20">
        <v>1</v>
      </c>
    </row>
    <row r="146" spans="1:10" ht="15.75" thickBot="1" x14ac:dyDescent="0.3">
      <c r="A146" t="s">
        <v>31</v>
      </c>
      <c r="B146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017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6" s="15"/>
      <c r="D146" s="16" t="str">
        <f>"IJ017"</f>
        <v>IJ017</v>
      </c>
      <c r="E146" s="16">
        <v>30000</v>
      </c>
      <c r="F146" s="16" t="str">
        <f t="shared" si="21"/>
        <v>P0004</v>
      </c>
      <c r="G146" s="17" t="str">
        <f t="shared" si="22"/>
        <v>48mm Metal Lug for glass bottles</v>
      </c>
      <c r="H146" s="18" t="str">
        <f t="shared" si="18"/>
        <v>CAPS</v>
      </c>
      <c r="I146" s="19">
        <v>1</v>
      </c>
      <c r="J146" s="20">
        <v>1</v>
      </c>
    </row>
    <row r="147" spans="1:10" ht="15.75" thickBot="1" x14ac:dyDescent="0.3">
      <c r="A147" t="s">
        <v>31</v>
      </c>
      <c r="B147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020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020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7" s="15"/>
      <c r="D147" s="16" t="str">
        <f>"IJ020"</f>
        <v>IJ020</v>
      </c>
      <c r="E147" s="16">
        <v>30000</v>
      </c>
      <c r="F147" s="16" t="str">
        <f t="shared" si="21"/>
        <v>P0004</v>
      </c>
      <c r="G147" s="17" t="str">
        <f t="shared" si="22"/>
        <v>48mm Metal Lug for glass bottles</v>
      </c>
      <c r="H147" s="18" t="str">
        <f t="shared" si="18"/>
        <v>CAPS</v>
      </c>
      <c r="I147" s="19">
        <v>1</v>
      </c>
      <c r="J147" s="20">
        <v>1</v>
      </c>
    </row>
    <row r="148" spans="1:10" ht="15.75" thickBot="1" x14ac:dyDescent="0.3">
      <c r="A148" t="s">
        <v>31</v>
      </c>
      <c r="B148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021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021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8" s="15"/>
      <c r="D148" s="16" t="str">
        <f>"IJ021"</f>
        <v>IJ021</v>
      </c>
      <c r="E148" s="16">
        <v>30000</v>
      </c>
      <c r="F148" s="16" t="str">
        <f t="shared" si="21"/>
        <v>P0004</v>
      </c>
      <c r="G148" s="17" t="str">
        <f t="shared" si="22"/>
        <v>48mm Metal Lug for glass bottles</v>
      </c>
      <c r="H148" s="18" t="str">
        <f t="shared" si="18"/>
        <v>CAPS</v>
      </c>
      <c r="I148" s="19">
        <v>1</v>
      </c>
      <c r="J148" s="20">
        <v>1</v>
      </c>
    </row>
    <row r="149" spans="1:10" ht="15.75" thickBot="1" x14ac:dyDescent="0.3">
      <c r="A149" t="s">
        <v>31</v>
      </c>
      <c r="B149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022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022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9" s="15"/>
      <c r="D149" s="16" t="str">
        <f>"IJ022"</f>
        <v>IJ022</v>
      </c>
      <c r="E149" s="16">
        <v>30000</v>
      </c>
      <c r="F149" s="16" t="str">
        <f t="shared" si="21"/>
        <v>P0004</v>
      </c>
      <c r="G149" s="17" t="str">
        <f t="shared" si="22"/>
        <v>48mm Metal Lug for glass bottles</v>
      </c>
      <c r="H149" s="18" t="str">
        <f t="shared" si="18"/>
        <v>CAPS</v>
      </c>
      <c r="I149" s="19">
        <v>1</v>
      </c>
      <c r="J149" s="20">
        <v>1</v>
      </c>
    </row>
    <row r="150" spans="1:10" ht="15.75" thickBot="1" x14ac:dyDescent="0.3">
      <c r="A150" t="s">
        <v>31</v>
      </c>
      <c r="B150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102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102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50" s="15"/>
      <c r="D150" s="16" t="str">
        <f>"IJ102"</f>
        <v>IJ102</v>
      </c>
      <c r="E150" s="16">
        <v>30000</v>
      </c>
      <c r="F150" s="16" t="str">
        <f t="shared" si="21"/>
        <v>P0004</v>
      </c>
      <c r="G150" s="17" t="str">
        <f t="shared" si="22"/>
        <v>48mm Metal Lug for glass bottles</v>
      </c>
      <c r="H150" s="18" t="str">
        <f t="shared" si="18"/>
        <v>CAPS</v>
      </c>
      <c r="I150" s="19">
        <v>1</v>
      </c>
      <c r="J150" s="20">
        <v>1</v>
      </c>
    </row>
    <row r="151" spans="1:10" ht="15.75" thickBot="1" x14ac:dyDescent="0.3">
      <c r="A151" t="s">
        <v>31</v>
      </c>
      <c r="B151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107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107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51" s="15"/>
      <c r="D151" s="16" t="str">
        <f>"IJ107"</f>
        <v>IJ107</v>
      </c>
      <c r="E151" s="16">
        <v>30000</v>
      </c>
      <c r="F151" s="16" t="str">
        <f t="shared" si="21"/>
        <v>P0004</v>
      </c>
      <c r="G151" s="17" t="str">
        <f t="shared" si="22"/>
        <v>48mm Metal Lug for glass bottles</v>
      </c>
      <c r="H151" s="18" t="str">
        <f t="shared" si="18"/>
        <v>CAPS</v>
      </c>
      <c r="I151" s="19">
        <v>1</v>
      </c>
      <c r="J151" s="20">
        <v>1</v>
      </c>
    </row>
    <row r="152" spans="1:10" ht="15.75" thickBot="1" x14ac:dyDescent="0.3">
      <c r="A152" t="s">
        <v>31</v>
      </c>
      <c r="B152" s="15" t="str">
        <f>"""Manzana NAV"",""MANZANA"",""99000772"",""44"","" "",""22"",""False"",""43"",""0.00000000000000000000"",""12"",""48mm Metal Lug for glass bottles"",""50220"",""False"",""29"","""",""50210"",""False"",""18"","""",""11"",""P0004"",""2"",""30000"",""1"",""IJ111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111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52" s="15"/>
      <c r="D152" s="16" t="str">
        <f>"IJ111"</f>
        <v>IJ111</v>
      </c>
      <c r="E152" s="16">
        <v>30000</v>
      </c>
      <c r="F152" s="16" t="str">
        <f t="shared" si="21"/>
        <v>P0004</v>
      </c>
      <c r="G152" s="17" t="str">
        <f t="shared" si="22"/>
        <v>48mm Metal Lug for glass bottles</v>
      </c>
      <c r="H152" s="18" t="str">
        <f t="shared" si="18"/>
        <v>CAPS</v>
      </c>
      <c r="I152" s="19">
        <v>1</v>
      </c>
      <c r="J152" s="20">
        <v>1</v>
      </c>
    </row>
    <row r="153" spans="1:10" ht="15.75" thickBot="1" x14ac:dyDescent="0.3">
      <c r="A153" t="s">
        <v>31</v>
      </c>
      <c r="B153" s="15" t="str">
        <f>"""Manzana NAV"",""MANZANA"",""99000772"",""44"","" "",""22"",""False"",""43"",""0.00000000000000000000"",""12"",""48oz empty glass bottle"",""50220"",""False"",""29"","""",""50210"",""False"",""18"","""",""11"",""P0012"",""2"",""20000"",""1"",""IJ003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003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3" s="15"/>
      <c r="D153" s="16" t="str">
        <f>"IJ003"</f>
        <v>IJ003</v>
      </c>
      <c r="E153" s="16">
        <v>20000</v>
      </c>
      <c r="F153" s="16" t="str">
        <f t="shared" ref="F153:F158" si="23">"P0012"</f>
        <v>P0012</v>
      </c>
      <c r="G153" s="17" t="str">
        <f t="shared" ref="G153:G158" si="24">"48oz empty glass bottle"</f>
        <v>48oz empty glass bottle</v>
      </c>
      <c r="H153" s="18" t="str">
        <f t="shared" ref="H153:H158" si="25">"BTLS"</f>
        <v>BTLS</v>
      </c>
      <c r="I153" s="19">
        <v>1</v>
      </c>
      <c r="J153" s="20">
        <v>1</v>
      </c>
    </row>
    <row r="154" spans="1:10" ht="15.75" thickBot="1" x14ac:dyDescent="0.3">
      <c r="A154" t="s">
        <v>31</v>
      </c>
      <c r="B154" s="15" t="str">
        <f>"""Manzana NAV"",""MANZANA"",""99000772"",""44"","" "",""22"",""False"",""43"",""0.00000000000000000000"",""12"",""48oz empty glass bottle"",""50220"",""False"",""29"","""",""50210"",""False"",""18"","""",""11"",""P0012"",""2"",""20000"",""1"",""IJ103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103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4" s="15"/>
      <c r="D154" s="16" t="str">
        <f>"IJ103"</f>
        <v>IJ103</v>
      </c>
      <c r="E154" s="16">
        <v>20000</v>
      </c>
      <c r="F154" s="16" t="str">
        <f t="shared" si="23"/>
        <v>P0012</v>
      </c>
      <c r="G154" s="17" t="str">
        <f t="shared" si="24"/>
        <v>48oz empty glass bottle</v>
      </c>
      <c r="H154" s="18" t="str">
        <f t="shared" si="25"/>
        <v>BTLS</v>
      </c>
      <c r="I154" s="19">
        <v>1</v>
      </c>
      <c r="J154" s="20">
        <v>1</v>
      </c>
    </row>
    <row r="155" spans="1:10" ht="15.75" thickBot="1" x14ac:dyDescent="0.3">
      <c r="A155" t="s">
        <v>31</v>
      </c>
      <c r="B155" s="15" t="str">
        <f>"""Manzana NAV"",""MANZANA"",""99000772"",""44"","" "",""22"",""False"",""43"",""0.00000000000000000000"",""12"",""48oz empty glass bottle"",""50220"",""False"",""29"","""",""50210"",""False"",""18"","""",""11"",""P0012"",""2"",""20000"",""1"",""IJ108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108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5" s="15"/>
      <c r="D155" s="16" t="str">
        <f>"IJ108"</f>
        <v>IJ108</v>
      </c>
      <c r="E155" s="16">
        <v>20000</v>
      </c>
      <c r="F155" s="16" t="str">
        <f t="shared" si="23"/>
        <v>P0012</v>
      </c>
      <c r="G155" s="17" t="str">
        <f t="shared" si="24"/>
        <v>48oz empty glass bottle</v>
      </c>
      <c r="H155" s="18" t="str">
        <f t="shared" si="25"/>
        <v>BTLS</v>
      </c>
      <c r="I155" s="19">
        <v>1</v>
      </c>
      <c r="J155" s="20">
        <v>1</v>
      </c>
    </row>
    <row r="156" spans="1:10" ht="15.75" thickBot="1" x14ac:dyDescent="0.3">
      <c r="A156" t="s">
        <v>31</v>
      </c>
      <c r="B156" s="15" t="str">
        <f>"""Manzana NAV"",""MANZANA"",""99000772"",""44"","" "",""22"",""False"",""43"",""0.00000000000000000000"",""12"",""48oz empty glass bottle"",""50220"",""False"",""29"","""",""50210"",""False"",""18"","""",""11"",""P0012"",""2"",""20000"",""1"",""IJ116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116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6" s="15"/>
      <c r="D156" s="16" t="str">
        <f>"IJ116"</f>
        <v>IJ116</v>
      </c>
      <c r="E156" s="16">
        <v>20000</v>
      </c>
      <c r="F156" s="16" t="str">
        <f t="shared" si="23"/>
        <v>P0012</v>
      </c>
      <c r="G156" s="17" t="str">
        <f t="shared" si="24"/>
        <v>48oz empty glass bottle</v>
      </c>
      <c r="H156" s="18" t="str">
        <f t="shared" si="25"/>
        <v>BTLS</v>
      </c>
      <c r="I156" s="19">
        <v>1</v>
      </c>
      <c r="J156" s="20">
        <v>1</v>
      </c>
    </row>
    <row r="157" spans="1:10" ht="15.75" thickBot="1" x14ac:dyDescent="0.3">
      <c r="A157" t="s">
        <v>31</v>
      </c>
      <c r="B157" s="15" t="str">
        <f>"""Manzana NAV"",""MANZANA"",""99000772"",""44"","" "",""22"",""False"",""43"",""0.00000000000000000000"",""12"",""48oz empty glass bottle"",""50220"",""False"",""29"","""",""50210"",""False"",""18"","""",""11"",""P0012"",""2"",""30000"",""1"",""IJ026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30000","1","IJ026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7" s="15"/>
      <c r="D157" s="16" t="str">
        <f>"IJ026"</f>
        <v>IJ026</v>
      </c>
      <c r="E157" s="16">
        <v>30000</v>
      </c>
      <c r="F157" s="16" t="str">
        <f t="shared" si="23"/>
        <v>P0012</v>
      </c>
      <c r="G157" s="17" t="str">
        <f t="shared" si="24"/>
        <v>48oz empty glass bottle</v>
      </c>
      <c r="H157" s="18" t="str">
        <f t="shared" si="25"/>
        <v>BTLS</v>
      </c>
      <c r="I157" s="19">
        <v>1</v>
      </c>
      <c r="J157" s="20">
        <v>1</v>
      </c>
    </row>
    <row r="158" spans="1:10" ht="15.75" thickBot="1" x14ac:dyDescent="0.3">
      <c r="A158" t="s">
        <v>31</v>
      </c>
      <c r="B158" s="15" t="str">
        <f>"""Manzana NAV"",""MANZANA"",""99000772"",""44"","" "",""22"",""False"",""43"",""0.00000000000000000000"",""12"",""48oz empty glass bottle"",""50220"",""False"",""29"","""",""50210"",""False"",""18"","""",""11"",""P0012"",""2"",""30000"",""1"",""IJ032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30000","1","IJ032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8" s="15"/>
      <c r="D158" s="16" t="str">
        <f>"IJ032"</f>
        <v>IJ032</v>
      </c>
      <c r="E158" s="16">
        <v>30000</v>
      </c>
      <c r="F158" s="16" t="str">
        <f t="shared" si="23"/>
        <v>P0012</v>
      </c>
      <c r="G158" s="17" t="str">
        <f t="shared" si="24"/>
        <v>48oz empty glass bottle</v>
      </c>
      <c r="H158" s="18" t="str">
        <f t="shared" si="25"/>
        <v>BTLS</v>
      </c>
      <c r="I158" s="19">
        <v>1</v>
      </c>
      <c r="J158" s="20">
        <v>1</v>
      </c>
    </row>
    <row r="159" spans="1:10" ht="15.75" thickBot="1" x14ac:dyDescent="0.3">
      <c r="A159" t="s">
        <v>31</v>
      </c>
      <c r="B159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001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001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59" s="15"/>
      <c r="D159" s="16" t="str">
        <f>"ISCU001"</f>
        <v>ISCU001</v>
      </c>
      <c r="E159" s="16">
        <v>10000</v>
      </c>
      <c r="F159" s="16" t="str">
        <f t="shared" ref="F159:F181" si="26">"P0018"</f>
        <v>P0018</v>
      </c>
      <c r="G159" s="17" t="str">
        <f t="shared" ref="G159:G181" si="27">"4oz empty plastic cups for sauce"</f>
        <v>4oz empty plastic cups for sauce</v>
      </c>
      <c r="H159" s="18" t="str">
        <f t="shared" ref="H159:H181" si="28">"CUPS"</f>
        <v>CUPS</v>
      </c>
      <c r="I159" s="19">
        <v>1</v>
      </c>
      <c r="J159" s="20">
        <v>1</v>
      </c>
    </row>
    <row r="160" spans="1:10" ht="15.75" thickBot="1" x14ac:dyDescent="0.3">
      <c r="A160" t="s">
        <v>31</v>
      </c>
      <c r="B160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002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002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0" s="15"/>
      <c r="D160" s="16" t="str">
        <f>"ISCU002"</f>
        <v>ISCU002</v>
      </c>
      <c r="E160" s="16">
        <v>10000</v>
      </c>
      <c r="F160" s="16" t="str">
        <f t="shared" si="26"/>
        <v>P0018</v>
      </c>
      <c r="G160" s="17" t="str">
        <f t="shared" si="27"/>
        <v>4oz empty plastic cups for sauce</v>
      </c>
      <c r="H160" s="18" t="str">
        <f t="shared" si="28"/>
        <v>CUPS</v>
      </c>
      <c r="I160" s="19">
        <v>1</v>
      </c>
      <c r="J160" s="20">
        <v>1</v>
      </c>
    </row>
    <row r="161" spans="1:10" ht="15.75" thickBot="1" x14ac:dyDescent="0.3">
      <c r="A161" t="s">
        <v>31</v>
      </c>
      <c r="B161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004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004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1" s="15"/>
      <c r="D161" s="16" t="str">
        <f>"ISCU004"</f>
        <v>ISCU004</v>
      </c>
      <c r="E161" s="16">
        <v>10000</v>
      </c>
      <c r="F161" s="16" t="str">
        <f t="shared" si="26"/>
        <v>P0018</v>
      </c>
      <c r="G161" s="17" t="str">
        <f t="shared" si="27"/>
        <v>4oz empty plastic cups for sauce</v>
      </c>
      <c r="H161" s="18" t="str">
        <f t="shared" si="28"/>
        <v>CUPS</v>
      </c>
      <c r="I161" s="19">
        <v>1</v>
      </c>
      <c r="J161" s="20">
        <v>1</v>
      </c>
    </row>
    <row r="162" spans="1:10" ht="15.75" thickBot="1" x14ac:dyDescent="0.3">
      <c r="A162" t="s">
        <v>31</v>
      </c>
      <c r="B162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006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006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2" s="15"/>
      <c r="D162" s="16" t="str">
        <f>"ISCU006"</f>
        <v>ISCU006</v>
      </c>
      <c r="E162" s="16">
        <v>10000</v>
      </c>
      <c r="F162" s="16" t="str">
        <f t="shared" si="26"/>
        <v>P0018</v>
      </c>
      <c r="G162" s="17" t="str">
        <f t="shared" si="27"/>
        <v>4oz empty plastic cups for sauce</v>
      </c>
      <c r="H162" s="18" t="str">
        <f t="shared" si="28"/>
        <v>CUPS</v>
      </c>
      <c r="I162" s="19">
        <v>1</v>
      </c>
      <c r="J162" s="20">
        <v>1</v>
      </c>
    </row>
    <row r="163" spans="1:10" ht="15.75" thickBot="1" x14ac:dyDescent="0.3">
      <c r="A163" t="s">
        <v>31</v>
      </c>
      <c r="B163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007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007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3" s="15"/>
      <c r="D163" s="16" t="str">
        <f>"ISCU007"</f>
        <v>ISCU007</v>
      </c>
      <c r="E163" s="16">
        <v>10000</v>
      </c>
      <c r="F163" s="16" t="str">
        <f t="shared" si="26"/>
        <v>P0018</v>
      </c>
      <c r="G163" s="17" t="str">
        <f t="shared" si="27"/>
        <v>4oz empty plastic cups for sauce</v>
      </c>
      <c r="H163" s="18" t="str">
        <f t="shared" si="28"/>
        <v>CUPS</v>
      </c>
      <c r="I163" s="19">
        <v>1</v>
      </c>
      <c r="J163" s="20">
        <v>1</v>
      </c>
    </row>
    <row r="164" spans="1:10" ht="15.75" thickBot="1" x14ac:dyDescent="0.3">
      <c r="A164" t="s">
        <v>31</v>
      </c>
      <c r="B164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008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008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4" s="15"/>
      <c r="D164" s="16" t="str">
        <f>"ISCU008"</f>
        <v>ISCU008</v>
      </c>
      <c r="E164" s="16">
        <v>10000</v>
      </c>
      <c r="F164" s="16" t="str">
        <f t="shared" si="26"/>
        <v>P0018</v>
      </c>
      <c r="G164" s="17" t="str">
        <f t="shared" si="27"/>
        <v>4oz empty plastic cups for sauce</v>
      </c>
      <c r="H164" s="18" t="str">
        <f t="shared" si="28"/>
        <v>CUPS</v>
      </c>
      <c r="I164" s="19">
        <v>1</v>
      </c>
      <c r="J164" s="20">
        <v>1</v>
      </c>
    </row>
    <row r="165" spans="1:10" ht="15.75" thickBot="1" x14ac:dyDescent="0.3">
      <c r="A165" t="s">
        <v>31</v>
      </c>
      <c r="B165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009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009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5" s="15"/>
      <c r="D165" s="16" t="str">
        <f>"ISCU009"</f>
        <v>ISCU009</v>
      </c>
      <c r="E165" s="16">
        <v>10000</v>
      </c>
      <c r="F165" s="16" t="str">
        <f t="shared" si="26"/>
        <v>P0018</v>
      </c>
      <c r="G165" s="17" t="str">
        <f t="shared" si="27"/>
        <v>4oz empty plastic cups for sauce</v>
      </c>
      <c r="H165" s="18" t="str">
        <f t="shared" si="28"/>
        <v>CUPS</v>
      </c>
      <c r="I165" s="19">
        <v>1</v>
      </c>
      <c r="J165" s="20">
        <v>1</v>
      </c>
    </row>
    <row r="166" spans="1:10" ht="15.75" thickBot="1" x14ac:dyDescent="0.3">
      <c r="A166" t="s">
        <v>31</v>
      </c>
      <c r="B166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010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010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6" s="15"/>
      <c r="D166" s="16" t="str">
        <f>"ISCU010"</f>
        <v>ISCU010</v>
      </c>
      <c r="E166" s="16">
        <v>10000</v>
      </c>
      <c r="F166" s="16" t="str">
        <f t="shared" si="26"/>
        <v>P0018</v>
      </c>
      <c r="G166" s="17" t="str">
        <f t="shared" si="27"/>
        <v>4oz empty plastic cups for sauce</v>
      </c>
      <c r="H166" s="18" t="str">
        <f t="shared" si="28"/>
        <v>CUPS</v>
      </c>
      <c r="I166" s="19">
        <v>1</v>
      </c>
      <c r="J166" s="20">
        <v>1</v>
      </c>
    </row>
    <row r="167" spans="1:10" ht="15.75" thickBot="1" x14ac:dyDescent="0.3">
      <c r="A167" t="s">
        <v>31</v>
      </c>
      <c r="B167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011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011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7" s="15"/>
      <c r="D167" s="16" t="str">
        <f>"ISCU011"</f>
        <v>ISCU011</v>
      </c>
      <c r="E167" s="16">
        <v>10000</v>
      </c>
      <c r="F167" s="16" t="str">
        <f t="shared" si="26"/>
        <v>P0018</v>
      </c>
      <c r="G167" s="17" t="str">
        <f t="shared" si="27"/>
        <v>4oz empty plastic cups for sauce</v>
      </c>
      <c r="H167" s="18" t="str">
        <f t="shared" si="28"/>
        <v>CUPS</v>
      </c>
      <c r="I167" s="19">
        <v>1</v>
      </c>
      <c r="J167" s="20">
        <v>1</v>
      </c>
    </row>
    <row r="168" spans="1:10" ht="15.75" thickBot="1" x14ac:dyDescent="0.3">
      <c r="A168" t="s">
        <v>31</v>
      </c>
      <c r="B168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012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012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8" s="15"/>
      <c r="D168" s="16" t="str">
        <f>"ISCU012"</f>
        <v>ISCU012</v>
      </c>
      <c r="E168" s="16">
        <v>10000</v>
      </c>
      <c r="F168" s="16" t="str">
        <f t="shared" si="26"/>
        <v>P0018</v>
      </c>
      <c r="G168" s="17" t="str">
        <f t="shared" si="27"/>
        <v>4oz empty plastic cups for sauce</v>
      </c>
      <c r="H168" s="18" t="str">
        <f t="shared" si="28"/>
        <v>CUPS</v>
      </c>
      <c r="I168" s="19">
        <v>1</v>
      </c>
      <c r="J168" s="20">
        <v>1</v>
      </c>
    </row>
    <row r="169" spans="1:10" ht="15.75" thickBot="1" x14ac:dyDescent="0.3">
      <c r="A169" t="s">
        <v>31</v>
      </c>
      <c r="B169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013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013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9" s="15"/>
      <c r="D169" s="16" t="str">
        <f>"ISCU013"</f>
        <v>ISCU013</v>
      </c>
      <c r="E169" s="16">
        <v>10000</v>
      </c>
      <c r="F169" s="16" t="str">
        <f t="shared" si="26"/>
        <v>P0018</v>
      </c>
      <c r="G169" s="17" t="str">
        <f t="shared" si="27"/>
        <v>4oz empty plastic cups for sauce</v>
      </c>
      <c r="H169" s="18" t="str">
        <f t="shared" si="28"/>
        <v>CUPS</v>
      </c>
      <c r="I169" s="19">
        <v>1</v>
      </c>
      <c r="J169" s="20">
        <v>1</v>
      </c>
    </row>
    <row r="170" spans="1:10" ht="15.75" thickBot="1" x14ac:dyDescent="0.3">
      <c r="A170" t="s">
        <v>31</v>
      </c>
      <c r="B170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014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014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0" s="15"/>
      <c r="D170" s="16" t="str">
        <f>"ISCU014"</f>
        <v>ISCU014</v>
      </c>
      <c r="E170" s="16">
        <v>10000</v>
      </c>
      <c r="F170" s="16" t="str">
        <f t="shared" si="26"/>
        <v>P0018</v>
      </c>
      <c r="G170" s="17" t="str">
        <f t="shared" si="27"/>
        <v>4oz empty plastic cups for sauce</v>
      </c>
      <c r="H170" s="18" t="str">
        <f t="shared" si="28"/>
        <v>CUPS</v>
      </c>
      <c r="I170" s="19">
        <v>1</v>
      </c>
      <c r="J170" s="20">
        <v>1</v>
      </c>
    </row>
    <row r="171" spans="1:10" ht="15.75" thickBot="1" x14ac:dyDescent="0.3">
      <c r="A171" t="s">
        <v>31</v>
      </c>
      <c r="B171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015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015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1" s="15"/>
      <c r="D171" s="16" t="str">
        <f>"ISCU015"</f>
        <v>ISCU015</v>
      </c>
      <c r="E171" s="16">
        <v>10000</v>
      </c>
      <c r="F171" s="16" t="str">
        <f t="shared" si="26"/>
        <v>P0018</v>
      </c>
      <c r="G171" s="17" t="str">
        <f t="shared" si="27"/>
        <v>4oz empty plastic cups for sauce</v>
      </c>
      <c r="H171" s="18" t="str">
        <f t="shared" si="28"/>
        <v>CUPS</v>
      </c>
      <c r="I171" s="19">
        <v>1</v>
      </c>
      <c r="J171" s="20">
        <v>1</v>
      </c>
    </row>
    <row r="172" spans="1:10" ht="15.75" thickBot="1" x14ac:dyDescent="0.3">
      <c r="A172" t="s">
        <v>31</v>
      </c>
      <c r="B172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017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017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2" s="15"/>
      <c r="D172" s="16" t="str">
        <f>"ISCU017"</f>
        <v>ISCU017</v>
      </c>
      <c r="E172" s="16">
        <v>10000</v>
      </c>
      <c r="F172" s="16" t="str">
        <f t="shared" si="26"/>
        <v>P0018</v>
      </c>
      <c r="G172" s="17" t="str">
        <f t="shared" si="27"/>
        <v>4oz empty plastic cups for sauce</v>
      </c>
      <c r="H172" s="18" t="str">
        <f t="shared" si="28"/>
        <v>CUPS</v>
      </c>
      <c r="I172" s="19">
        <v>1</v>
      </c>
      <c r="J172" s="20">
        <v>1</v>
      </c>
    </row>
    <row r="173" spans="1:10" ht="15.75" thickBot="1" x14ac:dyDescent="0.3">
      <c r="A173" t="s">
        <v>31</v>
      </c>
      <c r="B173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018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018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3" s="15"/>
      <c r="D173" s="16" t="str">
        <f>"ISCU018"</f>
        <v>ISCU018</v>
      </c>
      <c r="E173" s="16">
        <v>10000</v>
      </c>
      <c r="F173" s="16" t="str">
        <f t="shared" si="26"/>
        <v>P0018</v>
      </c>
      <c r="G173" s="17" t="str">
        <f t="shared" si="27"/>
        <v>4oz empty plastic cups for sauce</v>
      </c>
      <c r="H173" s="18" t="str">
        <f t="shared" si="28"/>
        <v>CUPS</v>
      </c>
      <c r="I173" s="19">
        <v>1</v>
      </c>
      <c r="J173" s="20">
        <v>1</v>
      </c>
    </row>
    <row r="174" spans="1:10" ht="15.75" thickBot="1" x14ac:dyDescent="0.3">
      <c r="A174" t="s">
        <v>31</v>
      </c>
      <c r="B174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019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019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4" s="15"/>
      <c r="D174" s="16" t="str">
        <f>"ISCU019"</f>
        <v>ISCU019</v>
      </c>
      <c r="E174" s="16">
        <v>10000</v>
      </c>
      <c r="F174" s="16" t="str">
        <f t="shared" si="26"/>
        <v>P0018</v>
      </c>
      <c r="G174" s="17" t="str">
        <f t="shared" si="27"/>
        <v>4oz empty plastic cups for sauce</v>
      </c>
      <c r="H174" s="18" t="str">
        <f t="shared" si="28"/>
        <v>CUPS</v>
      </c>
      <c r="I174" s="19">
        <v>1</v>
      </c>
      <c r="J174" s="20">
        <v>1</v>
      </c>
    </row>
    <row r="175" spans="1:10" ht="15.75" thickBot="1" x14ac:dyDescent="0.3">
      <c r="A175" t="s">
        <v>31</v>
      </c>
      <c r="B175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020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020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5" s="15"/>
      <c r="D175" s="16" t="str">
        <f>"ISCU020"</f>
        <v>ISCU020</v>
      </c>
      <c r="E175" s="16">
        <v>10000</v>
      </c>
      <c r="F175" s="16" t="str">
        <f t="shared" si="26"/>
        <v>P0018</v>
      </c>
      <c r="G175" s="17" t="str">
        <f t="shared" si="27"/>
        <v>4oz empty plastic cups for sauce</v>
      </c>
      <c r="H175" s="18" t="str">
        <f t="shared" si="28"/>
        <v>CUPS</v>
      </c>
      <c r="I175" s="19">
        <v>1</v>
      </c>
      <c r="J175" s="20">
        <v>1</v>
      </c>
    </row>
    <row r="176" spans="1:10" ht="15.75" thickBot="1" x14ac:dyDescent="0.3">
      <c r="A176" t="s">
        <v>31</v>
      </c>
      <c r="B176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021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021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6" s="15"/>
      <c r="D176" s="16" t="str">
        <f>"ISCU021"</f>
        <v>ISCU021</v>
      </c>
      <c r="E176" s="16">
        <v>10000</v>
      </c>
      <c r="F176" s="16" t="str">
        <f t="shared" si="26"/>
        <v>P0018</v>
      </c>
      <c r="G176" s="17" t="str">
        <f t="shared" si="27"/>
        <v>4oz empty plastic cups for sauce</v>
      </c>
      <c r="H176" s="18" t="str">
        <f t="shared" si="28"/>
        <v>CUPS</v>
      </c>
      <c r="I176" s="19">
        <v>1</v>
      </c>
      <c r="J176" s="20">
        <v>1</v>
      </c>
    </row>
    <row r="177" spans="1:10" ht="15.75" thickBot="1" x14ac:dyDescent="0.3">
      <c r="A177" t="s">
        <v>31</v>
      </c>
      <c r="B177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022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022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7" s="15"/>
      <c r="D177" s="16" t="str">
        <f>"ISCU022"</f>
        <v>ISCU022</v>
      </c>
      <c r="E177" s="16">
        <v>10000</v>
      </c>
      <c r="F177" s="16" t="str">
        <f t="shared" si="26"/>
        <v>P0018</v>
      </c>
      <c r="G177" s="17" t="str">
        <f t="shared" si="27"/>
        <v>4oz empty plastic cups for sauce</v>
      </c>
      <c r="H177" s="18" t="str">
        <f t="shared" si="28"/>
        <v>CUPS</v>
      </c>
      <c r="I177" s="19">
        <v>1</v>
      </c>
      <c r="J177" s="20">
        <v>1</v>
      </c>
    </row>
    <row r="178" spans="1:10" ht="15.75" thickBot="1" x14ac:dyDescent="0.3">
      <c r="A178" t="s">
        <v>31</v>
      </c>
      <c r="B178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023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023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8" s="15"/>
      <c r="D178" s="16" t="str">
        <f>"ISCU023"</f>
        <v>ISCU023</v>
      </c>
      <c r="E178" s="16">
        <v>10000</v>
      </c>
      <c r="F178" s="16" t="str">
        <f t="shared" si="26"/>
        <v>P0018</v>
      </c>
      <c r="G178" s="17" t="str">
        <f t="shared" si="27"/>
        <v>4oz empty plastic cups for sauce</v>
      </c>
      <c r="H178" s="18" t="str">
        <f t="shared" si="28"/>
        <v>CUPS</v>
      </c>
      <c r="I178" s="19">
        <v>1</v>
      </c>
      <c r="J178" s="20">
        <v>1</v>
      </c>
    </row>
    <row r="179" spans="1:10" ht="15.75" thickBot="1" x14ac:dyDescent="0.3">
      <c r="A179" t="s">
        <v>31</v>
      </c>
      <c r="B179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025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025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9" s="15"/>
      <c r="D179" s="16" t="str">
        <f>"ISCU025"</f>
        <v>ISCU025</v>
      </c>
      <c r="E179" s="16">
        <v>10000</v>
      </c>
      <c r="F179" s="16" t="str">
        <f t="shared" si="26"/>
        <v>P0018</v>
      </c>
      <c r="G179" s="17" t="str">
        <f t="shared" si="27"/>
        <v>4oz empty plastic cups for sauce</v>
      </c>
      <c r="H179" s="18" t="str">
        <f t="shared" si="28"/>
        <v>CUPS</v>
      </c>
      <c r="I179" s="19">
        <v>1</v>
      </c>
      <c r="J179" s="20">
        <v>1</v>
      </c>
    </row>
    <row r="180" spans="1:10" ht="15.75" thickBot="1" x14ac:dyDescent="0.3">
      <c r="A180" t="s">
        <v>31</v>
      </c>
      <c r="B180" s="15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026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026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80" s="15"/>
      <c r="D180" s="16" t="str">
        <f>"ISCU026"</f>
        <v>ISCU026</v>
      </c>
      <c r="E180" s="16">
        <v>10000</v>
      </c>
      <c r="F180" s="16" t="str">
        <f t="shared" si="26"/>
        <v>P0018</v>
      </c>
      <c r="G180" s="17" t="str">
        <f t="shared" si="27"/>
        <v>4oz empty plastic cups for sauce</v>
      </c>
      <c r="H180" s="18" t="str">
        <f t="shared" si="28"/>
        <v>CUPS</v>
      </c>
      <c r="I180" s="19">
        <v>1</v>
      </c>
      <c r="J180" s="20">
        <v>1</v>
      </c>
    </row>
    <row r="181" spans="1:10" ht="15.75" thickBot="1" x14ac:dyDescent="0.3">
      <c r="A181" t="s">
        <v>31</v>
      </c>
      <c r="B181" s="15" t="str">
        <f>"""Manzana NAV"",""MANZANA"",""99000772"",""44"","" "",""22"",""False"",""43"",""0.00000000000000000000"",""12"",""4oz empty plastic cups for sauce"",""50220"",""False"",""29"","""",""50210"",""False"",""18"","""",""11"",""P0018"",""2"",""20000"",""1"",""ISCU024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20000","1","ISCU024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81" s="15"/>
      <c r="D181" s="16" t="str">
        <f>"ISCU024"</f>
        <v>ISCU024</v>
      </c>
      <c r="E181" s="16">
        <v>20000</v>
      </c>
      <c r="F181" s="16" t="str">
        <f t="shared" si="26"/>
        <v>P0018</v>
      </c>
      <c r="G181" s="17" t="str">
        <f t="shared" si="27"/>
        <v>4oz empty plastic cups for sauce</v>
      </c>
      <c r="H181" s="18" t="str">
        <f t="shared" si="28"/>
        <v>CUPS</v>
      </c>
      <c r="I181" s="19">
        <v>1</v>
      </c>
      <c r="J181" s="20">
        <v>1</v>
      </c>
    </row>
    <row r="182" spans="1:10" ht="15.75" thickBot="1" x14ac:dyDescent="0.3">
      <c r="A182" t="s">
        <v>31</v>
      </c>
      <c r="B182" s="15" t="str">
        <f>"""Manzana NAV"",""MANZANA"",""99000772"",""44"","" "",""22"",""False"",""43"",""0.00000000000000000000"",""12"",""53mm Cap for 128oz PET bottles"",""50220"",""False"",""29"","""",""50210"",""False"",""18"","""",""11"",""P0024"",""2"",""30000"",""1"",""IV011"",""14"",""1.00000000000000000000"",""45"",""1.0000000"&amp;"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","22","False","43","0.00000000000000000000","12","53mm Cap for 128oz PET bottles","50220","False","29","","50210","False","18","","11","P0024","2","30000","1","IV011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82" s="15"/>
      <c r="D182" s="16" t="str">
        <f>"IV011"</f>
        <v>IV011</v>
      </c>
      <c r="E182" s="16">
        <v>30000</v>
      </c>
      <c r="F182" s="16" t="str">
        <f>"P0024"</f>
        <v>P0024</v>
      </c>
      <c r="G182" s="17" t="str">
        <f>"53mm Cap for 128oz PET bottles"</f>
        <v>53mm Cap for 128oz PET bottles</v>
      </c>
      <c r="H182" s="18" t="str">
        <f>"CAPS"</f>
        <v>CAPS</v>
      </c>
      <c r="I182" s="19">
        <v>1</v>
      </c>
      <c r="J182" s="20">
        <v>1</v>
      </c>
    </row>
    <row r="183" spans="1:10" ht="15.75" thickBot="1" x14ac:dyDescent="0.3">
      <c r="A183" t="s">
        <v>31</v>
      </c>
      <c r="B183" s="15" t="str">
        <f>"""Manzana NAV"",""MANZANA"",""99000772"",""44"","" "",""22"",""False"",""43"",""0.00000000000000000000"",""12"",""55 Gallon Drum"",""50220"",""False"",""29"","""",""50210"",""False"",""18"","""",""11"",""P0001"",""2"",""2500"",""1"",""FV9990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2500","1","FV9990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3" s="15"/>
      <c r="D183" s="16" t="str">
        <f>"FV9990"</f>
        <v>FV9990</v>
      </c>
      <c r="E183" s="16">
        <v>2500</v>
      </c>
      <c r="F183" s="16" t="str">
        <f t="shared" ref="F183:F198" si="29">"P0001"</f>
        <v>P0001</v>
      </c>
      <c r="G183" s="17" t="str">
        <f t="shared" ref="G183:G198" si="30">"55 Gallon Drum"</f>
        <v>55 Gallon Drum</v>
      </c>
      <c r="H183" s="18" t="str">
        <f t="shared" ref="H183:H204" si="31">"DRUMS"</f>
        <v>DRUMS</v>
      </c>
      <c r="I183" s="19">
        <v>1</v>
      </c>
      <c r="J183" s="20">
        <v>1</v>
      </c>
    </row>
    <row r="184" spans="1:10" ht="15.75" thickBot="1" x14ac:dyDescent="0.3">
      <c r="A184" t="s">
        <v>31</v>
      </c>
      <c r="B184" s="15" t="str">
        <f>"""Manzana NAV"",""MANZANA"",""99000772"",""44"","" "",""22"",""False"",""43"",""0.00000000000000000000"",""12"",""55 Gallon Drum"",""50220"",""False"",""29"","""",""50210"",""False"",""18"","""",""11"",""P0001"",""2"",""5000"",""1"",""FJ9991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J9991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4" s="15"/>
      <c r="D184" s="16" t="str">
        <f>"FJ9991"</f>
        <v>FJ9991</v>
      </c>
      <c r="E184" s="16">
        <v>5000</v>
      </c>
      <c r="F184" s="16" t="str">
        <f t="shared" si="29"/>
        <v>P0001</v>
      </c>
      <c r="G184" s="17" t="str">
        <f t="shared" si="30"/>
        <v>55 Gallon Drum</v>
      </c>
      <c r="H184" s="18" t="str">
        <f t="shared" si="31"/>
        <v>DRUMS</v>
      </c>
      <c r="I184" s="19">
        <v>1</v>
      </c>
      <c r="J184" s="20">
        <v>1</v>
      </c>
    </row>
    <row r="185" spans="1:10" ht="15.75" thickBot="1" x14ac:dyDescent="0.3">
      <c r="A185" t="s">
        <v>31</v>
      </c>
      <c r="B185" s="15" t="str">
        <f>"""Manzana NAV"",""MANZANA"",""99000772"",""44"","" "",""22"",""False"",""43"",""0.00000000000000000000"",""12"",""55 Gallon Drum"",""50220"",""False"",""29"","""",""50210"",""False"",""18"","""",""11"",""P0001"",""2"",""5000"",""1"",""FV9002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9002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5" s="15"/>
      <c r="D185" s="16" t="str">
        <f>"FV9002"</f>
        <v>FV9002</v>
      </c>
      <c r="E185" s="16">
        <v>5000</v>
      </c>
      <c r="F185" s="16" t="str">
        <f t="shared" si="29"/>
        <v>P0001</v>
      </c>
      <c r="G185" s="17" t="str">
        <f t="shared" si="30"/>
        <v>55 Gallon Drum</v>
      </c>
      <c r="H185" s="18" t="str">
        <f t="shared" si="31"/>
        <v>DRUMS</v>
      </c>
      <c r="I185" s="19">
        <v>1</v>
      </c>
      <c r="J185" s="20">
        <v>1</v>
      </c>
    </row>
    <row r="186" spans="1:10" ht="15.75" thickBot="1" x14ac:dyDescent="0.3">
      <c r="A186" t="s">
        <v>31</v>
      </c>
      <c r="B186" s="15" t="str">
        <f>"""Manzana NAV"",""MANZANA"",""99000772"",""44"","" "",""22"",""False"",""43"",""0.00000000000000000000"",""12"",""55 Gallon Drum"",""50220"",""False"",""29"","""",""50210"",""False"",""18"","""",""11"",""P0001"",""2"",""5000"",""1"",""FV9004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6" s="15"/>
      <c r="D186" s="16" t="str">
        <f>"FV9004"</f>
        <v>FV9004</v>
      </c>
      <c r="E186" s="16">
        <v>5000</v>
      </c>
      <c r="F186" s="16" t="str">
        <f t="shared" si="29"/>
        <v>P0001</v>
      </c>
      <c r="G186" s="17" t="str">
        <f t="shared" si="30"/>
        <v>55 Gallon Drum</v>
      </c>
      <c r="H186" s="18" t="str">
        <f t="shared" si="31"/>
        <v>DRUMS</v>
      </c>
      <c r="I186" s="19">
        <v>1</v>
      </c>
      <c r="J186" s="20">
        <v>1</v>
      </c>
    </row>
    <row r="187" spans="1:10" ht="15.75" thickBot="1" x14ac:dyDescent="0.3">
      <c r="A187" t="s">
        <v>31</v>
      </c>
      <c r="B187" s="15" t="str">
        <f>"""Manzana NAV"",""MANZANA"",""99000772"",""44"","" "",""22"",""False"",""43"",""0.00000000000000000000"",""12"",""55 Gallon Drum"",""50220"",""False"",""29"","""",""50210"",""False"",""18"","""",""11"",""P0001"",""2"",""5000"",""1"",""FV9005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9005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7" s="15"/>
      <c r="D187" s="16" t="str">
        <f>"FV9005"</f>
        <v>FV9005</v>
      </c>
      <c r="E187" s="16">
        <v>5000</v>
      </c>
      <c r="F187" s="16" t="str">
        <f t="shared" si="29"/>
        <v>P0001</v>
      </c>
      <c r="G187" s="17" t="str">
        <f t="shared" si="30"/>
        <v>55 Gallon Drum</v>
      </c>
      <c r="H187" s="18" t="str">
        <f t="shared" si="31"/>
        <v>DRUMS</v>
      </c>
      <c r="I187" s="19">
        <v>1</v>
      </c>
      <c r="J187" s="20">
        <v>1</v>
      </c>
    </row>
    <row r="188" spans="1:10" ht="15.75" thickBot="1" x14ac:dyDescent="0.3">
      <c r="A188" t="s">
        <v>31</v>
      </c>
      <c r="B188" s="15" t="str">
        <f>"""Manzana NAV"",""MANZANA"",""99000772"",""44"","" "",""22"",""False"",""43"",""0.00000000000000000000"",""12"",""55 Gallon Drum"",""50220"",""False"",""29"","""",""50210"",""False"",""18"","""",""11"",""P0001"",""2"",""5000"",""1"",""FV9007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8" s="15"/>
      <c r="D188" s="16" t="str">
        <f>"FV9007"</f>
        <v>FV9007</v>
      </c>
      <c r="E188" s="16">
        <v>5000</v>
      </c>
      <c r="F188" s="16" t="str">
        <f t="shared" si="29"/>
        <v>P0001</v>
      </c>
      <c r="G188" s="17" t="str">
        <f t="shared" si="30"/>
        <v>55 Gallon Drum</v>
      </c>
      <c r="H188" s="18" t="str">
        <f t="shared" si="31"/>
        <v>DRUMS</v>
      </c>
      <c r="I188" s="19">
        <v>1</v>
      </c>
      <c r="J188" s="20">
        <v>1</v>
      </c>
    </row>
    <row r="189" spans="1:10" ht="15.75" thickBot="1" x14ac:dyDescent="0.3">
      <c r="A189" t="s">
        <v>31</v>
      </c>
      <c r="B189" s="15" t="str">
        <f>"""Manzana NAV"",""MANZANA"",""99000772"",""44"","" "",""22"",""False"",""43"",""0.00000000000000000000"",""12"",""55 Gallon Drum"",""50220"",""False"",""29"","""",""50210"",""False"",""18"","""",""11"",""P0001"",""2"",""5000"",""1"",""FV9987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9987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9" s="15"/>
      <c r="D189" s="16" t="str">
        <f>"FV9987"</f>
        <v>FV9987</v>
      </c>
      <c r="E189" s="16">
        <v>5000</v>
      </c>
      <c r="F189" s="16" t="str">
        <f t="shared" si="29"/>
        <v>P0001</v>
      </c>
      <c r="G189" s="17" t="str">
        <f t="shared" si="30"/>
        <v>55 Gallon Drum</v>
      </c>
      <c r="H189" s="18" t="str">
        <f t="shared" si="31"/>
        <v>DRUMS</v>
      </c>
      <c r="I189" s="19">
        <v>1</v>
      </c>
      <c r="J189" s="20">
        <v>1</v>
      </c>
    </row>
    <row r="190" spans="1:10" ht="15.75" thickBot="1" x14ac:dyDescent="0.3">
      <c r="A190" t="s">
        <v>31</v>
      </c>
      <c r="B190" s="15" t="str">
        <f>"""Manzana NAV"",""MANZANA"",""99000772"",""44"","" "",""22"",""False"",""43"",""0.00000000000000000000"",""12"",""55 Gallon Drum"",""50220"",""False"",""29"","""",""50210"",""False"",""18"","""",""11"",""P0001"",""2"",""5000"",""1"",""FV9989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9989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0" s="15"/>
      <c r="D190" s="16" t="str">
        <f>"FV9989"</f>
        <v>FV9989</v>
      </c>
      <c r="E190" s="16">
        <v>5000</v>
      </c>
      <c r="F190" s="16" t="str">
        <f t="shared" si="29"/>
        <v>P0001</v>
      </c>
      <c r="G190" s="17" t="str">
        <f t="shared" si="30"/>
        <v>55 Gallon Drum</v>
      </c>
      <c r="H190" s="18" t="str">
        <f t="shared" si="31"/>
        <v>DRUMS</v>
      </c>
      <c r="I190" s="19">
        <v>1</v>
      </c>
      <c r="J190" s="20">
        <v>1</v>
      </c>
    </row>
    <row r="191" spans="1:10" ht="15.75" thickBot="1" x14ac:dyDescent="0.3">
      <c r="A191" t="s">
        <v>31</v>
      </c>
      <c r="B191" s="15" t="str">
        <f>"""Manzana NAV"",""MANZANA"",""99000772"",""44"","" "",""22"",""False"",""43"",""0.00000000000000000000"",""12"",""55 Gallon Drum"",""50220"",""False"",""29"","""",""50210"",""False"",""18"","""",""11"",""P0001"",""2"",""5000"",""1"",""FV9993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9993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1" s="15"/>
      <c r="D191" s="16" t="str">
        <f>"FV9993"</f>
        <v>FV9993</v>
      </c>
      <c r="E191" s="16">
        <v>5000</v>
      </c>
      <c r="F191" s="16" t="str">
        <f t="shared" si="29"/>
        <v>P0001</v>
      </c>
      <c r="G191" s="17" t="str">
        <f t="shared" si="30"/>
        <v>55 Gallon Drum</v>
      </c>
      <c r="H191" s="18" t="str">
        <f t="shared" si="31"/>
        <v>DRUMS</v>
      </c>
      <c r="I191" s="19">
        <v>1</v>
      </c>
      <c r="J191" s="20">
        <v>1</v>
      </c>
    </row>
    <row r="192" spans="1:10" ht="15.75" thickBot="1" x14ac:dyDescent="0.3">
      <c r="A192" t="s">
        <v>31</v>
      </c>
      <c r="B192" s="15" t="str">
        <f>"""Manzana NAV"",""MANZANA"",""99000772"",""44"","" "",""22"",""False"",""43"",""0.00000000000000000000"",""12"",""55 Gallon Drum"",""50220"",""False"",""29"","""",""50210"",""False"",""18"","""",""11"",""P0001"",""2"",""5000"",""1"",""FV9994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9994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2" s="15"/>
      <c r="D192" s="16" t="str">
        <f>"FV9994"</f>
        <v>FV9994</v>
      </c>
      <c r="E192" s="16">
        <v>5000</v>
      </c>
      <c r="F192" s="16" t="str">
        <f t="shared" si="29"/>
        <v>P0001</v>
      </c>
      <c r="G192" s="17" t="str">
        <f t="shared" si="30"/>
        <v>55 Gallon Drum</v>
      </c>
      <c r="H192" s="18" t="str">
        <f t="shared" si="31"/>
        <v>DRUMS</v>
      </c>
      <c r="I192" s="19">
        <v>1</v>
      </c>
      <c r="J192" s="20">
        <v>1</v>
      </c>
    </row>
    <row r="193" spans="1:10" ht="15.75" thickBot="1" x14ac:dyDescent="0.3">
      <c r="A193" t="s">
        <v>31</v>
      </c>
      <c r="B193" s="15" t="str">
        <f>"""Manzana NAV"",""MANZANA"",""99000772"",""44"","" "",""22"",""False"",""43"",""0.00000000000000000000"",""12"",""55 Gallon Drum"",""50220"",""False"",""29"","""",""50210"",""False"",""18"","""",""11"",""P0001"",""2"",""10000"",""1"",""FV9984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10000","1","FV9984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3" s="15"/>
      <c r="D193" s="16" t="str">
        <f>"FV9984"</f>
        <v>FV9984</v>
      </c>
      <c r="E193" s="16">
        <v>10000</v>
      </c>
      <c r="F193" s="16" t="str">
        <f t="shared" si="29"/>
        <v>P0001</v>
      </c>
      <c r="G193" s="17" t="str">
        <f t="shared" si="30"/>
        <v>55 Gallon Drum</v>
      </c>
      <c r="H193" s="18" t="str">
        <f t="shared" si="31"/>
        <v>DRUMS</v>
      </c>
      <c r="I193" s="19">
        <v>1</v>
      </c>
      <c r="J193" s="20">
        <v>1</v>
      </c>
    </row>
    <row r="194" spans="1:10" ht="15.75" thickBot="1" x14ac:dyDescent="0.3">
      <c r="A194" t="s">
        <v>31</v>
      </c>
      <c r="B194" s="15" t="str">
        <f>"""Manzana NAV"",""MANZANA"",""99000772"",""44"","" "",""22"",""False"",""43"",""0.00000000000000000000"",""12"",""55 Gallon Drum"",""50220"",""False"",""29"","""",""50210"",""False"",""18"","""",""11"",""P0001"",""2"",""10000"",""1"",""FV9997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10000","1","FV9997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4" s="15"/>
      <c r="D194" s="16" t="str">
        <f>"FV9997"</f>
        <v>FV9997</v>
      </c>
      <c r="E194" s="16">
        <v>10000</v>
      </c>
      <c r="F194" s="16" t="str">
        <f t="shared" si="29"/>
        <v>P0001</v>
      </c>
      <c r="G194" s="17" t="str">
        <f t="shared" si="30"/>
        <v>55 Gallon Drum</v>
      </c>
      <c r="H194" s="18" t="str">
        <f t="shared" si="31"/>
        <v>DRUMS</v>
      </c>
      <c r="I194" s="19">
        <v>1</v>
      </c>
      <c r="J194" s="20">
        <v>1</v>
      </c>
    </row>
    <row r="195" spans="1:10" ht="15.75" thickBot="1" x14ac:dyDescent="0.3">
      <c r="A195" t="s">
        <v>31</v>
      </c>
      <c r="B195" s="15" t="str">
        <f>"""Manzana NAV"",""MANZANA"",""99000772"",""44"","" "",""22"",""False"",""43"",""0.00000000000000000000"",""12"",""55 Gallon Drum"",""50220"",""False"",""29"","""",""50210"",""False"",""18"","""",""11"",""P0001"",""2"",""20000"",""1"",""FV0993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0993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5" s="15"/>
      <c r="D195" s="16" t="str">
        <f>"FV0993"</f>
        <v>FV0993</v>
      </c>
      <c r="E195" s="16">
        <v>20000</v>
      </c>
      <c r="F195" s="16" t="str">
        <f t="shared" si="29"/>
        <v>P0001</v>
      </c>
      <c r="G195" s="17" t="str">
        <f t="shared" si="30"/>
        <v>55 Gallon Drum</v>
      </c>
      <c r="H195" s="18" t="str">
        <f t="shared" si="31"/>
        <v>DRUMS</v>
      </c>
      <c r="I195" s="19">
        <v>1</v>
      </c>
      <c r="J195" s="20">
        <v>1</v>
      </c>
    </row>
    <row r="196" spans="1:10" ht="15.75" thickBot="1" x14ac:dyDescent="0.3">
      <c r="A196" t="s">
        <v>31</v>
      </c>
      <c r="B196" s="15" t="str">
        <f>"""Manzana NAV"",""MANZANA"",""99000772"",""44"","" "",""22"",""False"",""43"",""0.00000000000000000000"",""12"",""55 Gallon Drum"",""50220"",""False"",""29"","""",""50210"",""False"",""18"","""",""11"",""P0001"",""2"",""20000"",""1"",""FV0996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0996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6" s="15"/>
      <c r="D196" s="16" t="str">
        <f>"FV0996"</f>
        <v>FV0996</v>
      </c>
      <c r="E196" s="16">
        <v>20000</v>
      </c>
      <c r="F196" s="16" t="str">
        <f t="shared" si="29"/>
        <v>P0001</v>
      </c>
      <c r="G196" s="17" t="str">
        <f t="shared" si="30"/>
        <v>55 Gallon Drum</v>
      </c>
      <c r="H196" s="18" t="str">
        <f t="shared" si="31"/>
        <v>DRUMS</v>
      </c>
      <c r="I196" s="19">
        <v>1</v>
      </c>
      <c r="J196" s="20">
        <v>1</v>
      </c>
    </row>
    <row r="197" spans="1:10" ht="15.75" thickBot="1" x14ac:dyDescent="0.3">
      <c r="A197" t="s">
        <v>31</v>
      </c>
      <c r="B197" s="15" t="str">
        <f>"""Manzana NAV"",""MANZANA"",""99000772"",""44"","" "",""22"",""False"",""43"",""0.00000000000000000000"",""12"",""55 Gallon Drum"",""50220"",""False"",""29"","""",""50210"",""False"",""18"","""",""11"",""P0001"",""2"",""20000"",""1"",""FV0997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0997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7" s="15"/>
      <c r="D197" s="16" t="str">
        <f>"FV0997"</f>
        <v>FV0997</v>
      </c>
      <c r="E197" s="16">
        <v>20000</v>
      </c>
      <c r="F197" s="16" t="str">
        <f t="shared" si="29"/>
        <v>P0001</v>
      </c>
      <c r="G197" s="17" t="str">
        <f t="shared" si="30"/>
        <v>55 Gallon Drum</v>
      </c>
      <c r="H197" s="18" t="str">
        <f t="shared" si="31"/>
        <v>DRUMS</v>
      </c>
      <c r="I197" s="19">
        <v>1</v>
      </c>
      <c r="J197" s="20">
        <v>1</v>
      </c>
    </row>
    <row r="198" spans="1:10" ht="15.75" thickBot="1" x14ac:dyDescent="0.3">
      <c r="A198" t="s">
        <v>31</v>
      </c>
      <c r="B198" s="15" t="str">
        <f>"""Manzana NAV"",""MANZANA"",""99000772"",""44"","" "",""22"",""False"",""43"",""0.00000000000000000000"",""12"",""55 Gallon Drum"",""50220"",""False"",""29"","""",""50210"",""False"",""18"","""",""11"",""P0001"",""2"",""20000"",""1"",""FV9988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9988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8" s="15"/>
      <c r="D198" s="16" t="str">
        <f>"FV9988"</f>
        <v>FV9988</v>
      </c>
      <c r="E198" s="16">
        <v>20000</v>
      </c>
      <c r="F198" s="16" t="str">
        <f t="shared" si="29"/>
        <v>P0001</v>
      </c>
      <c r="G198" s="17" t="str">
        <f t="shared" si="30"/>
        <v>55 Gallon Drum</v>
      </c>
      <c r="H198" s="18" t="str">
        <f t="shared" si="31"/>
        <v>DRUMS</v>
      </c>
      <c r="I198" s="19">
        <v>1</v>
      </c>
      <c r="J198" s="20">
        <v>1</v>
      </c>
    </row>
    <row r="199" spans="1:10" ht="15.75" thickBot="1" x14ac:dyDescent="0.3">
      <c r="A199" t="s">
        <v>31</v>
      </c>
      <c r="B199" s="15" t="str">
        <f>"""Manzana NAV"",""MANZANA"",""99000772"",""44"","" "",""22"",""False"",""43"",""0.00000000000000000000"",""12"",""55 Gallon Drum - Blue"",""50220"",""False"",""29"","""",""50210"",""False"",""18"","""",""11"",""P0001B"",""2"",""7500"",""1"",""FJ9991"",""14"",""0.00000000000000000000"",""45"",""0.000000000000000"&amp;"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7500","1","FJ9991","14","0.00000000000000000000","45","0.00000000000000000000","19","","20","0.00000000000000000000","50000","0.00000000000000000000","50230","False","28","","10","Item","13","DRUMS","21","","3","","42","0.00000000000000000000","50200","False","41","0.00000000000000000000"</v>
      </c>
      <c r="C199" s="15"/>
      <c r="D199" s="16" t="str">
        <f>"FJ9991"</f>
        <v>FJ9991</v>
      </c>
      <c r="E199" s="16">
        <v>7500</v>
      </c>
      <c r="F199" s="16" t="str">
        <f>"P0001B"</f>
        <v>P0001B</v>
      </c>
      <c r="G199" s="17" t="str">
        <f>"55 Gallon Drum - Blue"</f>
        <v>55 Gallon Drum - Blue</v>
      </c>
      <c r="H199" s="18" t="str">
        <f t="shared" si="31"/>
        <v>DRUMS</v>
      </c>
      <c r="I199" s="19">
        <v>0</v>
      </c>
      <c r="J199" s="20">
        <v>0</v>
      </c>
    </row>
    <row r="200" spans="1:10" ht="15.75" thickBot="1" x14ac:dyDescent="0.3">
      <c r="A200" t="s">
        <v>31</v>
      </c>
      <c r="B200" s="15" t="str">
        <f>"""Manzana NAV"",""MANZANA"",""99000772"",""44"","" "",""22"",""False"",""43"",""0.00000000000000000000"",""12"",""55 Gallon Drum - Blue"",""50220"",""False"",""29"","""",""50210"",""False"",""18"","""",""11"",""P0001B"",""2"",""7500"",""1"",""FV0992"",""14"",""1.00000000000000000000"",""45"",""1.000000000000000"&amp;"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7500","1","FV0992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0" s="15"/>
      <c r="D200" s="16" t="str">
        <f>"FV0992"</f>
        <v>FV0992</v>
      </c>
      <c r="E200" s="16">
        <v>7500</v>
      </c>
      <c r="F200" s="16" t="str">
        <f>"P0001B"</f>
        <v>P0001B</v>
      </c>
      <c r="G200" s="17" t="str">
        <f>"55 Gallon Drum - Blue"</f>
        <v>55 Gallon Drum - Blue</v>
      </c>
      <c r="H200" s="18" t="str">
        <f t="shared" si="31"/>
        <v>DRUMS</v>
      </c>
      <c r="I200" s="19">
        <v>1</v>
      </c>
      <c r="J200" s="20">
        <v>1</v>
      </c>
    </row>
    <row r="201" spans="1:10" ht="15.75" thickBot="1" x14ac:dyDescent="0.3">
      <c r="A201" t="s">
        <v>31</v>
      </c>
      <c r="B201" s="15" t="str">
        <f>"""Manzana NAV"",""MANZANA"",""99000772"",""44"","" "",""22"",""False"",""43"",""0.00000000000000000000"",""12"",""55 Gallon Drum - Blue"",""50220"",""False"",""29"","""",""50210"",""False"",""18"","""",""11"",""P0001B"",""2"",""15000"",""1"",""FV9984"",""14"",""1.00000000000000000000"",""45"",""1.00000000000000"&amp;"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15000","1","FV9984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1" s="15"/>
      <c r="D201" s="16" t="str">
        <f>"FV9984"</f>
        <v>FV9984</v>
      </c>
      <c r="E201" s="16">
        <v>15000</v>
      </c>
      <c r="F201" s="16" t="str">
        <f>"P0001B"</f>
        <v>P0001B</v>
      </c>
      <c r="G201" s="17" t="str">
        <f>"55 Gallon Drum - Blue"</f>
        <v>55 Gallon Drum - Blue</v>
      </c>
      <c r="H201" s="18" t="str">
        <f t="shared" si="31"/>
        <v>DRUMS</v>
      </c>
      <c r="I201" s="19">
        <v>1</v>
      </c>
      <c r="J201" s="20">
        <v>1</v>
      </c>
    </row>
    <row r="202" spans="1:10" ht="15.75" thickBot="1" x14ac:dyDescent="0.3">
      <c r="A202" t="s">
        <v>31</v>
      </c>
      <c r="B202" s="15" t="str">
        <f>"""Manzana NAV"",""MANZANA"",""99000772"",""44"","" "",""22"",""False"",""43"",""0.00000000000000000000"",""12"",""55 Gallon Drum - Blue"",""50220"",""False"",""29"","""",""50210"",""False"",""18"","""",""11"",""P0001B"",""2"",""15000"",""1"",""FV9997"",""14"",""1.00000000000000000000"",""45"",""1.00000000000000"&amp;"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15000","1","FV9997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2" s="15"/>
      <c r="D202" s="16" t="str">
        <f>"FV9997"</f>
        <v>FV9997</v>
      </c>
      <c r="E202" s="16">
        <v>15000</v>
      </c>
      <c r="F202" s="16" t="str">
        <f>"P0001B"</f>
        <v>P0001B</v>
      </c>
      <c r="G202" s="17" t="str">
        <f>"55 Gallon Drum - Blue"</f>
        <v>55 Gallon Drum - Blue</v>
      </c>
      <c r="H202" s="18" t="str">
        <f t="shared" si="31"/>
        <v>DRUMS</v>
      </c>
      <c r="I202" s="19">
        <v>1</v>
      </c>
      <c r="J202" s="20">
        <v>1</v>
      </c>
    </row>
    <row r="203" spans="1:10" ht="15.75" thickBot="1" x14ac:dyDescent="0.3">
      <c r="A203" t="s">
        <v>31</v>
      </c>
      <c r="B203" s="15" t="str">
        <f>"""Manzana NAV"",""MANZANA"",""99000772"",""44"","" "",""22"",""False"",""43"",""0.00000000000000000000"",""12"",""55 Gallon Drum - Blue"",""50220"",""False"",""29"","""",""50210"",""False"",""18"","""",""11"",""P0001B"",""2"",""25000"",""1"",""FV0993"",""14"",""1.00000000000000000000"",""45"",""1.00000000000000"&amp;"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25000","1","FV0993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3" s="15"/>
      <c r="D203" s="16" t="str">
        <f>"FV0993"</f>
        <v>FV0993</v>
      </c>
      <c r="E203" s="16">
        <v>25000</v>
      </c>
      <c r="F203" s="16" t="str">
        <f>"P0001B"</f>
        <v>P0001B</v>
      </c>
      <c r="G203" s="17" t="str">
        <f>"55 Gallon Drum - Blue"</f>
        <v>55 Gallon Drum - Blue</v>
      </c>
      <c r="H203" s="18" t="str">
        <f t="shared" si="31"/>
        <v>DRUMS</v>
      </c>
      <c r="I203" s="19">
        <v>1</v>
      </c>
      <c r="J203" s="20">
        <v>1</v>
      </c>
    </row>
    <row r="204" spans="1:10" ht="15.75" thickBot="1" x14ac:dyDescent="0.3">
      <c r="A204" t="s">
        <v>31</v>
      </c>
      <c r="B204" s="15" t="str">
        <f>"""Manzana NAV"",""MANZANA"",""99000772"",""44"","" "",""22"",""False"",""43"",""0.00000000000000000000"",""12"",""55 Gallon Drum - White"",""50220"",""False"",""29"","""",""50210"",""False"",""18"","""",""11"",""P0001"",""2"",""5000"",""1"",""FV0992"",""14"",""1.00000000000000000000"",""45"",""1.000000000000000"&amp;"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White","50220","False","29","","50210","False","18","","11","P0001","2","5000","1","FV0992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4" s="15"/>
      <c r="D204" s="16" t="str">
        <f>"FV0992"</f>
        <v>FV0992</v>
      </c>
      <c r="E204" s="16">
        <v>5000</v>
      </c>
      <c r="F204" s="16" t="str">
        <f>"P0001"</f>
        <v>P0001</v>
      </c>
      <c r="G204" s="17" t="str">
        <f>"55 Gallon Drum - White"</f>
        <v>55 Gallon Drum - White</v>
      </c>
      <c r="H204" s="18" t="str">
        <f t="shared" si="31"/>
        <v>DRUMS</v>
      </c>
      <c r="I204" s="19">
        <v>1</v>
      </c>
      <c r="J204" s="20">
        <v>1</v>
      </c>
    </row>
    <row r="205" spans="1:10" ht="15.75" thickBot="1" x14ac:dyDescent="0.3">
      <c r="A205" t="s">
        <v>31</v>
      </c>
      <c r="B205" s="15" t="str">
        <f>"""Manzana NAV"",""MANZANA"",""99000772"",""44"","" "",""22"",""False"",""43"",""0.00000000000000000000"",""12"",""64oz empty glass bottle - diamond neck"",""50220"",""False"",""29"","""",""50210"",""False"",""18"","""",""11"",""P0010"",""2"",""10000"",""1"",""IJ021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10000","1","IJ021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5" s="15"/>
      <c r="D205" s="16" t="str">
        <f>"IJ021"</f>
        <v>IJ021</v>
      </c>
      <c r="E205" s="16">
        <v>10000</v>
      </c>
      <c r="F205" s="16" t="str">
        <f t="shared" ref="F205:F215" si="32">"P0010"</f>
        <v>P0010</v>
      </c>
      <c r="G205" s="17" t="str">
        <f t="shared" ref="G205:G215" si="33">"64oz empty glass bottle - diamond neck"</f>
        <v>64oz empty glass bottle - diamond neck</v>
      </c>
      <c r="H205" s="18" t="str">
        <f t="shared" ref="H205:H225" si="34">"BTLS"</f>
        <v>BTLS</v>
      </c>
      <c r="I205" s="19">
        <v>1</v>
      </c>
      <c r="J205" s="20">
        <v>1</v>
      </c>
    </row>
    <row r="206" spans="1:10" ht="15.75" thickBot="1" x14ac:dyDescent="0.3">
      <c r="A206" t="s">
        <v>31</v>
      </c>
      <c r="B206" s="15" t="str">
        <f>"""Manzana NAV"",""MANZANA"",""99000772"",""44"","" "",""22"",""False"",""43"",""0.00000000000000000000"",""12"",""64oz empty glass bottle - diamond neck"",""50220"",""False"",""29"","""",""50210"",""False"",""18"","""",""11"",""P0010"",""2"",""10000"",""1"",""IJ114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10000","1","IJ114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6" s="15"/>
      <c r="D206" s="16" t="str">
        <f>"IJ114"</f>
        <v>IJ114</v>
      </c>
      <c r="E206" s="16">
        <v>10000</v>
      </c>
      <c r="F206" s="16" t="str">
        <f t="shared" si="32"/>
        <v>P0010</v>
      </c>
      <c r="G206" s="17" t="str">
        <f t="shared" si="33"/>
        <v>64oz empty glass bottle - diamond neck</v>
      </c>
      <c r="H206" s="18" t="str">
        <f t="shared" si="34"/>
        <v>BTLS</v>
      </c>
      <c r="I206" s="19">
        <v>1</v>
      </c>
      <c r="J206" s="20">
        <v>1</v>
      </c>
    </row>
    <row r="207" spans="1:10" ht="15.75" thickBot="1" x14ac:dyDescent="0.3">
      <c r="A207" t="s">
        <v>31</v>
      </c>
      <c r="B207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004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004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7" s="15"/>
      <c r="D207" s="16" t="str">
        <f>"IJ004"</f>
        <v>IJ004</v>
      </c>
      <c r="E207" s="16">
        <v>20000</v>
      </c>
      <c r="F207" s="16" t="str">
        <f t="shared" si="32"/>
        <v>P0010</v>
      </c>
      <c r="G207" s="17" t="str">
        <f t="shared" si="33"/>
        <v>64oz empty glass bottle - diamond neck</v>
      </c>
      <c r="H207" s="18" t="str">
        <f t="shared" si="34"/>
        <v>BTLS</v>
      </c>
      <c r="I207" s="19">
        <v>1</v>
      </c>
      <c r="J207" s="20">
        <v>1</v>
      </c>
    </row>
    <row r="208" spans="1:10" ht="15.75" thickBot="1" x14ac:dyDescent="0.3">
      <c r="A208" t="s">
        <v>31</v>
      </c>
      <c r="B208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014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014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8" s="15"/>
      <c r="D208" s="16" t="str">
        <f>"IJ014"</f>
        <v>IJ014</v>
      </c>
      <c r="E208" s="16">
        <v>20000</v>
      </c>
      <c r="F208" s="16" t="str">
        <f t="shared" si="32"/>
        <v>P0010</v>
      </c>
      <c r="G208" s="17" t="str">
        <f t="shared" si="33"/>
        <v>64oz empty glass bottle - diamond neck</v>
      </c>
      <c r="H208" s="18" t="str">
        <f t="shared" si="34"/>
        <v>BTLS</v>
      </c>
      <c r="I208" s="19">
        <v>1</v>
      </c>
      <c r="J208" s="20">
        <v>1</v>
      </c>
    </row>
    <row r="209" spans="1:10" ht="15.75" thickBot="1" x14ac:dyDescent="0.3">
      <c r="A209" t="s">
        <v>31</v>
      </c>
      <c r="B209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022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022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9" s="15"/>
      <c r="D209" s="16" t="str">
        <f>"IJ022"</f>
        <v>IJ022</v>
      </c>
      <c r="E209" s="16">
        <v>20000</v>
      </c>
      <c r="F209" s="16" t="str">
        <f t="shared" si="32"/>
        <v>P0010</v>
      </c>
      <c r="G209" s="17" t="str">
        <f t="shared" si="33"/>
        <v>64oz empty glass bottle - diamond neck</v>
      </c>
      <c r="H209" s="18" t="str">
        <f t="shared" si="34"/>
        <v>BTLS</v>
      </c>
      <c r="I209" s="19">
        <v>1</v>
      </c>
      <c r="J209" s="20">
        <v>1</v>
      </c>
    </row>
    <row r="210" spans="1:10" ht="15.75" thickBot="1" x14ac:dyDescent="0.3">
      <c r="A210" t="s">
        <v>31</v>
      </c>
      <c r="B210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025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025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0" s="15"/>
      <c r="D210" s="16" t="str">
        <f>"IJ025"</f>
        <v>IJ025</v>
      </c>
      <c r="E210" s="16">
        <v>20000</v>
      </c>
      <c r="F210" s="16" t="str">
        <f t="shared" si="32"/>
        <v>P0010</v>
      </c>
      <c r="G210" s="17" t="str">
        <f t="shared" si="33"/>
        <v>64oz empty glass bottle - diamond neck</v>
      </c>
      <c r="H210" s="18" t="str">
        <f t="shared" si="34"/>
        <v>BTLS</v>
      </c>
      <c r="I210" s="19">
        <v>1</v>
      </c>
      <c r="J210" s="20">
        <v>1</v>
      </c>
    </row>
    <row r="211" spans="1:10" ht="15.75" thickBot="1" x14ac:dyDescent="0.3">
      <c r="A211" t="s">
        <v>31</v>
      </c>
      <c r="B211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027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027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1" s="15"/>
      <c r="D211" s="16" t="str">
        <f>"IJ027"</f>
        <v>IJ027</v>
      </c>
      <c r="E211" s="16">
        <v>20000</v>
      </c>
      <c r="F211" s="16" t="str">
        <f t="shared" si="32"/>
        <v>P0010</v>
      </c>
      <c r="G211" s="17" t="str">
        <f t="shared" si="33"/>
        <v>64oz empty glass bottle - diamond neck</v>
      </c>
      <c r="H211" s="18" t="str">
        <f t="shared" si="34"/>
        <v>BTLS</v>
      </c>
      <c r="I211" s="19">
        <v>1</v>
      </c>
      <c r="J211" s="20">
        <v>1</v>
      </c>
    </row>
    <row r="212" spans="1:10" ht="15.75" thickBot="1" x14ac:dyDescent="0.3">
      <c r="A212" t="s">
        <v>31</v>
      </c>
      <c r="B212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031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031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2" s="15"/>
      <c r="D212" s="16" t="str">
        <f>"IJ031"</f>
        <v>IJ031</v>
      </c>
      <c r="E212" s="16">
        <v>20000</v>
      </c>
      <c r="F212" s="16" t="str">
        <f t="shared" si="32"/>
        <v>P0010</v>
      </c>
      <c r="G212" s="17" t="str">
        <f t="shared" si="33"/>
        <v>64oz empty glass bottle - diamond neck</v>
      </c>
      <c r="H212" s="18" t="str">
        <f t="shared" si="34"/>
        <v>BTLS</v>
      </c>
      <c r="I212" s="19">
        <v>1</v>
      </c>
      <c r="J212" s="20">
        <v>1</v>
      </c>
    </row>
    <row r="213" spans="1:10" ht="15.75" thickBot="1" x14ac:dyDescent="0.3">
      <c r="A213" t="s">
        <v>31</v>
      </c>
      <c r="B213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104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104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3" s="15"/>
      <c r="D213" s="16" t="str">
        <f>"IJ104"</f>
        <v>IJ104</v>
      </c>
      <c r="E213" s="16">
        <v>20000</v>
      </c>
      <c r="F213" s="16" t="str">
        <f t="shared" si="32"/>
        <v>P0010</v>
      </c>
      <c r="G213" s="17" t="str">
        <f t="shared" si="33"/>
        <v>64oz empty glass bottle - diamond neck</v>
      </c>
      <c r="H213" s="18" t="str">
        <f t="shared" si="34"/>
        <v>BTLS</v>
      </c>
      <c r="I213" s="19">
        <v>1</v>
      </c>
      <c r="J213" s="20">
        <v>1</v>
      </c>
    </row>
    <row r="214" spans="1:10" ht="15.75" thickBot="1" x14ac:dyDescent="0.3">
      <c r="A214" t="s">
        <v>31</v>
      </c>
      <c r="B214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109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109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4" s="15"/>
      <c r="D214" s="16" t="str">
        <f>"IJ109"</f>
        <v>IJ109</v>
      </c>
      <c r="E214" s="16">
        <v>20000</v>
      </c>
      <c r="F214" s="16" t="str">
        <f t="shared" si="32"/>
        <v>P0010</v>
      </c>
      <c r="G214" s="17" t="str">
        <f t="shared" si="33"/>
        <v>64oz empty glass bottle - diamond neck</v>
      </c>
      <c r="H214" s="18" t="str">
        <f t="shared" si="34"/>
        <v>BTLS</v>
      </c>
      <c r="I214" s="19">
        <v>1</v>
      </c>
      <c r="J214" s="20">
        <v>1</v>
      </c>
    </row>
    <row r="215" spans="1:10" ht="15.75" thickBot="1" x14ac:dyDescent="0.3">
      <c r="A215" t="s">
        <v>31</v>
      </c>
      <c r="B215" s="15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118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118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5" s="15"/>
      <c r="D215" s="16" t="str">
        <f>"IJ118"</f>
        <v>IJ118</v>
      </c>
      <c r="E215" s="16">
        <v>20000</v>
      </c>
      <c r="F215" s="16" t="str">
        <f t="shared" si="32"/>
        <v>P0010</v>
      </c>
      <c r="G215" s="17" t="str">
        <f t="shared" si="33"/>
        <v>64oz empty glass bottle - diamond neck</v>
      </c>
      <c r="H215" s="18" t="str">
        <f t="shared" si="34"/>
        <v>BTLS</v>
      </c>
      <c r="I215" s="19">
        <v>1</v>
      </c>
      <c r="J215" s="20">
        <v>1</v>
      </c>
    </row>
    <row r="216" spans="1:10" ht="15.75" thickBot="1" x14ac:dyDescent="0.3">
      <c r="A216" t="s">
        <v>31</v>
      </c>
      <c r="B216" s="15" t="str">
        <f>"""Manzana NAV"",""MANZANA"",""99000772"",""44"","" "",""22"",""False"",""43"",""0.00000000000000000000"",""12"",""64oz empty glass bottle - pistol grip"",""50220"",""False"",""29"","""",""50210"",""False"",""18"","""",""11"",""P0011"",""2"",""10000"",""1"",""IJ043"",""14"",""6.00000000000000000000"",""45"",""6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pistol grip","50220","False","29","","50210","False","18","","11","P0011","2","10000","1","IJ043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216" s="15"/>
      <c r="D216" s="16" t="str">
        <f>"IJ043"</f>
        <v>IJ043</v>
      </c>
      <c r="E216" s="16">
        <v>10000</v>
      </c>
      <c r="F216" s="16" t="str">
        <f>"P0011"</f>
        <v>P0011</v>
      </c>
      <c r="G216" s="17" t="str">
        <f>"64oz empty glass bottle - pistol grip"</f>
        <v>64oz empty glass bottle - pistol grip</v>
      </c>
      <c r="H216" s="18" t="str">
        <f t="shared" si="34"/>
        <v>BTLS</v>
      </c>
      <c r="I216" s="19">
        <v>6</v>
      </c>
      <c r="J216" s="20">
        <v>6</v>
      </c>
    </row>
    <row r="217" spans="1:10" ht="15.75" thickBot="1" x14ac:dyDescent="0.3">
      <c r="A217" t="s">
        <v>31</v>
      </c>
      <c r="B217" s="15" t="str">
        <f>"""Manzana NAV"",""MANZANA"",""99000772"",""44"","" "",""22"",""False"",""43"",""0.00000000000000000000"",""12"",""64oz empty glass bottle - pistol grip"",""50220"",""False"",""29"","""",""50210"",""False"",""18"","""",""11"",""P0011"",""2"",""10000"",""1"",""IJ117"",""14"",""1.00000000000000000000"",""45"",""1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pistol grip","50220","False","29","","50210","False","18","","11","P0011","2","10000","1","IJ117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7" s="15"/>
      <c r="D217" s="16" t="str">
        <f>"IJ117"</f>
        <v>IJ117</v>
      </c>
      <c r="E217" s="16">
        <v>10000</v>
      </c>
      <c r="F217" s="16" t="str">
        <f>"P0011"</f>
        <v>P0011</v>
      </c>
      <c r="G217" s="17" t="str">
        <f>"64oz empty glass bottle - pistol grip"</f>
        <v>64oz empty glass bottle - pistol grip</v>
      </c>
      <c r="H217" s="18" t="str">
        <f t="shared" si="34"/>
        <v>BTLS</v>
      </c>
      <c r="I217" s="19">
        <v>1</v>
      </c>
      <c r="J217" s="20">
        <v>1</v>
      </c>
    </row>
    <row r="218" spans="1:10" ht="15.75" thickBot="1" x14ac:dyDescent="0.3">
      <c r="A218" t="s">
        <v>31</v>
      </c>
      <c r="B218" s="15" t="str">
        <f>"""Manzana NAV"",""MANZANA"",""99000772"",""44"","" "",""22"",""False"",""43"",""0.00000000000000000000"",""12"",""64oz empty glass bottle - pistol grip"",""50220"",""False"",""29"","""",""50210"",""False"",""18"","""",""11"",""P0011"",""2"",""30000"",""1"",""IJ005"",""14"",""1.00000000000000000000"",""45"",""1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pistol grip","50220","False","29","","50210","False","18","","11","P0011","2","30000","1","IJ005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8" s="15"/>
      <c r="D218" s="16" t="str">
        <f>"IJ005"</f>
        <v>IJ005</v>
      </c>
      <c r="E218" s="16">
        <v>30000</v>
      </c>
      <c r="F218" s="16" t="str">
        <f>"P0011"</f>
        <v>P0011</v>
      </c>
      <c r="G218" s="17" t="str">
        <f>"64oz empty glass bottle - pistol grip"</f>
        <v>64oz empty glass bottle - pistol grip</v>
      </c>
      <c r="H218" s="18" t="str">
        <f t="shared" si="34"/>
        <v>BTLS</v>
      </c>
      <c r="I218" s="19">
        <v>1</v>
      </c>
      <c r="J218" s="20">
        <v>1</v>
      </c>
    </row>
    <row r="219" spans="1:10" ht="15.75" thickBot="1" x14ac:dyDescent="0.3">
      <c r="A219" t="s">
        <v>31</v>
      </c>
      <c r="B219" s="15" t="str">
        <f>"""Manzana NAV"",""MANZANA"",""99000772"",""44"","" "",""22"",""False"",""43"",""0.00000000000000000000"",""12"",""64oz empty PET bottle for Juice or Vinegar"",""50220"",""False"",""29"","""",""50210"",""False"",""18"","""",""11"",""P0015"",""2"",""20000"",""1"",""IV016"",""14"",""1.00000000000000000000"",""45"&amp;""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bottle for Juice or Vinegar","50220","False","29","","50210","False","18","","11","P0015","2","20000","1","IV016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9" s="15"/>
      <c r="D219" s="16" t="str">
        <f>"IV016"</f>
        <v>IV016</v>
      </c>
      <c r="E219" s="16">
        <v>20000</v>
      </c>
      <c r="F219" s="16" t="str">
        <f t="shared" ref="F219:F225" si="35">"P0015"</f>
        <v>P0015</v>
      </c>
      <c r="G219" s="17" t="str">
        <f>"64oz empty PET bottle for Juice or Vinegar"</f>
        <v>64oz empty PET bottle for Juice or Vinegar</v>
      </c>
      <c r="H219" s="18" t="str">
        <f t="shared" si="34"/>
        <v>BTLS</v>
      </c>
      <c r="I219" s="19">
        <v>1</v>
      </c>
      <c r="J219" s="20">
        <v>1</v>
      </c>
    </row>
    <row r="220" spans="1:10" ht="15.75" thickBot="1" x14ac:dyDescent="0.3">
      <c r="A220" t="s">
        <v>31</v>
      </c>
      <c r="B220" s="15" t="str">
        <f>"""Manzana NAV"",""MANZANA"",""99000772"",""44"","" "",""22"",""False"",""43"",""0.00000000000000000000"",""12"",""64oz empty PET bottle for Juice or Vinegar"",""50220"",""False"",""29"","""",""50210"",""False"",""18"","""",""11"",""P0015"",""2"",""30000"",""1"",""IV012"",""14"",""1.00000000000000000000"",""45"&amp;""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bottle for Juice or Vinegar","50220","False","29","","50210","False","18","","11","P0015","2","30000","1","IV012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0" s="15"/>
      <c r="D220" s="16" t="str">
        <f>"IV012"</f>
        <v>IV012</v>
      </c>
      <c r="E220" s="16">
        <v>30000</v>
      </c>
      <c r="F220" s="16" t="str">
        <f t="shared" si="35"/>
        <v>P0015</v>
      </c>
      <c r="G220" s="17" t="str">
        <f>"64oz empty PET bottle for Juice or Vinegar"</f>
        <v>64oz empty PET bottle for Juice or Vinegar</v>
      </c>
      <c r="H220" s="18" t="str">
        <f t="shared" si="34"/>
        <v>BTLS</v>
      </c>
      <c r="I220" s="19">
        <v>1</v>
      </c>
      <c r="J220" s="20">
        <v>1</v>
      </c>
    </row>
    <row r="221" spans="1:10" ht="15.75" thickBot="1" x14ac:dyDescent="0.3">
      <c r="A221" t="s">
        <v>31</v>
      </c>
      <c r="B221" s="15" t="str">
        <f>"""Manzana NAV"",""MANZANA"",""99000772"",""44"","" "",""22"",""False"",""43"",""0.00000000000000000000"",""12"",""64oz empty PET juice bottle"",""50220"",""False"",""29"","""",""50210"",""False"",""18"","""",""11"",""P0015"",""2"",""10000"",""1"",""IJ006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10000","1","IJ006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1" s="15"/>
      <c r="D221" s="16" t="str">
        <f>"IJ006"</f>
        <v>IJ006</v>
      </c>
      <c r="E221" s="16">
        <v>10000</v>
      </c>
      <c r="F221" s="16" t="str">
        <f t="shared" si="35"/>
        <v>P0015</v>
      </c>
      <c r="G221" s="17" t="str">
        <f>"64oz empty PET juice bottle"</f>
        <v>64oz empty PET juice bottle</v>
      </c>
      <c r="H221" s="18" t="str">
        <f t="shared" si="34"/>
        <v>BTLS</v>
      </c>
      <c r="I221" s="19">
        <v>1</v>
      </c>
      <c r="J221" s="20">
        <v>1</v>
      </c>
    </row>
    <row r="222" spans="1:10" ht="15.75" thickBot="1" x14ac:dyDescent="0.3">
      <c r="A222" t="s">
        <v>31</v>
      </c>
      <c r="B222" s="15" t="str">
        <f>"""Manzana NAV"",""MANZANA"",""99000772"",""44"","" "",""22"",""False"",""43"",""0.00000000000000000000"",""12"",""64oz empty PET juice bottle"",""50220"",""False"",""29"","""",""50210"",""False"",""18"","""",""11"",""P0015"",""2"",""10000"",""1"",""IJ023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10000","1","IJ023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2" s="15"/>
      <c r="D222" s="16" t="str">
        <f>"IJ023"</f>
        <v>IJ023</v>
      </c>
      <c r="E222" s="16">
        <v>10000</v>
      </c>
      <c r="F222" s="16" t="str">
        <f t="shared" si="35"/>
        <v>P0015</v>
      </c>
      <c r="G222" s="17" t="str">
        <f>"64oz empty PET juice bottle"</f>
        <v>64oz empty PET juice bottle</v>
      </c>
      <c r="H222" s="18" t="str">
        <f t="shared" si="34"/>
        <v>BTLS</v>
      </c>
      <c r="I222" s="19">
        <v>1</v>
      </c>
      <c r="J222" s="20">
        <v>1</v>
      </c>
    </row>
    <row r="223" spans="1:10" ht="15.75" thickBot="1" x14ac:dyDescent="0.3">
      <c r="A223" t="s">
        <v>31</v>
      </c>
      <c r="B223" s="15" t="str">
        <f>"""Manzana NAV"",""MANZANA"",""99000772"",""44"","" "",""22"",""False"",""43"",""0.00000000000000000000"",""12"",""64oz empty PET juice bottle"",""50220"",""False"",""29"","""",""50210"",""False"",""18"","""",""11"",""P0015"",""2"",""20000"",""1"",""IJ016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20000","1","IJ016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3" s="15"/>
      <c r="D223" s="16" t="str">
        <f>"IJ016"</f>
        <v>IJ016</v>
      </c>
      <c r="E223" s="16">
        <v>20000</v>
      </c>
      <c r="F223" s="16" t="str">
        <f t="shared" si="35"/>
        <v>P0015</v>
      </c>
      <c r="G223" s="17" t="str">
        <f>"64oz empty PET juice bottle"</f>
        <v>64oz empty PET juice bottle</v>
      </c>
      <c r="H223" s="18" t="str">
        <f t="shared" si="34"/>
        <v>BTLS</v>
      </c>
      <c r="I223" s="19">
        <v>1</v>
      </c>
      <c r="J223" s="20">
        <v>1</v>
      </c>
    </row>
    <row r="224" spans="1:10" ht="15.75" thickBot="1" x14ac:dyDescent="0.3">
      <c r="A224" t="s">
        <v>31</v>
      </c>
      <c r="B224" s="15" t="str">
        <f>"""Manzana NAV"",""MANZANA"",""99000772"",""44"","" "",""22"",""False"",""43"",""0.00000000000000000000"",""12"",""64oz empty PET juice bottle"",""50220"",""False"",""29"","""",""50210"",""False"",""18"","""",""11"",""P0015"",""2"",""20000"",""1"",""IJ040"",""14"",""0.00000000000000000000"",""45"",""0.0000000000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20000","1","IJ040","14","0.00000000000000000000","45","0.00000000000000000000","19","","20","0.00000000000000000000","50000","0.00000000000000000000","50230","False","28","","10","Item","13","BTLS","21","","3","","42","0.00000000000000000000","50200","False","41","0.00000000000000000000"</v>
      </c>
      <c r="C224" s="15"/>
      <c r="D224" s="16" t="str">
        <f>"IJ040"</f>
        <v>IJ040</v>
      </c>
      <c r="E224" s="16">
        <v>20000</v>
      </c>
      <c r="F224" s="16" t="str">
        <f t="shared" si="35"/>
        <v>P0015</v>
      </c>
      <c r="G224" s="17" t="str">
        <f>"64oz empty PET juice bottle"</f>
        <v>64oz empty PET juice bottle</v>
      </c>
      <c r="H224" s="18" t="str">
        <f t="shared" si="34"/>
        <v>BTLS</v>
      </c>
      <c r="I224" s="19">
        <v>0</v>
      </c>
      <c r="J224" s="20">
        <v>0</v>
      </c>
    </row>
    <row r="225" spans="1:10" ht="15.75" thickBot="1" x14ac:dyDescent="0.3">
      <c r="A225" t="s">
        <v>31</v>
      </c>
      <c r="B225" s="15" t="str">
        <f>"""Manzana NAV"",""MANZANA"",""99000772"",""44"","" "",""22"",""False"",""43"",""0.00000000000000000000"",""12"",""64oz empty PET juice bottle"",""50220"",""False"",""29"","""",""50210"",""False"",""18"","""",""11"",""P0015"",""2"",""20000"",""1"",""IJ041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20000","1","IJ041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5" s="15"/>
      <c r="D225" s="16" t="str">
        <f>"IJ041"</f>
        <v>IJ041</v>
      </c>
      <c r="E225" s="16">
        <v>20000</v>
      </c>
      <c r="F225" s="16" t="str">
        <f t="shared" si="35"/>
        <v>P0015</v>
      </c>
      <c r="G225" s="17" t="str">
        <f>"64oz empty PET juice bottle"</f>
        <v>64oz empty PET juice bottle</v>
      </c>
      <c r="H225" s="18" t="str">
        <f t="shared" si="34"/>
        <v>BTLS</v>
      </c>
      <c r="I225" s="19">
        <v>1</v>
      </c>
      <c r="J225" s="20">
        <v>1</v>
      </c>
    </row>
    <row r="226" spans="1:10" ht="15.75" thickBot="1" x14ac:dyDescent="0.3">
      <c r="A226" t="s">
        <v>31</v>
      </c>
      <c r="B226" s="15" t="str">
        <f>"""Manzana NAV"",""MANZANA"",""99000772"",""44"","" "",""22"",""False"",""43"",""0.00000000000000000000"",""12"",""70mm Metal Lug for 24oz glass jars"",""50220"",""False"",""29"","""",""50210"",""False"",""18"","""",""11"",""P0005"",""2"",""10000"",""1"",""ISJ032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10000","1","ISJ032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6" s="15"/>
      <c r="D226" s="16" t="str">
        <f>"ISJ032"</f>
        <v>ISJ032</v>
      </c>
      <c r="E226" s="16">
        <v>10000</v>
      </c>
      <c r="F226" s="16" t="str">
        <f t="shared" ref="F226:F255" si="36">"P0005"</f>
        <v>P0005</v>
      </c>
      <c r="G226" s="17" t="str">
        <f t="shared" ref="G226:G255" si="37">"70mm Metal Lug for 24oz glass jars"</f>
        <v>70mm Metal Lug for 24oz glass jars</v>
      </c>
      <c r="H226" s="18" t="str">
        <f t="shared" ref="H226:H257" si="38">"CAPS"</f>
        <v>CAPS</v>
      </c>
      <c r="I226" s="19">
        <v>1</v>
      </c>
      <c r="J226" s="20">
        <v>1</v>
      </c>
    </row>
    <row r="227" spans="1:10" ht="15.75" thickBot="1" x14ac:dyDescent="0.3">
      <c r="A227" t="s">
        <v>31</v>
      </c>
      <c r="B227" s="15" t="str">
        <f>"""Manzana NAV"",""MANZANA"",""99000772"",""44"","" "",""22"",""False"",""43"",""0.00000000000000000000"",""12"",""70mm Metal Lug for 24oz glass jars"",""50220"",""False"",""29"","""",""50210"",""False"",""18"","""",""11"",""P0005"",""2"",""10000"",""1"",""ISJ034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10000","1","ISJ034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7" s="15"/>
      <c r="D227" s="16" t="str">
        <f>"ISJ034"</f>
        <v>ISJ034</v>
      </c>
      <c r="E227" s="16">
        <v>10000</v>
      </c>
      <c r="F227" s="16" t="str">
        <f t="shared" si="36"/>
        <v>P0005</v>
      </c>
      <c r="G227" s="17" t="str">
        <f t="shared" si="37"/>
        <v>70mm Metal Lug for 24oz glass jars</v>
      </c>
      <c r="H227" s="18" t="str">
        <f t="shared" si="38"/>
        <v>CAPS</v>
      </c>
      <c r="I227" s="19">
        <v>1</v>
      </c>
      <c r="J227" s="20">
        <v>1</v>
      </c>
    </row>
    <row r="228" spans="1:10" ht="15.75" thickBot="1" x14ac:dyDescent="0.3">
      <c r="A228" t="s">
        <v>31</v>
      </c>
      <c r="B228" s="15" t="str">
        <f>"""Manzana NAV"",""MANZANA"",""99000772"",""44"","" "",""22"",""False"",""43"",""0.00000000000000000000"",""12"",""70mm Metal Lug for 24oz glass jars"",""50220"",""False"",""29"","""",""50210"",""False"",""18"","""",""11"",""P0005"",""2"",""10000"",""1"",""ISJ035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10000","1","ISJ035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8" s="15"/>
      <c r="D228" s="16" t="str">
        <f>"ISJ035"</f>
        <v>ISJ035</v>
      </c>
      <c r="E228" s="16">
        <v>10000</v>
      </c>
      <c r="F228" s="16" t="str">
        <f t="shared" si="36"/>
        <v>P0005</v>
      </c>
      <c r="G228" s="17" t="str">
        <f t="shared" si="37"/>
        <v>70mm Metal Lug for 24oz glass jars</v>
      </c>
      <c r="H228" s="18" t="str">
        <f t="shared" si="38"/>
        <v>CAPS</v>
      </c>
      <c r="I228" s="19">
        <v>1</v>
      </c>
      <c r="J228" s="20">
        <v>1</v>
      </c>
    </row>
    <row r="229" spans="1:10" ht="15.75" thickBot="1" x14ac:dyDescent="0.3">
      <c r="A229" t="s">
        <v>31</v>
      </c>
      <c r="B229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001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9" s="15"/>
      <c r="D229" s="16" t="str">
        <f>"ISJ001"</f>
        <v>ISJ001</v>
      </c>
      <c r="E229" s="16">
        <v>20000</v>
      </c>
      <c r="F229" s="16" t="str">
        <f t="shared" si="36"/>
        <v>P0005</v>
      </c>
      <c r="G229" s="17" t="str">
        <f t="shared" si="37"/>
        <v>70mm Metal Lug for 24oz glass jars</v>
      </c>
      <c r="H229" s="18" t="str">
        <f t="shared" si="38"/>
        <v>CAPS</v>
      </c>
      <c r="I229" s="19">
        <v>1</v>
      </c>
      <c r="J229" s="20">
        <v>1</v>
      </c>
    </row>
    <row r="230" spans="1:10" ht="15.75" thickBot="1" x14ac:dyDescent="0.3">
      <c r="A230" t="s">
        <v>31</v>
      </c>
      <c r="B230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0" s="15"/>
      <c r="D230" s="16" t="str">
        <f>"ISJ003"</f>
        <v>ISJ003</v>
      </c>
      <c r="E230" s="16">
        <v>20000</v>
      </c>
      <c r="F230" s="16" t="str">
        <f t="shared" si="36"/>
        <v>P0005</v>
      </c>
      <c r="G230" s="17" t="str">
        <f t="shared" si="37"/>
        <v>70mm Metal Lug for 24oz glass jars</v>
      </c>
      <c r="H230" s="18" t="str">
        <f t="shared" si="38"/>
        <v>CAPS</v>
      </c>
      <c r="I230" s="19">
        <v>1</v>
      </c>
      <c r="J230" s="20">
        <v>1</v>
      </c>
    </row>
    <row r="231" spans="1:10" ht="15.75" thickBot="1" x14ac:dyDescent="0.3">
      <c r="A231" t="s">
        <v>31</v>
      </c>
      <c r="B231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1" s="15"/>
      <c r="D231" s="16" t="str">
        <f>"ISJ005"</f>
        <v>ISJ005</v>
      </c>
      <c r="E231" s="16">
        <v>20000</v>
      </c>
      <c r="F231" s="16" t="str">
        <f t="shared" si="36"/>
        <v>P0005</v>
      </c>
      <c r="G231" s="17" t="str">
        <f t="shared" si="37"/>
        <v>70mm Metal Lug for 24oz glass jars</v>
      </c>
      <c r="H231" s="18" t="str">
        <f t="shared" si="38"/>
        <v>CAPS</v>
      </c>
      <c r="I231" s="19">
        <v>1</v>
      </c>
      <c r="J231" s="20">
        <v>1</v>
      </c>
    </row>
    <row r="232" spans="1:10" ht="15.75" thickBot="1" x14ac:dyDescent="0.3">
      <c r="A232" t="s">
        <v>31</v>
      </c>
      <c r="B232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006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2" s="15"/>
      <c r="D232" s="16" t="str">
        <f>"ISJ006"</f>
        <v>ISJ006</v>
      </c>
      <c r="E232" s="16">
        <v>20000</v>
      </c>
      <c r="F232" s="16" t="str">
        <f t="shared" si="36"/>
        <v>P0005</v>
      </c>
      <c r="G232" s="17" t="str">
        <f t="shared" si="37"/>
        <v>70mm Metal Lug for 24oz glass jars</v>
      </c>
      <c r="H232" s="18" t="str">
        <f t="shared" si="38"/>
        <v>CAPS</v>
      </c>
      <c r="I232" s="19">
        <v>1</v>
      </c>
      <c r="J232" s="20">
        <v>1</v>
      </c>
    </row>
    <row r="233" spans="1:10" ht="15.75" thickBot="1" x14ac:dyDescent="0.3">
      <c r="A233" t="s">
        <v>31</v>
      </c>
      <c r="B233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007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3" s="15"/>
      <c r="D233" s="16" t="str">
        <f>"ISJ007"</f>
        <v>ISJ007</v>
      </c>
      <c r="E233" s="16">
        <v>20000</v>
      </c>
      <c r="F233" s="16" t="str">
        <f t="shared" si="36"/>
        <v>P0005</v>
      </c>
      <c r="G233" s="17" t="str">
        <f t="shared" si="37"/>
        <v>70mm Metal Lug for 24oz glass jars</v>
      </c>
      <c r="H233" s="18" t="str">
        <f t="shared" si="38"/>
        <v>CAPS</v>
      </c>
      <c r="I233" s="19">
        <v>1</v>
      </c>
      <c r="J233" s="20">
        <v>1</v>
      </c>
    </row>
    <row r="234" spans="1:10" ht="15.75" thickBot="1" x14ac:dyDescent="0.3">
      <c r="A234" t="s">
        <v>31</v>
      </c>
      <c r="B234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008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4" s="15"/>
      <c r="D234" s="16" t="str">
        <f>"ISJ008"</f>
        <v>ISJ008</v>
      </c>
      <c r="E234" s="16">
        <v>20000</v>
      </c>
      <c r="F234" s="16" t="str">
        <f t="shared" si="36"/>
        <v>P0005</v>
      </c>
      <c r="G234" s="17" t="str">
        <f t="shared" si="37"/>
        <v>70mm Metal Lug for 24oz glass jars</v>
      </c>
      <c r="H234" s="18" t="str">
        <f t="shared" si="38"/>
        <v>CAPS</v>
      </c>
      <c r="I234" s="19">
        <v>1</v>
      </c>
      <c r="J234" s="20">
        <v>1</v>
      </c>
    </row>
    <row r="235" spans="1:10" ht="15.75" thickBot="1" x14ac:dyDescent="0.3">
      <c r="A235" t="s">
        <v>31</v>
      </c>
      <c r="B235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009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5" s="15"/>
      <c r="D235" s="16" t="str">
        <f>"ISJ009"</f>
        <v>ISJ009</v>
      </c>
      <c r="E235" s="16">
        <v>20000</v>
      </c>
      <c r="F235" s="16" t="str">
        <f t="shared" si="36"/>
        <v>P0005</v>
      </c>
      <c r="G235" s="17" t="str">
        <f t="shared" si="37"/>
        <v>70mm Metal Lug for 24oz glass jars</v>
      </c>
      <c r="H235" s="18" t="str">
        <f t="shared" si="38"/>
        <v>CAPS</v>
      </c>
      <c r="I235" s="19">
        <v>1</v>
      </c>
      <c r="J235" s="20">
        <v>1</v>
      </c>
    </row>
    <row r="236" spans="1:10" ht="15.75" thickBot="1" x14ac:dyDescent="0.3">
      <c r="A236" t="s">
        <v>31</v>
      </c>
      <c r="B236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6" s="15"/>
      <c r="D236" s="16" t="str">
        <f>"ISJ010"</f>
        <v>ISJ010</v>
      </c>
      <c r="E236" s="16">
        <v>20000</v>
      </c>
      <c r="F236" s="16" t="str">
        <f t="shared" si="36"/>
        <v>P0005</v>
      </c>
      <c r="G236" s="17" t="str">
        <f t="shared" si="37"/>
        <v>70mm Metal Lug for 24oz glass jars</v>
      </c>
      <c r="H236" s="18" t="str">
        <f t="shared" si="38"/>
        <v>CAPS</v>
      </c>
      <c r="I236" s="19">
        <v>1</v>
      </c>
      <c r="J236" s="20">
        <v>1</v>
      </c>
    </row>
    <row r="237" spans="1:10" ht="15.75" thickBot="1" x14ac:dyDescent="0.3">
      <c r="A237" t="s">
        <v>31</v>
      </c>
      <c r="B237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7" s="15"/>
      <c r="D237" s="16" t="str">
        <f>"ISJ013"</f>
        <v>ISJ013</v>
      </c>
      <c r="E237" s="16">
        <v>20000</v>
      </c>
      <c r="F237" s="16" t="str">
        <f t="shared" si="36"/>
        <v>P0005</v>
      </c>
      <c r="G237" s="17" t="str">
        <f t="shared" si="37"/>
        <v>70mm Metal Lug for 24oz glass jars</v>
      </c>
      <c r="H237" s="18" t="str">
        <f t="shared" si="38"/>
        <v>CAPS</v>
      </c>
      <c r="I237" s="19">
        <v>1</v>
      </c>
      <c r="J237" s="20">
        <v>1</v>
      </c>
    </row>
    <row r="238" spans="1:10" ht="15.75" thickBot="1" x14ac:dyDescent="0.3">
      <c r="A238" t="s">
        <v>31</v>
      </c>
      <c r="B238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8" s="15"/>
      <c r="D238" s="16" t="str">
        <f>"ISJ014"</f>
        <v>ISJ014</v>
      </c>
      <c r="E238" s="16">
        <v>20000</v>
      </c>
      <c r="F238" s="16" t="str">
        <f t="shared" si="36"/>
        <v>P0005</v>
      </c>
      <c r="G238" s="17" t="str">
        <f t="shared" si="37"/>
        <v>70mm Metal Lug for 24oz glass jars</v>
      </c>
      <c r="H238" s="18" t="str">
        <f t="shared" si="38"/>
        <v>CAPS</v>
      </c>
      <c r="I238" s="19">
        <v>1</v>
      </c>
      <c r="J238" s="20">
        <v>1</v>
      </c>
    </row>
    <row r="239" spans="1:10" ht="15.75" thickBot="1" x14ac:dyDescent="0.3">
      <c r="A239" t="s">
        <v>31</v>
      </c>
      <c r="B239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9" s="15"/>
      <c r="D239" s="16" t="str">
        <f>"ISJ015"</f>
        <v>ISJ015</v>
      </c>
      <c r="E239" s="16">
        <v>20000</v>
      </c>
      <c r="F239" s="16" t="str">
        <f t="shared" si="36"/>
        <v>P0005</v>
      </c>
      <c r="G239" s="17" t="str">
        <f t="shared" si="37"/>
        <v>70mm Metal Lug for 24oz glass jars</v>
      </c>
      <c r="H239" s="18" t="str">
        <f t="shared" si="38"/>
        <v>CAPS</v>
      </c>
      <c r="I239" s="19">
        <v>1</v>
      </c>
      <c r="J239" s="20">
        <v>1</v>
      </c>
    </row>
    <row r="240" spans="1:10" ht="15.75" thickBot="1" x14ac:dyDescent="0.3">
      <c r="A240" t="s">
        <v>31</v>
      </c>
      <c r="B240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016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0" s="15"/>
      <c r="D240" s="16" t="str">
        <f>"ISJ016"</f>
        <v>ISJ016</v>
      </c>
      <c r="E240" s="16">
        <v>20000</v>
      </c>
      <c r="F240" s="16" t="str">
        <f t="shared" si="36"/>
        <v>P0005</v>
      </c>
      <c r="G240" s="17" t="str">
        <f t="shared" si="37"/>
        <v>70mm Metal Lug for 24oz glass jars</v>
      </c>
      <c r="H240" s="18" t="str">
        <f t="shared" si="38"/>
        <v>CAPS</v>
      </c>
      <c r="I240" s="19">
        <v>1</v>
      </c>
      <c r="J240" s="20">
        <v>1</v>
      </c>
    </row>
    <row r="241" spans="1:10" ht="15.75" thickBot="1" x14ac:dyDescent="0.3">
      <c r="A241" t="s">
        <v>31</v>
      </c>
      <c r="B241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017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1" s="15"/>
      <c r="D241" s="16" t="str">
        <f>"ISJ017"</f>
        <v>ISJ017</v>
      </c>
      <c r="E241" s="16">
        <v>20000</v>
      </c>
      <c r="F241" s="16" t="str">
        <f t="shared" si="36"/>
        <v>P0005</v>
      </c>
      <c r="G241" s="17" t="str">
        <f t="shared" si="37"/>
        <v>70mm Metal Lug for 24oz glass jars</v>
      </c>
      <c r="H241" s="18" t="str">
        <f t="shared" si="38"/>
        <v>CAPS</v>
      </c>
      <c r="I241" s="19">
        <v>1</v>
      </c>
      <c r="J241" s="20">
        <v>1</v>
      </c>
    </row>
    <row r="242" spans="1:10" ht="15.75" thickBot="1" x14ac:dyDescent="0.3">
      <c r="A242" t="s">
        <v>31</v>
      </c>
      <c r="B242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019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2" s="15"/>
      <c r="D242" s="16" t="str">
        <f>"ISJ019"</f>
        <v>ISJ019</v>
      </c>
      <c r="E242" s="16">
        <v>20000</v>
      </c>
      <c r="F242" s="16" t="str">
        <f t="shared" si="36"/>
        <v>P0005</v>
      </c>
      <c r="G242" s="17" t="str">
        <f t="shared" si="37"/>
        <v>70mm Metal Lug for 24oz glass jars</v>
      </c>
      <c r="H242" s="18" t="str">
        <f t="shared" si="38"/>
        <v>CAPS</v>
      </c>
      <c r="I242" s="19">
        <v>1</v>
      </c>
      <c r="J242" s="20">
        <v>1</v>
      </c>
    </row>
    <row r="243" spans="1:10" ht="15.75" thickBot="1" x14ac:dyDescent="0.3">
      <c r="A243" t="s">
        <v>31</v>
      </c>
      <c r="B243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3" s="15"/>
      <c r="D243" s="16" t="str">
        <f>"ISJ020"</f>
        <v>ISJ020</v>
      </c>
      <c r="E243" s="16">
        <v>20000</v>
      </c>
      <c r="F243" s="16" t="str">
        <f t="shared" si="36"/>
        <v>P0005</v>
      </c>
      <c r="G243" s="17" t="str">
        <f t="shared" si="37"/>
        <v>70mm Metal Lug for 24oz glass jars</v>
      </c>
      <c r="H243" s="18" t="str">
        <f t="shared" si="38"/>
        <v>CAPS</v>
      </c>
      <c r="I243" s="19">
        <v>1</v>
      </c>
      <c r="J243" s="20">
        <v>1</v>
      </c>
    </row>
    <row r="244" spans="1:10" ht="15.75" thickBot="1" x14ac:dyDescent="0.3">
      <c r="A244" t="s">
        <v>31</v>
      </c>
      <c r="B244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021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4" s="15"/>
      <c r="D244" s="16" t="str">
        <f>"ISJ021"</f>
        <v>ISJ021</v>
      </c>
      <c r="E244" s="16">
        <v>20000</v>
      </c>
      <c r="F244" s="16" t="str">
        <f t="shared" si="36"/>
        <v>P0005</v>
      </c>
      <c r="G244" s="17" t="str">
        <f t="shared" si="37"/>
        <v>70mm Metal Lug for 24oz glass jars</v>
      </c>
      <c r="H244" s="18" t="str">
        <f t="shared" si="38"/>
        <v>CAPS</v>
      </c>
      <c r="I244" s="19">
        <v>1</v>
      </c>
      <c r="J244" s="20">
        <v>1</v>
      </c>
    </row>
    <row r="245" spans="1:10" ht="15.75" thickBot="1" x14ac:dyDescent="0.3">
      <c r="A245" t="s">
        <v>31</v>
      </c>
      <c r="B245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022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5" s="15"/>
      <c r="D245" s="16" t="str">
        <f>"ISJ022"</f>
        <v>ISJ022</v>
      </c>
      <c r="E245" s="16">
        <v>20000</v>
      </c>
      <c r="F245" s="16" t="str">
        <f t="shared" si="36"/>
        <v>P0005</v>
      </c>
      <c r="G245" s="17" t="str">
        <f t="shared" si="37"/>
        <v>70mm Metal Lug for 24oz glass jars</v>
      </c>
      <c r="H245" s="18" t="str">
        <f t="shared" si="38"/>
        <v>CAPS</v>
      </c>
      <c r="I245" s="19">
        <v>1</v>
      </c>
      <c r="J245" s="20">
        <v>1</v>
      </c>
    </row>
    <row r="246" spans="1:10" ht="15.75" thickBot="1" x14ac:dyDescent="0.3">
      <c r="A246" t="s">
        <v>31</v>
      </c>
      <c r="B246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6" s="15"/>
      <c r="D246" s="16" t="str">
        <f>"ISJ023"</f>
        <v>ISJ023</v>
      </c>
      <c r="E246" s="16">
        <v>20000</v>
      </c>
      <c r="F246" s="16" t="str">
        <f t="shared" si="36"/>
        <v>P0005</v>
      </c>
      <c r="G246" s="17" t="str">
        <f t="shared" si="37"/>
        <v>70mm Metal Lug for 24oz glass jars</v>
      </c>
      <c r="H246" s="18" t="str">
        <f t="shared" si="38"/>
        <v>CAPS</v>
      </c>
      <c r="I246" s="19">
        <v>1</v>
      </c>
      <c r="J246" s="20">
        <v>1</v>
      </c>
    </row>
    <row r="247" spans="1:10" ht="15.75" thickBot="1" x14ac:dyDescent="0.3">
      <c r="A247" t="s">
        <v>31</v>
      </c>
      <c r="B247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7" s="15"/>
      <c r="D247" s="16" t="str">
        <f>"ISJ024"</f>
        <v>ISJ024</v>
      </c>
      <c r="E247" s="16">
        <v>20000</v>
      </c>
      <c r="F247" s="16" t="str">
        <f t="shared" si="36"/>
        <v>P0005</v>
      </c>
      <c r="G247" s="17" t="str">
        <f t="shared" si="37"/>
        <v>70mm Metal Lug for 24oz glass jars</v>
      </c>
      <c r="H247" s="18" t="str">
        <f t="shared" si="38"/>
        <v>CAPS</v>
      </c>
      <c r="I247" s="19">
        <v>1</v>
      </c>
      <c r="J247" s="20">
        <v>1</v>
      </c>
    </row>
    <row r="248" spans="1:10" ht="15.75" thickBot="1" x14ac:dyDescent="0.3">
      <c r="A248" t="s">
        <v>31</v>
      </c>
      <c r="B248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8" s="15"/>
      <c r="D248" s="16" t="str">
        <f>"ISJ025"</f>
        <v>ISJ025</v>
      </c>
      <c r="E248" s="16">
        <v>20000</v>
      </c>
      <c r="F248" s="16" t="str">
        <f t="shared" si="36"/>
        <v>P0005</v>
      </c>
      <c r="G248" s="17" t="str">
        <f t="shared" si="37"/>
        <v>70mm Metal Lug for 24oz glass jars</v>
      </c>
      <c r="H248" s="18" t="str">
        <f t="shared" si="38"/>
        <v>CAPS</v>
      </c>
      <c r="I248" s="19">
        <v>1</v>
      </c>
      <c r="J248" s="20">
        <v>1</v>
      </c>
    </row>
    <row r="249" spans="1:10" ht="15.75" thickBot="1" x14ac:dyDescent="0.3">
      <c r="A249" t="s">
        <v>31</v>
      </c>
      <c r="B249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026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9" s="15"/>
      <c r="D249" s="16" t="str">
        <f>"ISJ026"</f>
        <v>ISJ026</v>
      </c>
      <c r="E249" s="16">
        <v>20000</v>
      </c>
      <c r="F249" s="16" t="str">
        <f t="shared" si="36"/>
        <v>P0005</v>
      </c>
      <c r="G249" s="17" t="str">
        <f t="shared" si="37"/>
        <v>70mm Metal Lug for 24oz glass jars</v>
      </c>
      <c r="H249" s="18" t="str">
        <f t="shared" si="38"/>
        <v>CAPS</v>
      </c>
      <c r="I249" s="19">
        <v>1</v>
      </c>
      <c r="J249" s="20">
        <v>1</v>
      </c>
    </row>
    <row r="250" spans="1:10" ht="15.75" thickBot="1" x14ac:dyDescent="0.3">
      <c r="A250" t="s">
        <v>31</v>
      </c>
      <c r="B250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027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0" s="15"/>
      <c r="D250" s="16" t="str">
        <f>"ISJ027"</f>
        <v>ISJ027</v>
      </c>
      <c r="E250" s="16">
        <v>20000</v>
      </c>
      <c r="F250" s="16" t="str">
        <f t="shared" si="36"/>
        <v>P0005</v>
      </c>
      <c r="G250" s="17" t="str">
        <f t="shared" si="37"/>
        <v>70mm Metal Lug for 24oz glass jars</v>
      </c>
      <c r="H250" s="18" t="str">
        <f t="shared" si="38"/>
        <v>CAPS</v>
      </c>
      <c r="I250" s="19">
        <v>1</v>
      </c>
      <c r="J250" s="20">
        <v>1</v>
      </c>
    </row>
    <row r="251" spans="1:10" ht="15.75" thickBot="1" x14ac:dyDescent="0.3">
      <c r="A251" t="s">
        <v>31</v>
      </c>
      <c r="B251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028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1" s="15"/>
      <c r="D251" s="16" t="str">
        <f>"ISJ028"</f>
        <v>ISJ028</v>
      </c>
      <c r="E251" s="16">
        <v>20000</v>
      </c>
      <c r="F251" s="16" t="str">
        <f t="shared" si="36"/>
        <v>P0005</v>
      </c>
      <c r="G251" s="17" t="str">
        <f t="shared" si="37"/>
        <v>70mm Metal Lug for 24oz glass jars</v>
      </c>
      <c r="H251" s="18" t="str">
        <f t="shared" si="38"/>
        <v>CAPS</v>
      </c>
      <c r="I251" s="19">
        <v>1</v>
      </c>
      <c r="J251" s="20">
        <v>1</v>
      </c>
    </row>
    <row r="252" spans="1:10" ht="15.75" thickBot="1" x14ac:dyDescent="0.3">
      <c r="A252" t="s">
        <v>31</v>
      </c>
      <c r="B252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029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2" s="15"/>
      <c r="D252" s="16" t="str">
        <f>"ISJ029"</f>
        <v>ISJ029</v>
      </c>
      <c r="E252" s="16">
        <v>20000</v>
      </c>
      <c r="F252" s="16" t="str">
        <f t="shared" si="36"/>
        <v>P0005</v>
      </c>
      <c r="G252" s="17" t="str">
        <f t="shared" si="37"/>
        <v>70mm Metal Lug for 24oz glass jars</v>
      </c>
      <c r="H252" s="18" t="str">
        <f t="shared" si="38"/>
        <v>CAPS</v>
      </c>
      <c r="I252" s="19">
        <v>1</v>
      </c>
      <c r="J252" s="20">
        <v>1</v>
      </c>
    </row>
    <row r="253" spans="1:10" ht="15.75" thickBot="1" x14ac:dyDescent="0.3">
      <c r="A253" t="s">
        <v>31</v>
      </c>
      <c r="B253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030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030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3" s="15"/>
      <c r="D253" s="16" t="str">
        <f>"ISJ030"</f>
        <v>ISJ030</v>
      </c>
      <c r="E253" s="16">
        <v>20000</v>
      </c>
      <c r="F253" s="16" t="str">
        <f t="shared" si="36"/>
        <v>P0005</v>
      </c>
      <c r="G253" s="17" t="str">
        <f t="shared" si="37"/>
        <v>70mm Metal Lug for 24oz glass jars</v>
      </c>
      <c r="H253" s="18" t="str">
        <f t="shared" si="38"/>
        <v>CAPS</v>
      </c>
      <c r="I253" s="19">
        <v>1</v>
      </c>
      <c r="J253" s="20">
        <v>1</v>
      </c>
    </row>
    <row r="254" spans="1:10" ht="15.75" thickBot="1" x14ac:dyDescent="0.3">
      <c r="A254" t="s">
        <v>31</v>
      </c>
      <c r="B254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031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031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4" s="15"/>
      <c r="D254" s="16" t="str">
        <f>"ISJ031"</f>
        <v>ISJ031</v>
      </c>
      <c r="E254" s="16">
        <v>20000</v>
      </c>
      <c r="F254" s="16" t="str">
        <f t="shared" si="36"/>
        <v>P0005</v>
      </c>
      <c r="G254" s="17" t="str">
        <f t="shared" si="37"/>
        <v>70mm Metal Lug for 24oz glass jars</v>
      </c>
      <c r="H254" s="18" t="str">
        <f t="shared" si="38"/>
        <v>CAPS</v>
      </c>
      <c r="I254" s="19">
        <v>1</v>
      </c>
      <c r="J254" s="20">
        <v>1</v>
      </c>
    </row>
    <row r="255" spans="1:10" ht="15.75" thickBot="1" x14ac:dyDescent="0.3">
      <c r="A255" t="s">
        <v>31</v>
      </c>
      <c r="B255" s="15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033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033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5" s="15"/>
      <c r="D255" s="16" t="str">
        <f>"ISJ033"</f>
        <v>ISJ033</v>
      </c>
      <c r="E255" s="16">
        <v>20000</v>
      </c>
      <c r="F255" s="16" t="str">
        <f t="shared" si="36"/>
        <v>P0005</v>
      </c>
      <c r="G255" s="17" t="str">
        <f t="shared" si="37"/>
        <v>70mm Metal Lug for 24oz glass jars</v>
      </c>
      <c r="H255" s="18" t="str">
        <f t="shared" si="38"/>
        <v>CAPS</v>
      </c>
      <c r="I255" s="19">
        <v>1</v>
      </c>
      <c r="J255" s="20">
        <v>1</v>
      </c>
    </row>
    <row r="256" spans="1:10" ht="15.75" thickBot="1" x14ac:dyDescent="0.3">
      <c r="A256" t="s">
        <v>31</v>
      </c>
      <c r="B256" s="15" t="str">
        <f>"""Manzana NAV"",""MANZANA"",""99000772"",""44"","" "",""22"",""False"",""43"",""0.00000000000000000000"",""12"",""82mm Metal Lug for 33oz jars"",""50220"",""False"",""29"","""",""50210"",""False"",""18"","""",""11"",""P0006"",""2"",""20000"",""1"",""ISJ012"",""14"",""1.00000000000000000000"",""45"",""1.00000000"&amp;"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","22","False","43","0.00000000000000000000","12","82mm Metal Lug for 33oz jars","50220","False","29","","50210","False","18","","11","P0006","2","20000","1","ISJ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6" s="15"/>
      <c r="D256" s="16" t="str">
        <f>"ISJ012"</f>
        <v>ISJ012</v>
      </c>
      <c r="E256" s="16">
        <v>20000</v>
      </c>
      <c r="F256" s="16" t="str">
        <f>"P0006"</f>
        <v>P0006</v>
      </c>
      <c r="G256" s="17" t="str">
        <f>"82mm Metal Lug for 33oz jars"</f>
        <v>82mm Metal Lug for 33oz jars</v>
      </c>
      <c r="H256" s="18" t="str">
        <f t="shared" si="38"/>
        <v>CAPS</v>
      </c>
      <c r="I256" s="19">
        <v>1</v>
      </c>
      <c r="J256" s="20">
        <v>1</v>
      </c>
    </row>
    <row r="257" spans="1:10" ht="15.75" thickBot="1" x14ac:dyDescent="0.3">
      <c r="A257" t="s">
        <v>31</v>
      </c>
      <c r="B257" s="15" t="str">
        <f>"""Manzana NAV"",""MANZANA"",""99000772"",""44"","" "",""22"",""False"",""43"",""0.00000000000000000000"",""12"",""82mm metal twist cap for 33oz jars"",""50220"",""False"",""29"","""",""50210"",""False"",""18"","""",""11"",""P0006"",""2"",""30000"",""1"",""ISJ004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","22","False","43","0.00000000000000000000","12","82mm metal twist cap for 33oz jars","50220","False","29","","50210","False","18","","11","P0006","2","30000","1","ISJ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7" s="15"/>
      <c r="D257" s="16" t="str">
        <f>"ISJ004"</f>
        <v>ISJ004</v>
      </c>
      <c r="E257" s="16">
        <v>30000</v>
      </c>
      <c r="F257" s="16" t="str">
        <f>"P0006"</f>
        <v>P0006</v>
      </c>
      <c r="G257" s="17" t="str">
        <f>"82mm metal twist cap for 33oz jars"</f>
        <v>82mm metal twist cap for 33oz jars</v>
      </c>
      <c r="H257" s="18" t="str">
        <f t="shared" si="38"/>
        <v>CAPS</v>
      </c>
      <c r="I257" s="19">
        <v>1</v>
      </c>
      <c r="J257" s="20">
        <v>1</v>
      </c>
    </row>
    <row r="258" spans="1:10" ht="15.75" thickBot="1" x14ac:dyDescent="0.3">
      <c r="A258" t="s">
        <v>31</v>
      </c>
      <c r="B258" s="15" t="str">
        <f>"""Manzana NAV"",""MANZANA"",""99000772"",""44"","" "",""22"",""False"",""43"",""0.00000000000000000000"",""12"",""AS Pouch Film NORTH.COAST ORG Berry3.2oz -JAN16"",""50220"",""False"",""29"","""",""50210"",""False"",""18"","""",""11"",""PF0029"",""2"",""10000"",""1"",""ISP0003"",""14"",""1.00000000000000000"&amp;"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","22","False","43","0.00000000000000000000","12","AS Pouch Film NORTH.COAST ORG Berry3.2oz -JAN16","50220","False","29","","50210","False","18","","11","PF0029","2","10000","1","ISP0003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58" s="15"/>
      <c r="D258" s="16" t="str">
        <f>"ISP0003"</f>
        <v>ISP0003</v>
      </c>
      <c r="E258" s="16">
        <v>10000</v>
      </c>
      <c r="F258" s="16" t="str">
        <f>"PF0029"</f>
        <v>PF0029</v>
      </c>
      <c r="G258" s="17" t="str">
        <f>"AS Pouch Film NORTH.COAST ORG Berry3.2oz -JAN16"</f>
        <v>AS Pouch Film NORTH.COAST ORG Berry3.2oz -JAN16</v>
      </c>
      <c r="H258" s="18" t="str">
        <f>"IMPR"</f>
        <v>IMPR</v>
      </c>
      <c r="I258" s="19">
        <v>1</v>
      </c>
      <c r="J258" s="20">
        <v>1</v>
      </c>
    </row>
    <row r="259" spans="1:10" ht="15.75" thickBot="1" x14ac:dyDescent="0.3">
      <c r="A259" t="s">
        <v>31</v>
      </c>
      <c r="B259" s="15" t="str">
        <f>"""Manzana NAV"",""MANZANA"",""99000772"",""44"","" "",""22"",""False"",""43"",""0.00000000000000000000"",""12"",""AS Pouch Filml ORG HARMONS Berry 3.2oz"",""50220"",""False"",""29"","""",""50210"",""False"",""18"","""",""11"",""PF0026"",""2"",""10000"",""1"",""ISP0026"",""14"",""1.00000000000000000000"",""45"""&amp;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","22","False","43","0.00000000000000000000","12","AS Pouch Filml ORG HARMONS Berry 3.2oz","50220","False","29","","50210","False","18","","11","PF0026","2","10000","1","ISP0026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59" s="15"/>
      <c r="D259" s="16" t="str">
        <f>"ISP0026"</f>
        <v>ISP0026</v>
      </c>
      <c r="E259" s="16">
        <v>10000</v>
      </c>
      <c r="F259" s="16" t="str">
        <f>"PF0026"</f>
        <v>PF0026</v>
      </c>
      <c r="G259" s="17" t="str">
        <f>"AS Pouch Filml ORG HARMONS Berry 3.2oz"</f>
        <v>AS Pouch Filml ORG HARMONS Berry 3.2oz</v>
      </c>
      <c r="H259" s="18" t="str">
        <f>"IMPR"</f>
        <v>IMPR</v>
      </c>
      <c r="I259" s="19">
        <v>1</v>
      </c>
      <c r="J259" s="20">
        <v>1</v>
      </c>
    </row>
    <row r="260" spans="1:10" ht="15.75" thickBot="1" x14ac:dyDescent="0.3">
      <c r="A260" t="s">
        <v>31</v>
      </c>
      <c r="B260" s="15" t="str">
        <f>"""Manzana NAV"",""MANZANA"",""99000772"",""44"","" "",""22"",""False"",""43"",""0.00000000000000000000"",""12"",""AS Pouch G-Film NORTH.COAST ORG Apple3.2oz APR16"",""50220"",""False"",""29"","""",""50210"",""False"",""18"","""",""11"",""PF0028"",""2"",""10000"",""1"",""ISP0001"",""14"",""1.0000000000000000"&amp;"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","22","False","43","0.00000000000000000000","12","AS Pouch G-Film NORTH.COAST ORG Apple3.2oz APR16","50220","False","29","","50210","False","18","","11","PF0028","2","10000","1","ISP0001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60" s="15"/>
      <c r="D260" s="16" t="str">
        <f>"ISP0001"</f>
        <v>ISP0001</v>
      </c>
      <c r="E260" s="16">
        <v>10000</v>
      </c>
      <c r="F260" s="16" t="str">
        <f>"PF0028"</f>
        <v>PF0028</v>
      </c>
      <c r="G260" s="17" t="str">
        <f>"AS Pouch G-Film NORTH.COAST ORG Apple3.2oz APR16"</f>
        <v>AS Pouch G-Film NORTH.COAST ORG Apple3.2oz APR16</v>
      </c>
      <c r="H260" s="18" t="str">
        <f>"IMPR"</f>
        <v>IMPR</v>
      </c>
      <c r="I260" s="19">
        <v>1</v>
      </c>
      <c r="J260" s="20">
        <v>1</v>
      </c>
    </row>
    <row r="261" spans="1:10" ht="15.75" thickBot="1" x14ac:dyDescent="0.3">
      <c r="A261" t="s">
        <v>31</v>
      </c>
      <c r="B261" s="15" t="str">
        <f>"""Manzana NAV"",""MANZANA"",""99000772"",""44"","" "",""22"",""False"",""43"",""0.00000000000000000000"",""12"",""Ascorbic Acid"",""50220"",""False"",""29"","""",""50210"",""False"",""18"","""",""11"",""I0003"",""2"",""5000"",""1"",""ISC01"",""14"",""13.00000000000000000000"",""45"",""13.00000000000000000000"","""&amp;"19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5000","1","ISC01","14","13.00000000000000000000","45","13.00000000000000000000","19","","20","0.00000000000000000000","50000","0.00000000000000000000","50230","False","28","","10","Item","13","KG","21","","3","","42","0.00000000000000000000","50200","False","41","0.00000000000000000000"</v>
      </c>
      <c r="C261" s="15"/>
      <c r="D261" s="16" t="str">
        <f>"ISC01"</f>
        <v>ISC01</v>
      </c>
      <c r="E261" s="16">
        <v>5000</v>
      </c>
      <c r="F261" s="16" t="str">
        <f t="shared" ref="F261:F282" si="39">"I0003"</f>
        <v>I0003</v>
      </c>
      <c r="G261" s="17" t="str">
        <f t="shared" ref="G261:G282" si="40">"Ascorbic Acid"</f>
        <v>Ascorbic Acid</v>
      </c>
      <c r="H261" s="18" t="str">
        <f>"KG"</f>
        <v>KG</v>
      </c>
      <c r="I261" s="19">
        <v>13</v>
      </c>
      <c r="J261" s="20">
        <v>13</v>
      </c>
    </row>
    <row r="262" spans="1:10" ht="15.75" thickBot="1" x14ac:dyDescent="0.3">
      <c r="A262" t="s">
        <v>31</v>
      </c>
      <c r="B262" s="15" t="str">
        <f>"""Manzana NAV"",""MANZANA"",""99000772"",""44"","" "",""22"",""False"",""43"",""0.00000000000000000000"",""12"",""Ascorbic Acid"",""50220"",""False"",""29"","""",""50210"",""False"",""18"","""",""11"",""I0003"",""2"",""10000"",""1"",""ISC32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10000","1","ISC32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62" s="15"/>
      <c r="D262" s="16" t="str">
        <f>"ISC32"</f>
        <v>ISC32</v>
      </c>
      <c r="E262" s="16">
        <v>10000</v>
      </c>
      <c r="F262" s="16" t="str">
        <f t="shared" si="39"/>
        <v>I0003</v>
      </c>
      <c r="G262" s="17" t="str">
        <f t="shared" si="40"/>
        <v>Ascorbic Acid</v>
      </c>
      <c r="H262" s="18" t="str">
        <f>"LBS"</f>
        <v>LBS</v>
      </c>
      <c r="I262" s="19">
        <v>1.4E-3</v>
      </c>
      <c r="J262" s="20">
        <v>1.4E-3</v>
      </c>
    </row>
    <row r="263" spans="1:10" ht="15.75" thickBot="1" x14ac:dyDescent="0.3">
      <c r="A263" t="s">
        <v>31</v>
      </c>
      <c r="B263" s="15" t="str">
        <f>"""Manzana NAV"",""MANZANA"",""99000772"",""44"","" "",""22"",""False"",""43"",""0.00000000000000000000"",""12"",""Ascorbic Acid"",""50220"",""False"",""29"","""",""50210"",""False"",""18"","""",""11"",""I0003"",""2"",""20000"",""1"",""APU00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00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3" s="15"/>
      <c r="D263" s="16" t="str">
        <f>"APU00"</f>
        <v>APU00</v>
      </c>
      <c r="E263" s="16">
        <v>20000</v>
      </c>
      <c r="F263" s="16" t="str">
        <f t="shared" si="39"/>
        <v>I0003</v>
      </c>
      <c r="G263" s="17" t="str">
        <f t="shared" si="40"/>
        <v>Ascorbic Acid</v>
      </c>
      <c r="H263" s="18" t="str">
        <f t="shared" ref="H263:H268" si="41">"KG"</f>
        <v>KG</v>
      </c>
      <c r="I263" s="19">
        <v>1E-4</v>
      </c>
      <c r="J263" s="20">
        <v>1E-4</v>
      </c>
    </row>
    <row r="264" spans="1:10" ht="15.75" thickBot="1" x14ac:dyDescent="0.3">
      <c r="A264" t="s">
        <v>31</v>
      </c>
      <c r="B264" s="15" t="str">
        <f>"""Manzana NAV"",""MANZANA"",""99000772"",""44"","" "",""22"",""False"",""43"",""0.00000000000000000000"",""12"",""Ascorbic Acid"",""50220"",""False"",""29"","""",""50210"",""False"",""18"","""",""11"",""I0003"",""2"",""20000"",""1"",""APU01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01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4" s="15"/>
      <c r="D264" s="16" t="str">
        <f>"APU01"</f>
        <v>APU01</v>
      </c>
      <c r="E264" s="16">
        <v>20000</v>
      </c>
      <c r="F264" s="16" t="str">
        <f t="shared" si="39"/>
        <v>I0003</v>
      </c>
      <c r="G264" s="17" t="str">
        <f t="shared" si="40"/>
        <v>Ascorbic Acid</v>
      </c>
      <c r="H264" s="18" t="str">
        <f t="shared" si="41"/>
        <v>KG</v>
      </c>
      <c r="I264" s="19">
        <v>1E-4</v>
      </c>
      <c r="J264" s="20">
        <v>1E-4</v>
      </c>
    </row>
    <row r="265" spans="1:10" ht="15.75" thickBot="1" x14ac:dyDescent="0.3">
      <c r="A265" t="s">
        <v>31</v>
      </c>
      <c r="B265" s="15" t="str">
        <f>"""Manzana NAV"",""MANZANA"",""99000772"",""44"","" "",""22"",""False"",""43"",""0.00000000000000000000"",""12"",""Ascorbic Acid"",""50220"",""False"",""29"","""",""50210"",""False"",""18"","""",""11"",""I0003"",""2"",""20000"",""1"",""APU90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90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5" s="15"/>
      <c r="D265" s="16" t="str">
        <f>"APU90"</f>
        <v>APU90</v>
      </c>
      <c r="E265" s="16">
        <v>20000</v>
      </c>
      <c r="F265" s="16" t="str">
        <f t="shared" si="39"/>
        <v>I0003</v>
      </c>
      <c r="G265" s="17" t="str">
        <f t="shared" si="40"/>
        <v>Ascorbic Acid</v>
      </c>
      <c r="H265" s="18" t="str">
        <f t="shared" si="41"/>
        <v>KG</v>
      </c>
      <c r="I265" s="19">
        <v>1E-4</v>
      </c>
      <c r="J265" s="20">
        <v>1E-4</v>
      </c>
    </row>
    <row r="266" spans="1:10" ht="15.75" thickBot="1" x14ac:dyDescent="0.3">
      <c r="A266" t="s">
        <v>31</v>
      </c>
      <c r="B266" s="15" t="str">
        <f>"""Manzana NAV"",""MANZANA"",""99000772"",""44"","" "",""22"",""False"",""43"",""0.00000000000000000000"",""12"",""Ascorbic Acid"",""50220"",""False"",""29"","""",""50210"",""False"",""18"","""",""11"",""I0003"",""2"",""20000"",""1"",""APU91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91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6" s="15"/>
      <c r="D266" s="16" t="str">
        <f>"APU91"</f>
        <v>APU91</v>
      </c>
      <c r="E266" s="16">
        <v>20000</v>
      </c>
      <c r="F266" s="16" t="str">
        <f t="shared" si="39"/>
        <v>I0003</v>
      </c>
      <c r="G266" s="17" t="str">
        <f t="shared" si="40"/>
        <v>Ascorbic Acid</v>
      </c>
      <c r="H266" s="18" t="str">
        <f t="shared" si="41"/>
        <v>KG</v>
      </c>
      <c r="I266" s="19">
        <v>1E-4</v>
      </c>
      <c r="J266" s="20">
        <v>1E-4</v>
      </c>
    </row>
    <row r="267" spans="1:10" ht="15.75" thickBot="1" x14ac:dyDescent="0.3">
      <c r="A267" t="s">
        <v>31</v>
      </c>
      <c r="B267" s="15" t="str">
        <f>"""Manzana NAV"",""MANZANA"",""99000772"",""44"","" "",""22"",""False"",""43"",""0.00000000000000000000"",""12"",""Ascorbic Acid"",""50220"",""False"",""29"","""",""50210"",""False"",""18"","""",""11"",""I0003"",""2"",""20000"",""1"",""APU92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92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7" s="15"/>
      <c r="D267" s="16" t="str">
        <f>"APU92"</f>
        <v>APU92</v>
      </c>
      <c r="E267" s="16">
        <v>20000</v>
      </c>
      <c r="F267" s="16" t="str">
        <f t="shared" si="39"/>
        <v>I0003</v>
      </c>
      <c r="G267" s="17" t="str">
        <f t="shared" si="40"/>
        <v>Ascorbic Acid</v>
      </c>
      <c r="H267" s="18" t="str">
        <f t="shared" si="41"/>
        <v>KG</v>
      </c>
      <c r="I267" s="19">
        <v>1E-4</v>
      </c>
      <c r="J267" s="20">
        <v>1E-4</v>
      </c>
    </row>
    <row r="268" spans="1:10" ht="15.75" thickBot="1" x14ac:dyDescent="0.3">
      <c r="A268" t="s">
        <v>31</v>
      </c>
      <c r="B268" s="15" t="str">
        <f>"""Manzana NAV"",""MANZANA"",""99000772"",""44"","" "",""22"",""False"",""43"",""0.00000000000000000000"",""12"",""Ascorbic Acid"",""50220"",""False"",""29"","""",""50210"",""False"",""18"","""",""11"",""I0003"",""2"",""20000"",""1"",""APU93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93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8" s="15"/>
      <c r="D268" s="16" t="str">
        <f>"APU93"</f>
        <v>APU93</v>
      </c>
      <c r="E268" s="16">
        <v>20000</v>
      </c>
      <c r="F268" s="16" t="str">
        <f t="shared" si="39"/>
        <v>I0003</v>
      </c>
      <c r="G268" s="17" t="str">
        <f t="shared" si="40"/>
        <v>Ascorbic Acid</v>
      </c>
      <c r="H268" s="18" t="str">
        <f t="shared" si="41"/>
        <v>KG</v>
      </c>
      <c r="I268" s="19">
        <v>1E-4</v>
      </c>
      <c r="J268" s="20">
        <v>1E-4</v>
      </c>
    </row>
    <row r="269" spans="1:10" ht="15.75" thickBot="1" x14ac:dyDescent="0.3">
      <c r="A269" t="s">
        <v>31</v>
      </c>
      <c r="B269" s="15" t="str">
        <f>"""Manzana NAV"",""MANZANA"",""99000772"",""44"","" "",""22"",""False"",""43"",""0.00000000000000000000"",""12"",""Ascorbic Acid"",""50220"",""False"",""29"","""",""50210"",""False"",""18"","""",""11"",""I0003"",""2"",""20000"",""1"",""ISC06"",""14"",""0.00150000000000000000"",""45"",""0.00150000000000000000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ISC06","14","0.00150000000000000000","45","0.00150000000000000000","19","","20","0.00000000000000000000","50000","0.00000000000000000000","50230","False","28","","10","Item","13","LBS","21","","3","","42","0.00000000000000000000","50200","False","41","0.00000000000000000000"</v>
      </c>
      <c r="C269" s="15"/>
      <c r="D269" s="16" t="str">
        <f>"ISC06"</f>
        <v>ISC06</v>
      </c>
      <c r="E269" s="16">
        <v>20000</v>
      </c>
      <c r="F269" s="16" t="str">
        <f t="shared" si="39"/>
        <v>I0003</v>
      </c>
      <c r="G269" s="17" t="str">
        <f t="shared" si="40"/>
        <v>Ascorbic Acid</v>
      </c>
      <c r="H269" s="18" t="str">
        <f>"LBS"</f>
        <v>LBS</v>
      </c>
      <c r="I269" s="19">
        <v>1.5E-3</v>
      </c>
      <c r="J269" s="20">
        <v>1.5E-3</v>
      </c>
    </row>
    <row r="270" spans="1:10" ht="15.75" thickBot="1" x14ac:dyDescent="0.3">
      <c r="A270" t="s">
        <v>31</v>
      </c>
      <c r="B270" s="15" t="str">
        <f>"""Manzana NAV"",""MANZANA"",""99000772"",""44"","" "",""22"",""False"",""43"",""0.00000000000000000000"",""12"",""Ascorbic Acid"",""50220"",""False"",""29"","""",""50210"",""False"",""18"","""",""11"",""I0003"",""2"",""20000"",""1"",""ISC25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ISC25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0" s="15"/>
      <c r="D270" s="16" t="str">
        <f>"ISC25"</f>
        <v>ISC25</v>
      </c>
      <c r="E270" s="16">
        <v>20000</v>
      </c>
      <c r="F270" s="16" t="str">
        <f t="shared" si="39"/>
        <v>I0003</v>
      </c>
      <c r="G270" s="17" t="str">
        <f t="shared" si="40"/>
        <v>Ascorbic Acid</v>
      </c>
      <c r="H270" s="18" t="str">
        <f>"LBS"</f>
        <v>LBS</v>
      </c>
      <c r="I270" s="19">
        <v>1.4E-3</v>
      </c>
      <c r="J270" s="20">
        <v>1.4E-3</v>
      </c>
    </row>
    <row r="271" spans="1:10" ht="15.75" thickBot="1" x14ac:dyDescent="0.3">
      <c r="A271" t="s">
        <v>31</v>
      </c>
      <c r="B271" s="15" t="str">
        <f>"""Manzana NAV"",""MANZANA"",""99000772"",""44"","" "",""22"",""False"",""43"",""0.00000000000000000000"",""12"",""Ascorbic Acid"",""50220"",""False"",""29"","""",""50210"",""False"",""18"","""",""11"",""I0003"",""2"",""20000"",""1"",""ISC26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ISC26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1" s="15"/>
      <c r="D271" s="16" t="str">
        <f>"ISC26"</f>
        <v>ISC26</v>
      </c>
      <c r="E271" s="16">
        <v>20000</v>
      </c>
      <c r="F271" s="16" t="str">
        <f t="shared" si="39"/>
        <v>I0003</v>
      </c>
      <c r="G271" s="17" t="str">
        <f t="shared" si="40"/>
        <v>Ascorbic Acid</v>
      </c>
      <c r="H271" s="18" t="str">
        <f>"LBS"</f>
        <v>LBS</v>
      </c>
      <c r="I271" s="19">
        <v>1.4E-3</v>
      </c>
      <c r="J271" s="20">
        <v>1.4E-3</v>
      </c>
    </row>
    <row r="272" spans="1:10" ht="15.75" thickBot="1" x14ac:dyDescent="0.3">
      <c r="A272" t="s">
        <v>31</v>
      </c>
      <c r="B272" s="15" t="str">
        <f>"""Manzana NAV"",""MANZANA"",""99000772"",""44"","" "",""22"",""False"",""43"",""0.00000000000000000000"",""12"",""Ascorbic Acid"",""50220"",""False"",""29"","""",""50210"",""False"",""18"","""",""11"",""I0003"",""2"",""30000"",""1"",""ISC08"",""14"",""0.00130000000000000000"",""45"",""0.00130000000000000000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08","14","0.00130000000000000000","45","0.00130000000000000000","19","","20","0.00000000000000000000","50000","0.00000000000000000000","50230","False","28","","10","Item","13","KG","21","","3","","42","0.00000000000000000000","50200","False","41","0.00000000000000000000"</v>
      </c>
      <c r="C272" s="15"/>
      <c r="D272" s="16" t="str">
        <f>"ISC08"</f>
        <v>ISC08</v>
      </c>
      <c r="E272" s="16">
        <v>30000</v>
      </c>
      <c r="F272" s="16" t="str">
        <f t="shared" si="39"/>
        <v>I0003</v>
      </c>
      <c r="G272" s="17" t="str">
        <f t="shared" si="40"/>
        <v>Ascorbic Acid</v>
      </c>
      <c r="H272" s="18" t="str">
        <f>"KG"</f>
        <v>KG</v>
      </c>
      <c r="I272" s="19">
        <v>1.2999999999999999E-3</v>
      </c>
      <c r="J272" s="20">
        <v>1.2999999999999999E-3</v>
      </c>
    </row>
    <row r="273" spans="1:10" ht="15.75" thickBot="1" x14ac:dyDescent="0.3">
      <c r="A273" t="s">
        <v>31</v>
      </c>
      <c r="B273" s="15" t="str">
        <f>"""Manzana NAV"",""MANZANA"",""99000772"",""44"","" "",""22"",""False"",""43"",""0.00000000000000000000"",""12"",""Ascorbic Acid"",""50220"",""False"",""29"","""",""50210"",""False"",""18"","""",""11"",""I0003"",""2"",""30000"",""1"",""ISC13"",""14"",""0.00130000000000000000"",""45"",""0.00130000000000000000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13","14","0.00130000000000000000","45","0.00130000000000000000","19","","20","0.00000000000000000000","50000","0.00000000000000000000","50230","False","28","","10","Item","13","LBS","21","","3","","42","0.00000000000000000000","50200","False","41","0.00000000000000000000"</v>
      </c>
      <c r="C273" s="15"/>
      <c r="D273" s="16" t="str">
        <f>"ISC13"</f>
        <v>ISC13</v>
      </c>
      <c r="E273" s="16">
        <v>30000</v>
      </c>
      <c r="F273" s="16" t="str">
        <f t="shared" si="39"/>
        <v>I0003</v>
      </c>
      <c r="G273" s="17" t="str">
        <f t="shared" si="40"/>
        <v>Ascorbic Acid</v>
      </c>
      <c r="H273" s="18" t="str">
        <f t="shared" ref="H273:H282" si="42">"LBS"</f>
        <v>LBS</v>
      </c>
      <c r="I273" s="19">
        <v>1.2999999999999999E-3</v>
      </c>
      <c r="J273" s="20">
        <v>1.2999999999999999E-3</v>
      </c>
    </row>
    <row r="274" spans="1:10" ht="15.75" thickBot="1" x14ac:dyDescent="0.3">
      <c r="A274" t="s">
        <v>31</v>
      </c>
      <c r="B274" s="15" t="str">
        <f>"""Manzana NAV"",""MANZANA"",""99000772"",""44"","" "",""22"",""False"",""43"",""0.00000000000000000000"",""12"",""Ascorbic Acid"",""50220"",""False"",""29"","""",""50210"",""False"",""18"","""",""11"",""I0003"",""2"",""30000"",""1"",""ISC16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16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4" s="15"/>
      <c r="D274" s="16" t="str">
        <f>"ISC16"</f>
        <v>ISC16</v>
      </c>
      <c r="E274" s="16">
        <v>30000</v>
      </c>
      <c r="F274" s="16" t="str">
        <f t="shared" si="39"/>
        <v>I0003</v>
      </c>
      <c r="G274" s="17" t="str">
        <f t="shared" si="40"/>
        <v>Ascorbic Acid</v>
      </c>
      <c r="H274" s="18" t="str">
        <f t="shared" si="42"/>
        <v>LBS</v>
      </c>
      <c r="I274" s="19">
        <v>1.4E-3</v>
      </c>
      <c r="J274" s="20">
        <v>1.4E-3</v>
      </c>
    </row>
    <row r="275" spans="1:10" ht="15.75" thickBot="1" x14ac:dyDescent="0.3">
      <c r="A275" t="s">
        <v>31</v>
      </c>
      <c r="B275" s="15" t="str">
        <f>"""Manzana NAV"",""MANZANA"",""99000772"",""44"","" "",""22"",""False"",""43"",""0.00000000000000000000"",""12"",""Ascorbic Acid"",""50220"",""False"",""29"","""",""50210"",""False"",""18"","""",""11"",""I0003"",""2"",""30000"",""1"",""ISC17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17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5" s="15"/>
      <c r="D275" s="16" t="str">
        <f>"ISC17"</f>
        <v>ISC17</v>
      </c>
      <c r="E275" s="16">
        <v>30000</v>
      </c>
      <c r="F275" s="16" t="str">
        <f t="shared" si="39"/>
        <v>I0003</v>
      </c>
      <c r="G275" s="17" t="str">
        <f t="shared" si="40"/>
        <v>Ascorbic Acid</v>
      </c>
      <c r="H275" s="18" t="str">
        <f t="shared" si="42"/>
        <v>LBS</v>
      </c>
      <c r="I275" s="19">
        <v>1.4E-3</v>
      </c>
      <c r="J275" s="20">
        <v>1.4E-3</v>
      </c>
    </row>
    <row r="276" spans="1:10" ht="15.75" thickBot="1" x14ac:dyDescent="0.3">
      <c r="A276" t="s">
        <v>31</v>
      </c>
      <c r="B276" s="15" t="str">
        <f>"""Manzana NAV"",""MANZANA"",""99000772"",""44"","" "",""22"",""False"",""43"",""0.00000000000000000000"",""12"",""Ascorbic Acid"",""50220"",""False"",""29"","""",""50210"",""False"",""18"","""",""11"",""I0003"",""2"",""30000"",""1"",""ISC18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18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6" s="15"/>
      <c r="D276" s="16" t="str">
        <f>"ISC18"</f>
        <v>ISC18</v>
      </c>
      <c r="E276" s="16">
        <v>30000</v>
      </c>
      <c r="F276" s="16" t="str">
        <f t="shared" si="39"/>
        <v>I0003</v>
      </c>
      <c r="G276" s="17" t="str">
        <f t="shared" si="40"/>
        <v>Ascorbic Acid</v>
      </c>
      <c r="H276" s="18" t="str">
        <f t="shared" si="42"/>
        <v>LBS</v>
      </c>
      <c r="I276" s="19">
        <v>1.4E-3</v>
      </c>
      <c r="J276" s="20">
        <v>1.4E-3</v>
      </c>
    </row>
    <row r="277" spans="1:10" ht="15.75" thickBot="1" x14ac:dyDescent="0.3">
      <c r="A277" t="s">
        <v>31</v>
      </c>
      <c r="B277" s="15" t="str">
        <f>"""Manzana NAV"",""MANZANA"",""99000772"",""44"","" "",""22"",""False"",""43"",""0.00000000000000000000"",""12"",""Ascorbic Acid"",""50220"",""False"",""29"","""",""50210"",""False"",""18"","""",""11"",""I0003"",""2"",""30000"",""1"",""ISC19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19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7" s="15"/>
      <c r="D277" s="16" t="str">
        <f>"ISC19"</f>
        <v>ISC19</v>
      </c>
      <c r="E277" s="16">
        <v>30000</v>
      </c>
      <c r="F277" s="16" t="str">
        <f t="shared" si="39"/>
        <v>I0003</v>
      </c>
      <c r="G277" s="17" t="str">
        <f t="shared" si="40"/>
        <v>Ascorbic Acid</v>
      </c>
      <c r="H277" s="18" t="str">
        <f t="shared" si="42"/>
        <v>LBS</v>
      </c>
      <c r="I277" s="19">
        <v>1.4E-3</v>
      </c>
      <c r="J277" s="20">
        <v>1.4E-3</v>
      </c>
    </row>
    <row r="278" spans="1:10" ht="15.75" thickBot="1" x14ac:dyDescent="0.3">
      <c r="A278" t="s">
        <v>31</v>
      </c>
      <c r="B278" s="15" t="str">
        <f>"""Manzana NAV"",""MANZANA"",""99000772"",""44"","" "",""22"",""False"",""43"",""0.00000000000000000000"",""12"",""Ascorbic Acid"",""50220"",""False"",""29"","""",""50210"",""False"",""18"","""",""11"",""I0003"",""2"",""30000"",""1"",""ISC20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20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8" s="15"/>
      <c r="D278" s="16" t="str">
        <f>"ISC20"</f>
        <v>ISC20</v>
      </c>
      <c r="E278" s="16">
        <v>30000</v>
      </c>
      <c r="F278" s="16" t="str">
        <f t="shared" si="39"/>
        <v>I0003</v>
      </c>
      <c r="G278" s="17" t="str">
        <f t="shared" si="40"/>
        <v>Ascorbic Acid</v>
      </c>
      <c r="H278" s="18" t="str">
        <f t="shared" si="42"/>
        <v>LBS</v>
      </c>
      <c r="I278" s="19">
        <v>1.4E-3</v>
      </c>
      <c r="J278" s="20">
        <v>1.4E-3</v>
      </c>
    </row>
    <row r="279" spans="1:10" ht="15.75" thickBot="1" x14ac:dyDescent="0.3">
      <c r="A279" t="s">
        <v>31</v>
      </c>
      <c r="B279" s="15" t="str">
        <f>"""Manzana NAV"",""MANZANA"",""99000772"",""44"","" "",""22"",""False"",""43"",""0.00000000000000000000"",""12"",""Ascorbic Acid"",""50220"",""False"",""29"","""",""50210"",""False"",""18"","""",""11"",""I0003"",""2"",""40000"",""1"",""ISC10"",""14"",""0.00046000000000000000"",""45"",""0.00046000000000000000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40000","1","ISC10","14","0.00046000000000000000","45","0.00046000000000000000","19","","20","0.00000000000000000000","50000","0.00000000000000000000","50230","False","28","","10","Item","13","LBS","21","","3","","42","0.00000000000000000000","50200","False","41","0.00000000000000000000"</v>
      </c>
      <c r="C279" s="15"/>
      <c r="D279" s="16" t="str">
        <f>"ISC10"</f>
        <v>ISC10</v>
      </c>
      <c r="E279" s="16">
        <v>40000</v>
      </c>
      <c r="F279" s="16" t="str">
        <f t="shared" si="39"/>
        <v>I0003</v>
      </c>
      <c r="G279" s="17" t="str">
        <f t="shared" si="40"/>
        <v>Ascorbic Acid</v>
      </c>
      <c r="H279" s="18" t="str">
        <f t="shared" si="42"/>
        <v>LBS</v>
      </c>
      <c r="I279" s="19">
        <v>4.6000000000000001E-4</v>
      </c>
      <c r="J279" s="20">
        <v>4.6000000000000001E-4</v>
      </c>
    </row>
    <row r="280" spans="1:10" ht="15.75" thickBot="1" x14ac:dyDescent="0.3">
      <c r="A280" t="s">
        <v>31</v>
      </c>
      <c r="B280" s="15" t="str">
        <f>"""Manzana NAV"",""MANZANA"",""99000772"",""44"","" "",""22"",""False"",""43"",""0.00000000000000000000"",""12"",""Ascorbic Acid"",""50220"",""False"",""29"","""",""50210"",""False"",""18"","""",""11"",""I0003"",""2"",""40000"",""1"",""ISC21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40000","1","ISC21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80" s="15"/>
      <c r="D280" s="16" t="str">
        <f>"ISC21"</f>
        <v>ISC21</v>
      </c>
      <c r="E280" s="16">
        <v>40000</v>
      </c>
      <c r="F280" s="16" t="str">
        <f t="shared" si="39"/>
        <v>I0003</v>
      </c>
      <c r="G280" s="17" t="str">
        <f t="shared" si="40"/>
        <v>Ascorbic Acid</v>
      </c>
      <c r="H280" s="18" t="str">
        <f t="shared" si="42"/>
        <v>LBS</v>
      </c>
      <c r="I280" s="19">
        <v>1.4E-3</v>
      </c>
      <c r="J280" s="20">
        <v>1.4E-3</v>
      </c>
    </row>
    <row r="281" spans="1:10" ht="15.75" thickBot="1" x14ac:dyDescent="0.3">
      <c r="A281" t="s">
        <v>31</v>
      </c>
      <c r="B281" s="15" t="str">
        <f>"""Manzana NAV"",""MANZANA"",""99000772"",""44"","" "",""22"",""False"",""43"",""0.00000000000000000000"",""12"",""Ascorbic Acid"",""50220"",""False"",""29"","""",""50210"",""False"",""18"","""",""11"",""I0003"",""2"",""50000"",""1"",""ISC03"",""14"",""0.00130000000000000000"",""45"",""0.00130000000000000000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50000","1","ISC03","14","0.00130000000000000000","45","0.00130000000000000000","19","","20","0.00000000000000000000","50000","0.00000000000000000000","50230","False","28","","10","Item","13","LBS","21","","3","","42","0.00000000000000000000","50200","False","41","0.00000000000000000000"</v>
      </c>
      <c r="C281" s="15"/>
      <c r="D281" s="16" t="str">
        <f>"ISC03"</f>
        <v>ISC03</v>
      </c>
      <c r="E281" s="16">
        <v>50000</v>
      </c>
      <c r="F281" s="16" t="str">
        <f t="shared" si="39"/>
        <v>I0003</v>
      </c>
      <c r="G281" s="17" t="str">
        <f t="shared" si="40"/>
        <v>Ascorbic Acid</v>
      </c>
      <c r="H281" s="18" t="str">
        <f t="shared" si="42"/>
        <v>LBS</v>
      </c>
      <c r="I281" s="19">
        <v>1.2999999999999999E-3</v>
      </c>
      <c r="J281" s="20">
        <v>1.2999999999999999E-3</v>
      </c>
    </row>
    <row r="282" spans="1:10" ht="15.75" thickBot="1" x14ac:dyDescent="0.3">
      <c r="A282" t="s">
        <v>31</v>
      </c>
      <c r="B282" s="15" t="str">
        <f>"""Manzana NAV"",""MANZANA"",""99000772"",""44"","" "",""22"",""False"",""43"",""0.00000000000000000000"",""12"",""Ascorbic Acid"",""50220"",""False"",""29"","""",""50210"",""False"",""18"","""",""11"",""I0003"",""2"",""50000"",""1"",""ISC15"",""14"",""0.00130000000000000000"",""45"",""0.00130000000000000000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50000","1","ISC15","14","0.00130000000000000000","45","0.00130000000000000000","19","","20","0.00000000000000000000","50000","0.00000000000000000000","50230","False","28","","10","Item","13","LBS","21","","3","","42","0.00000000000000000000","50200","False","41","0.00000000000000000000"</v>
      </c>
      <c r="C282" s="15"/>
      <c r="D282" s="16" t="str">
        <f>"ISC15"</f>
        <v>ISC15</v>
      </c>
      <c r="E282" s="16">
        <v>50000</v>
      </c>
      <c r="F282" s="16" t="str">
        <f t="shared" si="39"/>
        <v>I0003</v>
      </c>
      <c r="G282" s="17" t="str">
        <f t="shared" si="40"/>
        <v>Ascorbic Acid</v>
      </c>
      <c r="H282" s="18" t="str">
        <f t="shared" si="42"/>
        <v>LBS</v>
      </c>
      <c r="I282" s="19">
        <v>1.2999999999999999E-3</v>
      </c>
      <c r="J282" s="20">
        <v>1.2999999999999999E-3</v>
      </c>
    </row>
    <row r="283" spans="1:10" ht="15.75" thickBot="1" x14ac:dyDescent="0.3">
      <c r="A283" t="s">
        <v>31</v>
      </c>
      <c r="B283" s="15" t="str">
        <f>"""Manzana NAV"",""MANZANA"",""99000772"",""44"","" "",""22"",""False"",""43"",""0.00000000000000000000"",""12"",""BRITE NAT Blend Apple Juice 12/32oz"",""50220"",""False"",""29"","""",""50210"",""False"",""18"","""",""11"",""FJ0164"",""2"",""10000"",""1"",""IJ039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Apple Juice 12/32oz","50220","False","29","","50210","False","18","","11","FJ0164","2","10000","1","IJ039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3" s="15"/>
      <c r="D283" s="16" t="str">
        <f>"IJ039L"</f>
        <v>IJ039L</v>
      </c>
      <c r="E283" s="16">
        <v>10000</v>
      </c>
      <c r="F283" s="16" t="str">
        <f>"FJ0164"</f>
        <v>FJ0164</v>
      </c>
      <c r="G283" s="17" t="str">
        <f>"BRITE NAT Blend Apple Juice 12/32oz"</f>
        <v>BRITE NAT Blend Apple Juice 12/32oz</v>
      </c>
      <c r="H283" s="18" t="str">
        <f t="shared" ref="H283:H324" si="43">"CASES"</f>
        <v>CASES</v>
      </c>
      <c r="I283" s="19">
        <v>8.3330000000000001E-2</v>
      </c>
      <c r="J283" s="20">
        <v>8.3330000000000001E-2</v>
      </c>
    </row>
    <row r="284" spans="1:10" ht="15.75" thickBot="1" x14ac:dyDescent="0.3">
      <c r="A284" t="s">
        <v>31</v>
      </c>
      <c r="B284" s="15" t="str">
        <f>"""Manzana NAV"",""MANZANA"",""99000772"",""44"","" "",""22"",""False"",""43"",""0.00000000000000000000"",""12"",""BRITE NAT Blend Apple Sauce 12/24oz"",""50220"",""False"",""29"","""",""50210"",""False"",""18"","""",""11"",""FS0003"",""2"",""10000"",""1"",""ISJ007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Apple Sauce 12/24oz","50220","False","29","","50210","False","18","","11","FS0003","2","10000","1","ISJ007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4" s="15"/>
      <c r="D284" s="16" t="str">
        <f>"ISJ007L"</f>
        <v>ISJ007L</v>
      </c>
      <c r="E284" s="16">
        <v>10000</v>
      </c>
      <c r="F284" s="16" t="str">
        <f>"FS0003"</f>
        <v>FS0003</v>
      </c>
      <c r="G284" s="17" t="str">
        <f>"BRITE NAT Blend Apple Sauce 12/24oz"</f>
        <v>BRITE NAT Blend Apple Sauce 12/24oz</v>
      </c>
      <c r="H284" s="18" t="str">
        <f t="shared" si="43"/>
        <v>CASES</v>
      </c>
      <c r="I284" s="19">
        <v>8.3330000000000001E-2</v>
      </c>
      <c r="J284" s="20">
        <v>8.3330000000000001E-2</v>
      </c>
    </row>
    <row r="285" spans="1:10" ht="15.75" thickBot="1" x14ac:dyDescent="0.3">
      <c r="A285" t="s">
        <v>31</v>
      </c>
      <c r="B285" s="15" t="str">
        <f>"""Manzana NAV"",""MANZANA"",""99000772"",""44"","" "",""22"",""False"",""43"",""0.00000000000000000000"",""12"",""BRITE NAT Blend Apple Sauce 12/33oz"",""50220"",""False"",""29"","""",""50210"",""False"",""18"","""",""11"",""FS0004"",""2"",""10000"",""1"",""ISJ004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Apple Sauce 12/33oz","50220","False","29","","50210","False","18","","11","FS0004","2","10000","1","ISJ004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5" s="15"/>
      <c r="D285" s="16" t="str">
        <f>"ISJ004L"</f>
        <v>ISJ004L</v>
      </c>
      <c r="E285" s="16">
        <v>10000</v>
      </c>
      <c r="F285" s="16" t="str">
        <f>"FS0004"</f>
        <v>FS0004</v>
      </c>
      <c r="G285" s="17" t="str">
        <f>"BRITE NAT Blend Apple Sauce 12/33oz"</f>
        <v>BRITE NAT Blend Apple Sauce 12/33oz</v>
      </c>
      <c r="H285" s="18" t="str">
        <f t="shared" si="43"/>
        <v>CASES</v>
      </c>
      <c r="I285" s="19">
        <v>8.3330000000000001E-2</v>
      </c>
      <c r="J285" s="20">
        <v>8.3330000000000001E-2</v>
      </c>
    </row>
    <row r="286" spans="1:10" ht="15.75" thickBot="1" x14ac:dyDescent="0.3">
      <c r="A286" t="s">
        <v>31</v>
      </c>
      <c r="B286" s="15" t="str">
        <f>"""Manzana NAV"",""MANZANA"",""99000772"",""44"","" "",""22"",""False"",""43"",""0.00000000000000000000"",""12"",""BRITE NAT Blend Juice 4/128oz"",""50220"",""False"",""29"","""",""50210"",""False"",""18"","""",""11"",""FJ0021"",""2"",""10000"",""1"",""IJ024L"",""14"",""0.25000000000000000000"",""45"",""0.250000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Juice 4/128oz","50220","False","29","","50210","False","18","","11","FJ0021","2","10000","1","IJ024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286" s="15"/>
      <c r="D286" s="16" t="str">
        <f>"IJ024L"</f>
        <v>IJ024L</v>
      </c>
      <c r="E286" s="16">
        <v>10000</v>
      </c>
      <c r="F286" s="16" t="str">
        <f>"FJ0021"</f>
        <v>FJ0021</v>
      </c>
      <c r="G286" s="17" t="str">
        <f>"BRITE NAT Blend Juice 4/128oz"</f>
        <v>BRITE NAT Blend Juice 4/128oz</v>
      </c>
      <c r="H286" s="18" t="str">
        <f t="shared" si="43"/>
        <v>CASES</v>
      </c>
      <c r="I286" s="19">
        <v>0.25</v>
      </c>
      <c r="J286" s="20">
        <v>0.25</v>
      </c>
    </row>
    <row r="287" spans="1:10" ht="15.75" thickBot="1" x14ac:dyDescent="0.3">
      <c r="A287" t="s">
        <v>31</v>
      </c>
      <c r="B287" s="15" t="str">
        <f>"""Manzana NAV"",""MANZANA"",""99000772"",""44"","" "",""22"",""False"",""43"",""0.00000000000000000000"",""12"",""BRITE NAT Blend Juice 6/64oz - diamd neck"",""50220"",""False"",""29"","""",""50210"",""False"",""18"","""",""11"",""FJ0130"",""2"",""10000"",""1"",""IJ022L"",""14"",""0.16667000000000000000"",""4"&amp;"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Juice 6/64oz - diamd neck","50220","False","29","","50210","False","18","","11","FJ0130","2","10000","1","IJ022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287" s="15"/>
      <c r="D287" s="16" t="str">
        <f>"IJ022L"</f>
        <v>IJ022L</v>
      </c>
      <c r="E287" s="16">
        <v>10000</v>
      </c>
      <c r="F287" s="16" t="str">
        <f>"FJ0130"</f>
        <v>FJ0130</v>
      </c>
      <c r="G287" s="17" t="str">
        <f>"BRITE NAT Blend Juice 6/64oz - diamd neck"</f>
        <v>BRITE NAT Blend Juice 6/64oz - diamd neck</v>
      </c>
      <c r="H287" s="18" t="str">
        <f t="shared" si="43"/>
        <v>CASES</v>
      </c>
      <c r="I287" s="19">
        <v>0.16667000000000001</v>
      </c>
      <c r="J287" s="20">
        <v>0.16667000000000001</v>
      </c>
    </row>
    <row r="288" spans="1:10" ht="15.75" thickBot="1" x14ac:dyDescent="0.3">
      <c r="A288" t="s">
        <v>31</v>
      </c>
      <c r="B288" s="15" t="str">
        <f>"""Manzana NAV"",""MANZANA"",""99000772"",""44"","" "",""22"",""False"",""43"",""0.00000000000000000000"",""12"",""BRITE NAT Cinnamon Apple Sauce 12/24oz (2%VC)"",""50220"",""False"",""29"","""",""50210"",""False"",""18"","""",""11"",""FS0123"",""2"",""10000"",""1"",""ISJ028L"",""14"",""0.0833300000000000000"&amp;"0"",""45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Cinnamon Apple Sauce 12/24oz (2%VC)","50220","False","29","","50210","False","18","","11","FS0123","2","10000","1","ISJ028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8" s="15"/>
      <c r="D288" s="16" t="str">
        <f>"ISJ028L"</f>
        <v>ISJ028L</v>
      </c>
      <c r="E288" s="16">
        <v>10000</v>
      </c>
      <c r="F288" s="16" t="str">
        <f>"FS0123"</f>
        <v>FS0123</v>
      </c>
      <c r="G288" s="17" t="str">
        <f>"BRITE NAT Cinnamon Apple Sauce 12/24oz (2%VC)"</f>
        <v>BRITE NAT Cinnamon Apple Sauce 12/24oz (2%VC)</v>
      </c>
      <c r="H288" s="18" t="str">
        <f t="shared" si="43"/>
        <v>CASES</v>
      </c>
      <c r="I288" s="19">
        <v>8.3330000000000001E-2</v>
      </c>
      <c r="J288" s="20">
        <v>8.3330000000000001E-2</v>
      </c>
    </row>
    <row r="289" spans="1:10" ht="15.75" thickBot="1" x14ac:dyDescent="0.3">
      <c r="A289" t="s">
        <v>31</v>
      </c>
      <c r="B289" s="15" t="str">
        <f>"""Manzana NAV"",""MANZANA"",""99000772"",""44"","" "",""22"",""False"",""43"",""0.00000000000000000000"",""12"",""BRITE NAT Filtered Vinegar 12/16oz"",""50220"",""False"",""29"","""",""50210"",""False"",""18"","""",""11"",""FV0025"",""2"",""10000"",""1"",""IV005L"",""14"",""0.08333000000000000000"",""45"",""0.0"&amp;"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Filtered Vinegar 12/16oz","50220","False","29","","50210","False","18","","11","FV0025","2","10000","1","IV005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9" s="15"/>
      <c r="D289" s="16" t="str">
        <f>"IV005L"</f>
        <v>IV005L</v>
      </c>
      <c r="E289" s="16">
        <v>10000</v>
      </c>
      <c r="F289" s="16" t="str">
        <f>"FV0025"</f>
        <v>FV0025</v>
      </c>
      <c r="G289" s="17" t="str">
        <f>"BRITE NAT Filtered Vinegar 12/16oz"</f>
        <v>BRITE NAT Filtered Vinegar 12/16oz</v>
      </c>
      <c r="H289" s="18" t="str">
        <f t="shared" si="43"/>
        <v>CASES</v>
      </c>
      <c r="I289" s="19">
        <v>8.3330000000000001E-2</v>
      </c>
      <c r="J289" s="20">
        <v>8.3330000000000001E-2</v>
      </c>
    </row>
    <row r="290" spans="1:10" ht="15.75" thickBot="1" x14ac:dyDescent="0.3">
      <c r="A290" t="s">
        <v>31</v>
      </c>
      <c r="B290" s="15" t="str">
        <f>"""Manzana NAV"",""MANZANA"",""99000772"",""44"","" "",""22"",""False"",""43"",""0.00000000000000000000"",""12"",""BRITE NAT Filtered Vinegar 12/32oz"",""50220"",""False"",""29"","""",""50210"",""False"",""18"","""",""11"",""FV0024"",""2"",""10000"",""1"",""IV015L"",""14"",""0.08333000000000000000"",""45"",""0.0"&amp;"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Filtered Vinegar 12/32oz","50220","False","29","","50210","False","18","","11","FV0024","2","10000","1","IV015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0" s="15"/>
      <c r="D290" s="16" t="str">
        <f>"IV015L"</f>
        <v>IV015L</v>
      </c>
      <c r="E290" s="16">
        <v>10000</v>
      </c>
      <c r="F290" s="16" t="str">
        <f>"FV0024"</f>
        <v>FV0024</v>
      </c>
      <c r="G290" s="17" t="str">
        <f>"BRITE NAT Filtered Vinegar 12/32oz"</f>
        <v>BRITE NAT Filtered Vinegar 12/32oz</v>
      </c>
      <c r="H290" s="18" t="str">
        <f t="shared" si="43"/>
        <v>CASES</v>
      </c>
      <c r="I290" s="19">
        <v>8.3330000000000001E-2</v>
      </c>
      <c r="J290" s="20">
        <v>8.3330000000000001E-2</v>
      </c>
    </row>
    <row r="291" spans="1:10" ht="15.75" thickBot="1" x14ac:dyDescent="0.3">
      <c r="A291" t="s">
        <v>31</v>
      </c>
      <c r="B291" s="15" t="str">
        <f>"""Manzana NAV"",""MANZANA"",""99000772"",""44"","" "",""22"",""False"",""43"",""0.00000000000000000000"",""12"",""BRITE NAT Grav Apple Sauce 12/24oz"",""50220"",""False"",""29"","""",""50210"",""False"",""18"","""",""11"",""FS0006"",""2"",""10000"",""1"",""ISJ008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Grav Apple Sauce 12/24oz","50220","False","29","","50210","False","18","","11","FS0006","2","10000","1","ISJ008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1" s="15"/>
      <c r="D291" s="16" t="str">
        <f>"ISJ008L"</f>
        <v>ISJ008L</v>
      </c>
      <c r="E291" s="16">
        <v>10000</v>
      </c>
      <c r="F291" s="16" t="str">
        <f>"FS0006"</f>
        <v>FS0006</v>
      </c>
      <c r="G291" s="17" t="str">
        <f>"BRITE NAT Grav Apple Sauce 12/24oz"</f>
        <v>BRITE NAT Grav Apple Sauce 12/24oz</v>
      </c>
      <c r="H291" s="18" t="str">
        <f t="shared" si="43"/>
        <v>CASES</v>
      </c>
      <c r="I291" s="19">
        <v>8.3330000000000001E-2</v>
      </c>
      <c r="J291" s="20">
        <v>8.3330000000000001E-2</v>
      </c>
    </row>
    <row r="292" spans="1:10" ht="15.75" thickBot="1" x14ac:dyDescent="0.3">
      <c r="A292" t="s">
        <v>31</v>
      </c>
      <c r="B292" s="15" t="str">
        <f>"""Manzana NAV"",""MANZANA"",""99000772"",""44"","" "",""22"",""False"",""43"",""0.00000000000000000000"",""12"",""BRITE NAT Grav Juice 4/128oz"",""50220"",""False"",""29"","""",""50210"",""False"",""18"","""",""11"",""FJ0095"",""2"",""10000"",""1"",""IJ029L"",""14"",""0.25000000000000000000"",""45"",""0.2500000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Grav Juice 4/128oz","50220","False","29","","50210","False","18","","11","FJ0095","2","10000","1","IJ029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292" s="15"/>
      <c r="D292" s="16" t="str">
        <f>"IJ029L"</f>
        <v>IJ029L</v>
      </c>
      <c r="E292" s="16">
        <v>10000</v>
      </c>
      <c r="F292" s="16" t="str">
        <f>"FJ0095"</f>
        <v>FJ0095</v>
      </c>
      <c r="G292" s="17" t="str">
        <f>"BRITE NAT Grav Juice 4/128oz"</f>
        <v>BRITE NAT Grav Juice 4/128oz</v>
      </c>
      <c r="H292" s="18" t="str">
        <f t="shared" si="43"/>
        <v>CASES</v>
      </c>
      <c r="I292" s="19">
        <v>0.25</v>
      </c>
      <c r="J292" s="20">
        <v>0.25</v>
      </c>
    </row>
    <row r="293" spans="1:10" ht="15.75" thickBot="1" x14ac:dyDescent="0.3">
      <c r="A293" t="s">
        <v>31</v>
      </c>
      <c r="B293" s="15" t="str">
        <f>"""Manzana NAV"",""MANZANA"",""99000772"",""44"","" "",""22"",""False"",""43"",""0.00000000000000000000"",""12"",""BRITE NAT Sweet Blend Apple Sauce 12/25oz"",""50220"",""False"",""29"","""",""50210"",""False"",""18"","""",""11"",""FS0148"",""2"",""10000"",""1"",""ISJ009L"",""14"",""0.08333000000000000000"","""&amp;"45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Sweet Blend Apple Sauce 12/25oz","50220","False","29","","50210","False","18","","11","FS0148","2","10000","1","ISJ009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3" s="15"/>
      <c r="D293" s="16" t="str">
        <f>"ISJ009L"</f>
        <v>ISJ009L</v>
      </c>
      <c r="E293" s="16">
        <v>10000</v>
      </c>
      <c r="F293" s="16" t="str">
        <f>"FS0148"</f>
        <v>FS0148</v>
      </c>
      <c r="G293" s="17" t="str">
        <f>"BRITE NAT Sweet Blend Apple Sauce 12/25oz"</f>
        <v>BRITE NAT Sweet Blend Apple Sauce 12/25oz</v>
      </c>
      <c r="H293" s="18" t="str">
        <f t="shared" si="43"/>
        <v>CASES</v>
      </c>
      <c r="I293" s="19">
        <v>8.3330000000000001E-2</v>
      </c>
      <c r="J293" s="20">
        <v>8.3330000000000001E-2</v>
      </c>
    </row>
    <row r="294" spans="1:10" ht="15.75" thickBot="1" x14ac:dyDescent="0.3">
      <c r="A294" t="s">
        <v>31</v>
      </c>
      <c r="B294" s="15" t="str">
        <f>"""Manzana NAV"",""MANZANA"",""99000772"",""44"","" "",""22"",""False"",""43"",""0.00000000000000000000"",""12"",""BRITE NAT Sweet Grav Apple Sauce 12/25oz"",""50220"",""False"",""29"","""",""50210"",""False"",""18"","""",""11"",""FS0122"",""2"",""10000"",""1"",""ISJ010L"",""14"",""0.08333000000000000000"",""4"&amp;"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Sweet Grav Apple Sauce 12/25oz","50220","False","29","","50210","False","18","","11","FS0122","2","10000","1","ISJ010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4" s="15"/>
      <c r="D294" s="16" t="str">
        <f>"ISJ010L"</f>
        <v>ISJ010L</v>
      </c>
      <c r="E294" s="16">
        <v>10000</v>
      </c>
      <c r="F294" s="16" t="str">
        <f>"FS0122"</f>
        <v>FS0122</v>
      </c>
      <c r="G294" s="17" t="str">
        <f>"BRITE NAT Sweet Grav Apple Sauce 12/25oz"</f>
        <v>BRITE NAT Sweet Grav Apple Sauce 12/25oz</v>
      </c>
      <c r="H294" s="18" t="str">
        <f t="shared" si="43"/>
        <v>CASES</v>
      </c>
      <c r="I294" s="19">
        <v>8.3330000000000001E-2</v>
      </c>
      <c r="J294" s="20">
        <v>8.3330000000000001E-2</v>
      </c>
    </row>
    <row r="295" spans="1:10" ht="15.75" thickBot="1" x14ac:dyDescent="0.3">
      <c r="A295" t="s">
        <v>31</v>
      </c>
      <c r="B295" s="15" t="str">
        <f>"""Manzana NAV"",""MANZANA"",""99000772"",""44"","" "",""22"",""False"",""43"",""0.00000000000000000000"",""12"",""BRITE NAT Vinegar 12/16oz"",""50220"",""False"",""29"","""",""50210"",""False"",""18"","""",""11"",""FV0003"",""2"",""10000"",""1"",""IV002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Vinegar 12/16oz","50220","False","29","","50210","False","18","","11","FV0003","2","10000","1","IV002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5" s="15"/>
      <c r="D295" s="16" t="str">
        <f>"IV002L"</f>
        <v>IV002L</v>
      </c>
      <c r="E295" s="16">
        <v>10000</v>
      </c>
      <c r="F295" s="16" t="str">
        <f>"FV0003"</f>
        <v>FV0003</v>
      </c>
      <c r="G295" s="17" t="str">
        <f>"BRITE NAT Vinegar 12/16oz"</f>
        <v>BRITE NAT Vinegar 12/16oz</v>
      </c>
      <c r="H295" s="18" t="str">
        <f t="shared" si="43"/>
        <v>CASES</v>
      </c>
      <c r="I295" s="19">
        <v>8.3330000000000001E-2</v>
      </c>
      <c r="J295" s="20">
        <v>8.3330000000000001E-2</v>
      </c>
    </row>
    <row r="296" spans="1:10" ht="15.75" thickBot="1" x14ac:dyDescent="0.3">
      <c r="A296" t="s">
        <v>31</v>
      </c>
      <c r="B296" s="15" t="str">
        <f>"""Manzana NAV"",""MANZANA"",""99000772"",""44"","" "",""22"",""False"",""43"",""0.00000000000000000000"",""12"",""BRITE ORG Berry Apple Sauce 12/24oz"",""50220"",""False"",""29"","""",""50210"",""False"",""18"","""",""11"",""FS0126"",""2"",""10000"",""1"",""ISJ014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Berry Apple Sauce 12/24oz","50220","False","29","","50210","False","18","","11","FS0126","2","10000","1","ISJ014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6" s="15"/>
      <c r="D296" s="16" t="str">
        <f>"ISJ014L"</f>
        <v>ISJ014L</v>
      </c>
      <c r="E296" s="16">
        <v>10000</v>
      </c>
      <c r="F296" s="16" t="str">
        <f>"FS0126"</f>
        <v>FS0126</v>
      </c>
      <c r="G296" s="17" t="str">
        <f>"BRITE ORG Berry Apple Sauce 12/24oz"</f>
        <v>BRITE ORG Berry Apple Sauce 12/24oz</v>
      </c>
      <c r="H296" s="18" t="str">
        <f t="shared" si="43"/>
        <v>CASES</v>
      </c>
      <c r="I296" s="19">
        <v>8.3330000000000001E-2</v>
      </c>
      <c r="J296" s="20">
        <v>8.3330000000000001E-2</v>
      </c>
    </row>
    <row r="297" spans="1:10" ht="15.75" thickBot="1" x14ac:dyDescent="0.3">
      <c r="A297" t="s">
        <v>31</v>
      </c>
      <c r="B297" s="15" t="str">
        <f>"""Manzana NAV"",""MANZANA"",""99000772"",""44"","" "",""22"",""False"",""43"",""0.00000000000000000000"",""12"",""BRITE ORG Blend Apple Sauce 12/24oz"",""50220"",""False"",""29"","""",""50210"",""False"",""18"","""",""11"",""FS0001"",""2"",""10000"",""1"",""ISJ001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Apple Sauce 12/24oz","50220","False","29","","50210","False","18","","11","FS0001","2","10000","1","ISJ001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7" s="15"/>
      <c r="D297" s="16" t="str">
        <f>"ISJ001L"</f>
        <v>ISJ001L</v>
      </c>
      <c r="E297" s="16">
        <v>10000</v>
      </c>
      <c r="F297" s="16" t="str">
        <f>"FS0001"</f>
        <v>FS0001</v>
      </c>
      <c r="G297" s="17" t="str">
        <f>"BRITE ORG Blend Apple Sauce 12/24oz"</f>
        <v>BRITE ORG Blend Apple Sauce 12/24oz</v>
      </c>
      <c r="H297" s="18" t="str">
        <f t="shared" si="43"/>
        <v>CASES</v>
      </c>
      <c r="I297" s="19">
        <v>8.3330000000000001E-2</v>
      </c>
      <c r="J297" s="20">
        <v>8.3330000000000001E-2</v>
      </c>
    </row>
    <row r="298" spans="1:10" ht="15.75" thickBot="1" x14ac:dyDescent="0.3">
      <c r="A298" t="s">
        <v>31</v>
      </c>
      <c r="B298" s="15" t="str">
        <f>"""Manzana NAV"",""MANZANA"",""99000772"",""44"","" "",""22"",""False"",""43"",""0.00000000000000000000"",""12"",""BRITE ORG Blend Apple Sauce 96/4oz"",""50220"",""False"",""29"","""",""50210"",""False"",""18"","""",""11"",""FS0132"",""2"",""10000"",""1"",""ISCU001L"",""14"",""0.01042000000000000000"",""45"",""0"&amp;".01042000000000000000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Apple Sauce 96/4oz","50220","False","29","","50210","False","18","","11","FS0132","2","10000","1","ISCU001L","14","0.01042000000000000000","45","0.01042000000000000000","19","","20","0.00000000000000000000","50000","0.00000000000000000000","50230","False","28","","10","Item","13","CASES","21","","3","","42","0.00000000000000000000","50200","False","41","0.00000000000000000000"</v>
      </c>
      <c r="C298" s="15"/>
      <c r="D298" s="16" t="str">
        <f>"ISCU001L"</f>
        <v>ISCU001L</v>
      </c>
      <c r="E298" s="16">
        <v>10000</v>
      </c>
      <c r="F298" s="16" t="str">
        <f>"FS0132"</f>
        <v>FS0132</v>
      </c>
      <c r="G298" s="17" t="str">
        <f>"BRITE ORG Blend Apple Sauce 96/4oz"</f>
        <v>BRITE ORG Blend Apple Sauce 96/4oz</v>
      </c>
      <c r="H298" s="18" t="str">
        <f t="shared" si="43"/>
        <v>CASES</v>
      </c>
      <c r="I298" s="19">
        <v>1.042E-2</v>
      </c>
      <c r="J298" s="20">
        <v>1.042E-2</v>
      </c>
    </row>
    <row r="299" spans="1:10" ht="15.75" thickBot="1" x14ac:dyDescent="0.3">
      <c r="A299" t="s">
        <v>31</v>
      </c>
      <c r="B299" s="15" t="str">
        <f>"""Manzana NAV"",""MANZANA"",""99000772"",""44"","" "",""22"",""False"",""43"",""0.00000000000000000000"",""12"",""BRITE ORG Blend Juice 12/32oz"",""50220"",""False"",""29"","""",""50210"",""False"",""18"","""",""11"",""FJ0014"",""2"",""10000"",""1"",""IJ002L"",""14"",""0.08333000000000000000"",""45"",""0.083330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12/32oz","50220","False","29","","50210","False","18","","11","FJ0014","2","10000","1","IJ002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9" s="15"/>
      <c r="D299" s="16" t="str">
        <f>"IJ002L"</f>
        <v>IJ002L</v>
      </c>
      <c r="E299" s="16">
        <v>10000</v>
      </c>
      <c r="F299" s="16" t="str">
        <f>"FJ0014"</f>
        <v>FJ0014</v>
      </c>
      <c r="G299" s="17" t="str">
        <f>"BRITE ORG Blend Juice 12/32oz"</f>
        <v>BRITE ORG Blend Juice 12/32oz</v>
      </c>
      <c r="H299" s="18" t="str">
        <f t="shared" si="43"/>
        <v>CASES</v>
      </c>
      <c r="I299" s="19">
        <v>8.3330000000000001E-2</v>
      </c>
      <c r="J299" s="20">
        <v>8.3330000000000001E-2</v>
      </c>
    </row>
    <row r="300" spans="1:10" ht="15.75" thickBot="1" x14ac:dyDescent="0.3">
      <c r="A300" t="s">
        <v>31</v>
      </c>
      <c r="B300" s="15" t="str">
        <f>"""Manzana NAV"",""MANZANA"",""99000772"",""44"","" "",""22"",""False"",""43"",""0.00000000000000000000"",""12"",""BRITE ORG Blend Juice 24/10oz"",""50220"",""False"",""29"","""",""50210"",""False"",""18"","""",""11"",""FJ0013"",""2"",""10000"",""1"",""IJ001L"",""14"",""0.04167000000000000000"",""45"",""0.041670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24/10oz","50220","False","29","","50210","False","18","","11","FJ0013","2","10000","1","IJ001L","14","0.04167000000000000000","45","0.04167000000000000000","19","","20","0.00000000000000000000","50000","0.00000000000000000000","50230","False","28","","10","Item","13","CASES","21","","3","","42","0.00000000000000000000","50200","False","41","0.00000000000000000000"</v>
      </c>
      <c r="C300" s="15"/>
      <c r="D300" s="16" t="str">
        <f>"IJ001L"</f>
        <v>IJ001L</v>
      </c>
      <c r="E300" s="16">
        <v>10000</v>
      </c>
      <c r="F300" s="16" t="str">
        <f>"FJ0013"</f>
        <v>FJ0013</v>
      </c>
      <c r="G300" s="17" t="str">
        <f>"BRITE ORG Blend Juice 24/10oz"</f>
        <v>BRITE ORG Blend Juice 24/10oz</v>
      </c>
      <c r="H300" s="18" t="str">
        <f t="shared" si="43"/>
        <v>CASES</v>
      </c>
      <c r="I300" s="19">
        <v>4.1669999999999999E-2</v>
      </c>
      <c r="J300" s="20">
        <v>4.1669999999999999E-2</v>
      </c>
    </row>
    <row r="301" spans="1:10" ht="15.75" thickBot="1" x14ac:dyDescent="0.3">
      <c r="A301" t="s">
        <v>31</v>
      </c>
      <c r="B301" s="15" t="str">
        <f>"""Manzana NAV"",""MANZANA"",""99000772"",""44"","" "",""22"",""False"",""43"",""0.00000000000000000000"",""12"",""BRITE ORG Blend Juice 4/128oz"",""50220"",""False"",""29"","""",""50210"",""False"",""18"","""",""11"",""FJ0022"",""2"",""10000"",""1"",""IJ008L"",""14"",""0.25000000000000000000"",""45"",""0.250000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4/128oz","50220","False","29","","50210","False","18","","11","FJ0022","2","10000","1","IJ008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301" s="15"/>
      <c r="D301" s="16" t="str">
        <f>"IJ008L"</f>
        <v>IJ008L</v>
      </c>
      <c r="E301" s="16">
        <v>10000</v>
      </c>
      <c r="F301" s="16" t="str">
        <f>"FJ0022"</f>
        <v>FJ0022</v>
      </c>
      <c r="G301" s="17" t="str">
        <f>"BRITE ORG Blend Juice 4/128oz"</f>
        <v>BRITE ORG Blend Juice 4/128oz</v>
      </c>
      <c r="H301" s="18" t="str">
        <f t="shared" si="43"/>
        <v>CASES</v>
      </c>
      <c r="I301" s="19">
        <v>0.25</v>
      </c>
      <c r="J301" s="20">
        <v>0.25</v>
      </c>
    </row>
    <row r="302" spans="1:10" ht="15.75" thickBot="1" x14ac:dyDescent="0.3">
      <c r="A302" t="s">
        <v>31</v>
      </c>
      <c r="B302" s="15" t="str">
        <f>"""Manzana NAV"",""MANZANA"",""99000772"",""44"","" "",""22"",""False"",""43"",""0.00000000000000000000"",""12"",""BRITE ORG Blend Juice 6/64oz - diamond neck"",""50220"",""False"",""29"","""",""50210"",""False"",""18"","""",""11"",""FJ0098"",""2"",""10000"",""1"",""IJ004L"",""14"",""0.16667000000000000000"","&amp;"""45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6/64oz - diamond neck","50220","False","29","","50210","False","18","","11","FJ0098","2","10000","1","IJ004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02" s="15"/>
      <c r="D302" s="16" t="str">
        <f>"IJ004L"</f>
        <v>IJ004L</v>
      </c>
      <c r="E302" s="16">
        <v>10000</v>
      </c>
      <c r="F302" s="16" t="str">
        <f>"FJ0098"</f>
        <v>FJ0098</v>
      </c>
      <c r="G302" s="17" t="str">
        <f>"BRITE ORG Blend Juice 6/64oz - diamond neck"</f>
        <v>BRITE ORG Blend Juice 6/64oz - diamond neck</v>
      </c>
      <c r="H302" s="18" t="str">
        <f t="shared" si="43"/>
        <v>CASES</v>
      </c>
      <c r="I302" s="19">
        <v>0.16667000000000001</v>
      </c>
      <c r="J302" s="20">
        <v>0.16667000000000001</v>
      </c>
    </row>
    <row r="303" spans="1:10" ht="15.75" thickBot="1" x14ac:dyDescent="0.3">
      <c r="A303" t="s">
        <v>31</v>
      </c>
      <c r="B303" s="15" t="str">
        <f>"""Manzana NAV"",""MANZANA"",""99000772"",""44"","" "",""22"",""False"",""43"",""0.00000000000000000000"",""12"",""BRITE ORG Blend Juice 6/64oz Pistol Grip"",""50220"",""False"",""29"","""",""50210"",""False"",""18"","""",""11"",""FJ0175"",""2"",""10000"",""1"",""IJ005L"",""14"",""0.16667000000000000000"",""45"&amp;"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6/64oz Pistol Grip","50220","False","29","","50210","False","18","","11","FJ0175","2","10000","1","IJ005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03" s="15"/>
      <c r="D303" s="16" t="str">
        <f>"IJ005L"</f>
        <v>IJ005L</v>
      </c>
      <c r="E303" s="16">
        <v>10000</v>
      </c>
      <c r="F303" s="16" t="str">
        <f>"FJ0175"</f>
        <v>FJ0175</v>
      </c>
      <c r="G303" s="17" t="str">
        <f>"BRITE ORG Blend Juice 6/64oz Pistol Grip"</f>
        <v>BRITE ORG Blend Juice 6/64oz Pistol Grip</v>
      </c>
      <c r="H303" s="18" t="str">
        <f t="shared" si="43"/>
        <v>CASES</v>
      </c>
      <c r="I303" s="19">
        <v>0.16667000000000001</v>
      </c>
      <c r="J303" s="20">
        <v>0.16667000000000001</v>
      </c>
    </row>
    <row r="304" spans="1:10" ht="15.75" thickBot="1" x14ac:dyDescent="0.3">
      <c r="A304" t="s">
        <v>31</v>
      </c>
      <c r="B304" s="15" t="str">
        <f>"""Manzana NAV"",""MANZANA"",""99000772"",""44"","" "",""22"",""False"",""43"",""0.00000000000000000000"",""12"",""BRITE ORG Cinn Apple Sauce 96/4oz"",""50220"",""False"",""29"","""",""50210"",""False"",""18"","""",""11"",""FS0133"",""2"",""10000"",""1"",""ISCU004L"",""14"",""0.01042000000000000000"",""45"",""0."&amp;"01042000000000000000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Cinn Apple Sauce 96/4oz","50220","False","29","","50210","False","18","","11","FS0133","2","10000","1","ISCU004L","14","0.01042000000000000000","45","0.01042000000000000000","19","","20","0.00000000000000000000","50000","0.00000000000000000000","50230","False","28","","10","Item","13","CASES","21","","3","","42","0.00000000000000000000","50200","False","41","0.00000000000000000000"</v>
      </c>
      <c r="C304" s="15"/>
      <c r="D304" s="16" t="str">
        <f>"ISCU004L"</f>
        <v>ISCU004L</v>
      </c>
      <c r="E304" s="16">
        <v>10000</v>
      </c>
      <c r="F304" s="16" t="str">
        <f>"FS0133"</f>
        <v>FS0133</v>
      </c>
      <c r="G304" s="17" t="str">
        <f>"BRITE ORG Cinn Apple Sauce 96/4oz"</f>
        <v>BRITE ORG Cinn Apple Sauce 96/4oz</v>
      </c>
      <c r="H304" s="18" t="str">
        <f t="shared" si="43"/>
        <v>CASES</v>
      </c>
      <c r="I304" s="19">
        <v>1.042E-2</v>
      </c>
      <c r="J304" s="20">
        <v>1.042E-2</v>
      </c>
    </row>
    <row r="305" spans="1:10" ht="15.75" thickBot="1" x14ac:dyDescent="0.3">
      <c r="A305" t="s">
        <v>31</v>
      </c>
      <c r="B305" s="15" t="str">
        <f>"""Manzana NAV"",""MANZANA"",""99000772"",""44"","" "",""22"",""False"",""43"",""0.00000000000000000000"",""12"",""BRITE ORG Cinnamon Apple Sauce 12/24oz"",""50220"",""False"",""29"","""",""50210"",""False"",""18"","""",""11"",""FS0124"",""2"",""10000"",""1"",""ISJ013L"",""14"",""0.08333000000000000000"",""45"""&amp;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Cinnamon Apple Sauce 12/24oz","50220","False","29","","50210","False","18","","11","FS0124","2","10000","1","ISJ013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5" s="15"/>
      <c r="D305" s="16" t="str">
        <f>"ISJ013L"</f>
        <v>ISJ013L</v>
      </c>
      <c r="E305" s="16">
        <v>10000</v>
      </c>
      <c r="F305" s="16" t="str">
        <f>"FS0124"</f>
        <v>FS0124</v>
      </c>
      <c r="G305" s="17" t="str">
        <f>"BRITE ORG Cinnamon Apple Sauce 12/24oz"</f>
        <v>BRITE ORG Cinnamon Apple Sauce 12/24oz</v>
      </c>
      <c r="H305" s="18" t="str">
        <f t="shared" si="43"/>
        <v>CASES</v>
      </c>
      <c r="I305" s="19">
        <v>8.3330000000000001E-2</v>
      </c>
      <c r="J305" s="20">
        <v>8.3330000000000001E-2</v>
      </c>
    </row>
    <row r="306" spans="1:10" ht="15.75" thickBot="1" x14ac:dyDescent="0.3">
      <c r="A306" t="s">
        <v>31</v>
      </c>
      <c r="B306" s="15" t="str">
        <f>"""Manzana NAV"",""MANZANA"",""99000772"",""44"","" "",""22"",""False"",""43"",""0.00000000000000000000"",""12"",""BRITE ORG Cranberry Apple Juice 12/32oz"",""50220"",""False"",""29"","""",""50210"",""False"",""18"","""",""11"",""FJ0141"",""2"",""10000"",""1"",""IJ020L"",""14"",""0.08333000000000000000"",""45"""&amp;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Cranberry Apple Juice 12/32oz","50220","False","29","","50210","False","18","","11","FJ0141","2","10000","1","IJ020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6" s="15"/>
      <c r="D306" s="16" t="str">
        <f>"IJ020L"</f>
        <v>IJ020L</v>
      </c>
      <c r="E306" s="16">
        <v>10000</v>
      </c>
      <c r="F306" s="16" t="str">
        <f>"FJ0141"</f>
        <v>FJ0141</v>
      </c>
      <c r="G306" s="17" t="str">
        <f>"BRITE ORG Cranberry Apple Juice 12/32oz"</f>
        <v>BRITE ORG Cranberry Apple Juice 12/32oz</v>
      </c>
      <c r="H306" s="18" t="str">
        <f t="shared" si="43"/>
        <v>CASES</v>
      </c>
      <c r="I306" s="19">
        <v>8.3330000000000001E-2</v>
      </c>
      <c r="J306" s="20">
        <v>8.3330000000000001E-2</v>
      </c>
    </row>
    <row r="307" spans="1:10" ht="15.75" thickBot="1" x14ac:dyDescent="0.3">
      <c r="A307" t="s">
        <v>31</v>
      </c>
      <c r="B307" s="15" t="str">
        <f>"""Manzana NAV"",""MANZANA"",""99000772"",""44"","" "",""22"",""False"",""43"",""0.00000000000000000000"",""12"",""BRITE ORG Gala Juice 12/32oz"",""50220"",""False"",""29"","""",""50210"",""False"",""18"","""",""11"",""FJ0092"",""2"",""10000"",""1"",""IJ011L"",""14"",""0.08333000000000000000"",""45"",""0.0833300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Gala Juice 12/32oz","50220","False","29","","50210","False","18","","11","FJ0092","2","10000","1","IJ011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7" s="15"/>
      <c r="D307" s="16" t="str">
        <f>"IJ011L"</f>
        <v>IJ011L</v>
      </c>
      <c r="E307" s="16">
        <v>10000</v>
      </c>
      <c r="F307" s="16" t="str">
        <f>"FJ0092"</f>
        <v>FJ0092</v>
      </c>
      <c r="G307" s="17" t="str">
        <f>"BRITE ORG Gala Juice 12/32oz"</f>
        <v>BRITE ORG Gala Juice 12/32oz</v>
      </c>
      <c r="H307" s="18" t="str">
        <f t="shared" si="43"/>
        <v>CASES</v>
      </c>
      <c r="I307" s="19">
        <v>8.3330000000000001E-2</v>
      </c>
      <c r="J307" s="20">
        <v>8.3330000000000001E-2</v>
      </c>
    </row>
    <row r="308" spans="1:10" ht="15.75" thickBot="1" x14ac:dyDescent="0.3">
      <c r="A308" t="s">
        <v>31</v>
      </c>
      <c r="B308" s="15" t="str">
        <f>"""Manzana NAV"",""MANZANA"",""99000772"",""44"","" "",""22"",""False"",""43"",""0.00000000000000000000"",""12"",""BRITE ORG Grape Juice 12/32oz"",""50220"",""False"",""29"","""",""50210"",""False"",""18"","""",""11"",""FJ0015"",""2"",""10000"",""1"",""IJ015L"",""14"",""0.08333000000000000000"",""45"",""0.083330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Grape Juice 12/32oz","50220","False","29","","50210","False","18","","11","FJ0015","2","10000","1","IJ015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8" s="15"/>
      <c r="D308" s="16" t="str">
        <f>"IJ015L"</f>
        <v>IJ015L</v>
      </c>
      <c r="E308" s="16">
        <v>10000</v>
      </c>
      <c r="F308" s="16" t="str">
        <f>"FJ0015"</f>
        <v>FJ0015</v>
      </c>
      <c r="G308" s="17" t="str">
        <f>"BRITE ORG Grape Juice 12/32oz"</f>
        <v>BRITE ORG Grape Juice 12/32oz</v>
      </c>
      <c r="H308" s="18" t="str">
        <f t="shared" si="43"/>
        <v>CASES</v>
      </c>
      <c r="I308" s="19">
        <v>8.3330000000000001E-2</v>
      </c>
      <c r="J308" s="20">
        <v>8.3330000000000001E-2</v>
      </c>
    </row>
    <row r="309" spans="1:10" ht="15.75" thickBot="1" x14ac:dyDescent="0.3">
      <c r="A309" t="s">
        <v>31</v>
      </c>
      <c r="B309" s="15" t="str">
        <f>"""Manzana NAV"",""MANZANA"",""99000772"",""44"","" "",""22"",""False"",""43"",""0.00000000000000000000"",""12"",""BRITE ORG Grav Apple Sauce 12/24oz"",""50220"",""False"",""29"","""",""50210"",""False"",""18"","""",""11"",""FS0005"",""2"",""10000"",""1"",""ISJ003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Apple Sauce 12/24oz","50220","False","29","","50210","False","18","","11","FS0005","2","10000","1","ISJ003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9" s="15"/>
      <c r="D309" s="16" t="str">
        <f>"ISJ003L"</f>
        <v>ISJ003L</v>
      </c>
      <c r="E309" s="16">
        <v>10000</v>
      </c>
      <c r="F309" s="16" t="str">
        <f>"FS0005"</f>
        <v>FS0005</v>
      </c>
      <c r="G309" s="17" t="str">
        <f>"BRITE ORG Grav Apple Sauce 12/24oz"</f>
        <v>BRITE ORG Grav Apple Sauce 12/24oz</v>
      </c>
      <c r="H309" s="18" t="str">
        <f t="shared" si="43"/>
        <v>CASES</v>
      </c>
      <c r="I309" s="19">
        <v>8.3330000000000001E-2</v>
      </c>
      <c r="J309" s="20">
        <v>8.3330000000000001E-2</v>
      </c>
    </row>
    <row r="310" spans="1:10" ht="15.75" thickBot="1" x14ac:dyDescent="0.3">
      <c r="A310" t="s">
        <v>31</v>
      </c>
      <c r="B310" s="15" t="str">
        <f>"""Manzana NAV"",""MANZANA"",""99000772"",""44"","" "",""22"",""False"",""43"",""0.00000000000000000000"",""12"",""BRITE ORG Grav Juice 12/32oz"",""50220"",""False"",""29"","""",""50210"",""False"",""18"","""",""11"",""FJ0016"",""2"",""10000"",""1"",""IJ010L"",""14"",""0.08333000000000000000"",""45"",""0.0833300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12/32oz","50220","False","29","","50210","False","18","","11","FJ0016","2","10000","1","IJ010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0" s="15"/>
      <c r="D310" s="16" t="str">
        <f>"IJ010L"</f>
        <v>IJ010L</v>
      </c>
      <c r="E310" s="16">
        <v>10000</v>
      </c>
      <c r="F310" s="16" t="str">
        <f>"FJ0016"</f>
        <v>FJ0016</v>
      </c>
      <c r="G310" s="17" t="str">
        <f>"BRITE ORG Grav Juice 12/32oz"</f>
        <v>BRITE ORG Grav Juice 12/32oz</v>
      </c>
      <c r="H310" s="18" t="str">
        <f t="shared" si="43"/>
        <v>CASES</v>
      </c>
      <c r="I310" s="19">
        <v>8.3330000000000001E-2</v>
      </c>
      <c r="J310" s="20">
        <v>8.3330000000000001E-2</v>
      </c>
    </row>
    <row r="311" spans="1:10" ht="15.75" thickBot="1" x14ac:dyDescent="0.3">
      <c r="A311" t="s">
        <v>31</v>
      </c>
      <c r="B311" s="15" t="str">
        <f>"""Manzana NAV"",""MANZANA"",""99000772"",""44"","" "",""22"",""False"",""43"",""0.00000000000000000000"",""12"",""BRITE ORG Grav Juice 4/128oz "",""50220"",""False"",""29"","""",""50210"",""False"",""18"","""",""11"",""FJ0094"",""2"",""10000"",""1"",""IJ028L"",""14"",""0.25000000000000000000"",""45"",""0.250000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4/128oz ","50220","False","29","","50210","False","18","","11","FJ0094","2","10000","1","IJ028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311" s="15"/>
      <c r="D311" s="16" t="str">
        <f>"IJ028L"</f>
        <v>IJ028L</v>
      </c>
      <c r="E311" s="16">
        <v>10000</v>
      </c>
      <c r="F311" s="16" t="str">
        <f>"FJ0094"</f>
        <v>FJ0094</v>
      </c>
      <c r="G311" s="17" t="str">
        <f>"BRITE ORG Grav Juice 4/128oz "</f>
        <v xml:space="preserve">BRITE ORG Grav Juice 4/128oz </v>
      </c>
      <c r="H311" s="18" t="str">
        <f t="shared" si="43"/>
        <v>CASES</v>
      </c>
      <c r="I311" s="19">
        <v>0.25</v>
      </c>
      <c r="J311" s="20">
        <v>0.25</v>
      </c>
    </row>
    <row r="312" spans="1:10" ht="15.75" thickBot="1" x14ac:dyDescent="0.3">
      <c r="A312" t="s">
        <v>31</v>
      </c>
      <c r="B312" s="15" t="str">
        <f>"""Manzana NAV"",""MANZANA"",""99000772"",""44"","" "",""22"",""False"",""43"",""0.00000000000000000000"",""12"",""BRITE ORG Grav Juice 6/64oz - diamond neck"",""50220"",""False"",""29"","""",""50210"",""False"",""18"","""",""11"",""FJ0096"",""2"",""10000"",""1"",""IJ025L"",""14"",""0.16667000000000000000"","""&amp;"45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6/64oz - diamond neck","50220","False","29","","50210","False","18","","11","FJ0096","2","10000","1","IJ025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12" s="15"/>
      <c r="D312" s="16" t="str">
        <f>"IJ025L"</f>
        <v>IJ025L</v>
      </c>
      <c r="E312" s="16">
        <v>10000</v>
      </c>
      <c r="F312" s="16" t="str">
        <f>"FJ0096"</f>
        <v>FJ0096</v>
      </c>
      <c r="G312" s="17" t="str">
        <f>"BRITE ORG Grav Juice 6/64oz - diamond neck"</f>
        <v>BRITE ORG Grav Juice 6/64oz - diamond neck</v>
      </c>
      <c r="H312" s="18" t="str">
        <f t="shared" si="43"/>
        <v>CASES</v>
      </c>
      <c r="I312" s="19">
        <v>0.16667000000000001</v>
      </c>
      <c r="J312" s="20">
        <v>0.16667000000000001</v>
      </c>
    </row>
    <row r="313" spans="1:10" ht="15.75" thickBot="1" x14ac:dyDescent="0.3">
      <c r="A313" t="s">
        <v>31</v>
      </c>
      <c r="B313" s="15" t="str">
        <f>"""Manzana NAV"",""MANZANA"",""99000772"",""44"","" "",""22"",""False"",""43"",""0.00000000000000000000"",""12"",""BRITE ORG Grav Juice 8/48oz"",""50220"",""False"",""29"","""",""50210"",""False"",""18"","""",""11"",""FJ0099"",""2"",""10000"",""1"",""IJ026L"",""14"",""0.12500000000000000000"",""45"",""0.12500000"&amp;"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8/48oz","50220","False","29","","50210","False","18","","11","FJ0099","2","10000","1","IJ026L","14","0.12500000000000000000","45","0.12500000000000000000","19","","20","0.00000000000000000000","50000","0.00000000000000000000","50230","False","28","","10","Item","13","CASES","21","","3","","42","0.00000000000000000000","50200","False","41","0.00000000000000000000"</v>
      </c>
      <c r="C313" s="15"/>
      <c r="D313" s="16" t="str">
        <f>"IJ026L"</f>
        <v>IJ026L</v>
      </c>
      <c r="E313" s="16">
        <v>10000</v>
      </c>
      <c r="F313" s="16" t="str">
        <f>"FJ0099"</f>
        <v>FJ0099</v>
      </c>
      <c r="G313" s="17" t="str">
        <f>"BRITE ORG Grav Juice 8/48oz"</f>
        <v>BRITE ORG Grav Juice 8/48oz</v>
      </c>
      <c r="H313" s="18" t="str">
        <f t="shared" si="43"/>
        <v>CASES</v>
      </c>
      <c r="I313" s="19">
        <v>0.125</v>
      </c>
      <c r="J313" s="20">
        <v>0.125</v>
      </c>
    </row>
    <row r="314" spans="1:10" ht="15.75" thickBot="1" x14ac:dyDescent="0.3">
      <c r="A314" t="s">
        <v>31</v>
      </c>
      <c r="B314" s="15" t="str">
        <f>"""Manzana NAV"",""MANZANA"",""99000772"",""44"","" "",""22"",""False"",""43"",""0.00000000000000000000"",""12"",""BRITE ORG HCrisp Juice 12/32oz"",""50220"",""False"",""29"","""",""50210"",""False"",""18"","""",""11"",""FJ0017"",""2"",""10000"",""1"",""IJ012L"",""14"",""0.08333000000000000000"",""45"",""0.08333"&amp;"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HCrisp Juice 12/32oz","50220","False","29","","50210","False","18","","11","FJ0017","2","10000","1","IJ012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4" s="15"/>
      <c r="D314" s="16" t="str">
        <f>"IJ012L"</f>
        <v>IJ012L</v>
      </c>
      <c r="E314" s="16">
        <v>10000</v>
      </c>
      <c r="F314" s="16" t="str">
        <f>"FJ0017"</f>
        <v>FJ0017</v>
      </c>
      <c r="G314" s="17" t="str">
        <f>"BRITE ORG HCrisp Juice 12/32oz"</f>
        <v>BRITE ORG HCrisp Juice 12/32oz</v>
      </c>
      <c r="H314" s="18" t="str">
        <f t="shared" si="43"/>
        <v>CASES</v>
      </c>
      <c r="I314" s="19">
        <v>8.3330000000000001E-2</v>
      </c>
      <c r="J314" s="20">
        <v>8.3330000000000001E-2</v>
      </c>
    </row>
    <row r="315" spans="1:10" ht="15.75" thickBot="1" x14ac:dyDescent="0.3">
      <c r="A315" t="s">
        <v>31</v>
      </c>
      <c r="B315" s="15" t="str">
        <f>"""Manzana NAV"",""MANZANA"",""99000772"",""44"","" "",""22"",""False"",""43"",""0.00000000000000000000"",""12"",""BRITE ORG HCrisp Juice 6/64oz - diamd neck"",""50220"",""False"",""29"","""",""50210"",""False"",""18"","""",""11"",""FJ0140"",""2"",""10000"",""1"",""IJ014L"",""14"",""0.16667000000000000000"","""&amp;"45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HCrisp Juice 6/64oz - diamd neck","50220","False","29","","50210","False","18","","11","FJ0140","2","10000","1","IJ014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15" s="15"/>
      <c r="D315" s="16" t="str">
        <f>"IJ014L"</f>
        <v>IJ014L</v>
      </c>
      <c r="E315" s="16">
        <v>10000</v>
      </c>
      <c r="F315" s="16" t="str">
        <f>"FJ0140"</f>
        <v>FJ0140</v>
      </c>
      <c r="G315" s="17" t="str">
        <f>"BRITE ORG HCrisp Juice 6/64oz - diamd neck"</f>
        <v>BRITE ORG HCrisp Juice 6/64oz - diamd neck</v>
      </c>
      <c r="H315" s="18" t="str">
        <f t="shared" si="43"/>
        <v>CASES</v>
      </c>
      <c r="I315" s="19">
        <v>0.16667000000000001</v>
      </c>
      <c r="J315" s="20">
        <v>0.16667000000000001</v>
      </c>
    </row>
    <row r="316" spans="1:10" ht="15.75" thickBot="1" x14ac:dyDescent="0.3">
      <c r="A316" t="s">
        <v>31</v>
      </c>
      <c r="B316" s="15" t="str">
        <f>"""Manzana NAV"",""MANZANA"",""99000772"",""44"","" "",""22"",""False"",""43"",""0.00000000000000000000"",""12"",""BRITE ORG Pear Juice 12/32oz"",""50220"",""False"",""29"","""",""50210"",""False"",""18"","""",""11"",""FJ0018"",""2"",""10000"",""1"",""IJ013L"",""14"",""0.08333000000000000000"",""45"",""0.0833300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Pear Juice 12/32oz","50220","False","29","","50210","False","18","","11","FJ0018","2","10000","1","IJ013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6" s="15"/>
      <c r="D316" s="16" t="str">
        <f>"IJ013L"</f>
        <v>IJ013L</v>
      </c>
      <c r="E316" s="16">
        <v>10000</v>
      </c>
      <c r="F316" s="16" t="str">
        <f>"FJ0018"</f>
        <v>FJ0018</v>
      </c>
      <c r="G316" s="17" t="str">
        <f>"BRITE ORG Pear Juice 12/32oz"</f>
        <v>BRITE ORG Pear Juice 12/32oz</v>
      </c>
      <c r="H316" s="18" t="str">
        <f t="shared" si="43"/>
        <v>CASES</v>
      </c>
      <c r="I316" s="19">
        <v>8.3330000000000001E-2</v>
      </c>
      <c r="J316" s="20">
        <v>8.3330000000000001E-2</v>
      </c>
    </row>
    <row r="317" spans="1:10" ht="15.75" thickBot="1" x14ac:dyDescent="0.3">
      <c r="A317" t="s">
        <v>31</v>
      </c>
      <c r="B317" s="15" t="str">
        <f>"""Manzana NAV"",""MANZANA"",""99000772"",""44"","" "",""22"",""False"",""43"",""0.00000000000000000000"",""12"",""BRITE ORG Pomegranate Juice 12/32oz"",""50220"",""False"",""29"","""",""50210"",""False"",""18"","""",""11"",""FJ0019"",""2"",""10000"",""1"",""IJ018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Pomegranate Juice 12/32oz","50220","False","29","","50210","False","18","","11","FJ0019","2","10000","1","IJ018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7" s="15"/>
      <c r="D317" s="16" t="str">
        <f>"IJ018L"</f>
        <v>IJ018L</v>
      </c>
      <c r="E317" s="16">
        <v>10000</v>
      </c>
      <c r="F317" s="16" t="str">
        <f>"FJ0019"</f>
        <v>FJ0019</v>
      </c>
      <c r="G317" s="17" t="str">
        <f>"BRITE ORG Pomegranate Juice 12/32oz"</f>
        <v>BRITE ORG Pomegranate Juice 12/32oz</v>
      </c>
      <c r="H317" s="18" t="str">
        <f t="shared" si="43"/>
        <v>CASES</v>
      </c>
      <c r="I317" s="19">
        <v>8.3330000000000001E-2</v>
      </c>
      <c r="J317" s="20">
        <v>8.3330000000000001E-2</v>
      </c>
    </row>
    <row r="318" spans="1:10" ht="15.75" thickBot="1" x14ac:dyDescent="0.3">
      <c r="A318" t="s">
        <v>31</v>
      </c>
      <c r="B318" s="15" t="str">
        <f>"""Manzana NAV"",""MANZANA"",""99000772"",""44"","" "",""22"",""False"",""43"",""0.00000000000000000000"",""12"",""BRITE ORG Spiced Cider 12/32oz"",""50220"",""False"",""29"","""",""50210"",""False"",""18"","""",""11"",""FJ0093"",""2"",""10000"",""1"",""IJ017L"",""14"",""0.08333000000000000000"",""45"",""0.08333"&amp;"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Spiced Cider 12/32oz","50220","False","29","","50210","False","18","","11","FJ0093","2","10000","1","IJ017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8" s="15"/>
      <c r="D318" s="16" t="str">
        <f>"IJ017L"</f>
        <v>IJ017L</v>
      </c>
      <c r="E318" s="16">
        <v>10000</v>
      </c>
      <c r="F318" s="16" t="str">
        <f>"FJ0093"</f>
        <v>FJ0093</v>
      </c>
      <c r="G318" s="17" t="str">
        <f>"BRITE ORG Spiced Cider 12/32oz"</f>
        <v>BRITE ORG Spiced Cider 12/32oz</v>
      </c>
      <c r="H318" s="18" t="str">
        <f t="shared" si="43"/>
        <v>CASES</v>
      </c>
      <c r="I318" s="19">
        <v>8.3330000000000001E-2</v>
      </c>
      <c r="J318" s="20">
        <v>8.3330000000000001E-2</v>
      </c>
    </row>
    <row r="319" spans="1:10" ht="15.75" thickBot="1" x14ac:dyDescent="0.3">
      <c r="A319" t="s">
        <v>31</v>
      </c>
      <c r="B319" s="15" t="str">
        <f>"""Manzana NAV"",""MANZANA"",""99000772"",""44"","" "",""22"",""False"",""43"",""0.00000000000000000000"",""12"",""BRITE ORG Sweet Blend Apple Sauce 12/25oz"",""50220"",""False"",""29"","""",""50210"",""False"",""18"","""",""11"",""FS0125"",""2"",""10000"",""1"",""ISJ005L"",""14"",""0.08333000000000000000"","""&amp;"45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Sweet Blend Apple Sauce 12/25oz","50220","False","29","","50210","False","18","","11","FS0125","2","10000","1","ISJ005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9" s="15"/>
      <c r="D319" s="16" t="str">
        <f>"ISJ005L"</f>
        <v>ISJ005L</v>
      </c>
      <c r="E319" s="16">
        <v>10000</v>
      </c>
      <c r="F319" s="16" t="str">
        <f>"FS0125"</f>
        <v>FS0125</v>
      </c>
      <c r="G319" s="17" t="str">
        <f>"BRITE ORG Sweet Blend Apple Sauce 12/25oz"</f>
        <v>BRITE ORG Sweet Blend Apple Sauce 12/25oz</v>
      </c>
      <c r="H319" s="18" t="str">
        <f t="shared" si="43"/>
        <v>CASES</v>
      </c>
      <c r="I319" s="19">
        <v>8.3330000000000001E-2</v>
      </c>
      <c r="J319" s="20">
        <v>8.3330000000000001E-2</v>
      </c>
    </row>
    <row r="320" spans="1:10" ht="15.75" thickBot="1" x14ac:dyDescent="0.3">
      <c r="A320" t="s">
        <v>31</v>
      </c>
      <c r="B320" s="15" t="str">
        <f>"""Manzana NAV"",""MANZANA"",""99000772"",""44"","" "",""22"",""False"",""43"",""0.00000000000000000000"",""12"",""BRITE ORG Sweet Grav Apple Sauce 12/25oz"",""50220"",""False"",""29"","""",""50210"",""False"",""18"","""",""11"",""FS0007"",""2"",""10000"",""1"",""ISJ006L"",""14"",""0.08333000000000000000"",""4"&amp;"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Sweet Grav Apple Sauce 12/25oz","50220","False","29","","50210","False","18","","11","FS0007","2","10000","1","ISJ006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0" s="15"/>
      <c r="D320" s="16" t="str">
        <f>"ISJ006L"</f>
        <v>ISJ006L</v>
      </c>
      <c r="E320" s="16">
        <v>10000</v>
      </c>
      <c r="F320" s="16" t="str">
        <f>"FS0007"</f>
        <v>FS0007</v>
      </c>
      <c r="G320" s="17" t="str">
        <f>"BRITE ORG Sweet Grav Apple Sauce 12/25oz"</f>
        <v>BRITE ORG Sweet Grav Apple Sauce 12/25oz</v>
      </c>
      <c r="H320" s="18" t="str">
        <f t="shared" si="43"/>
        <v>CASES</v>
      </c>
      <c r="I320" s="19">
        <v>8.3330000000000001E-2</v>
      </c>
      <c r="J320" s="20">
        <v>8.3330000000000001E-2</v>
      </c>
    </row>
    <row r="321" spans="1:10" ht="15.75" thickBot="1" x14ac:dyDescent="0.3">
      <c r="A321" t="s">
        <v>31</v>
      </c>
      <c r="B321" s="15" t="str">
        <f>"""Manzana NAV"",""MANZANA"",""99000772"",""44"","" "",""22"",""False"",""43"",""0.00000000000000000000"",""12"",""BRITE ORG Vinegar 12/16oz"",""50220"",""False"",""29"","""",""50210"",""False"",""18"","""",""11"",""FV0004"",""2"",""10000"",""1"",""IV001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12/16oz","50220","False","29","","50210","False","18","","11","FV0004","2","10000","1","IV001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1" s="15"/>
      <c r="D321" s="16" t="str">
        <f>"IV001L"</f>
        <v>IV001L</v>
      </c>
      <c r="E321" s="16">
        <v>10000</v>
      </c>
      <c r="F321" s="16" t="str">
        <f>"FV0004"</f>
        <v>FV0004</v>
      </c>
      <c r="G321" s="17" t="str">
        <f>"BRITE ORG Vinegar 12/16oz"</f>
        <v>BRITE ORG Vinegar 12/16oz</v>
      </c>
      <c r="H321" s="18" t="str">
        <f t="shared" si="43"/>
        <v>CASES</v>
      </c>
      <c r="I321" s="19">
        <v>8.3330000000000001E-2</v>
      </c>
      <c r="J321" s="20">
        <v>8.3330000000000001E-2</v>
      </c>
    </row>
    <row r="322" spans="1:10" ht="15.75" thickBot="1" x14ac:dyDescent="0.3">
      <c r="A322" t="s">
        <v>31</v>
      </c>
      <c r="B322" s="15" t="str">
        <f>"""Manzana NAV"",""MANZANA"",""99000772"",""44"","" "",""22"",""False"",""43"",""0.00000000000000000000"",""12"",""BRITE ORG Vinegar 12/32oz"",""50220"",""False"",""29"","""",""50210"",""False"",""18"","""",""11"",""FV0019"",""2"",""10000"",""1"",""IV003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12/32oz","50220","False","29","","50210","False","18","","11","FV0019","2","10000","1","IV003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2" s="15"/>
      <c r="D322" s="16" t="str">
        <f>"IV003L"</f>
        <v>IV003L</v>
      </c>
      <c r="E322" s="16">
        <v>10000</v>
      </c>
      <c r="F322" s="16" t="str">
        <f>"FV0019"</f>
        <v>FV0019</v>
      </c>
      <c r="G322" s="17" t="str">
        <f>"BRITE ORG Vinegar 12/32oz"</f>
        <v>BRITE ORG Vinegar 12/32oz</v>
      </c>
      <c r="H322" s="18" t="str">
        <f t="shared" si="43"/>
        <v>CASES</v>
      </c>
      <c r="I322" s="19">
        <v>8.3330000000000001E-2</v>
      </c>
      <c r="J322" s="20">
        <v>8.3330000000000001E-2</v>
      </c>
    </row>
    <row r="323" spans="1:10" ht="15.75" thickBot="1" x14ac:dyDescent="0.3">
      <c r="A323" t="s">
        <v>31</v>
      </c>
      <c r="B323" s="15" t="str">
        <f>"""Manzana NAV"",""MANZANA"",""99000772"",""44"","" "",""22"",""False"",""43"",""0.00000000000000000000"",""12"",""BRITE ORG Vinegar 12/32oz"",""50220"",""False"",""29"","""",""50210"",""False"",""18"","""",""11"",""FV0019"",""2"",""10000"",""1"",""IV004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12/32oz","50220","False","29","","50210","False","18","","11","FV0019","2","10000","1","IV004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3" s="15"/>
      <c r="D323" s="16" t="str">
        <f>"IV004L"</f>
        <v>IV004L</v>
      </c>
      <c r="E323" s="16">
        <v>10000</v>
      </c>
      <c r="F323" s="16" t="str">
        <f>"FV0019"</f>
        <v>FV0019</v>
      </c>
      <c r="G323" s="17" t="str">
        <f>"BRITE ORG Vinegar 12/32oz"</f>
        <v>BRITE ORG Vinegar 12/32oz</v>
      </c>
      <c r="H323" s="18" t="str">
        <f t="shared" si="43"/>
        <v>CASES</v>
      </c>
      <c r="I323" s="19">
        <v>8.3330000000000001E-2</v>
      </c>
      <c r="J323" s="20">
        <v>8.3330000000000001E-2</v>
      </c>
    </row>
    <row r="324" spans="1:10" ht="15.75" thickBot="1" x14ac:dyDescent="0.3">
      <c r="A324" t="s">
        <v>31</v>
      </c>
      <c r="B324" s="15" t="str">
        <f>"""Manzana NAV"",""MANZANA"",""99000772"",""44"","" "",""22"",""False"",""43"",""0.00000000000000000000"",""12"",""BRITE ORG Vinegar 4/128oz - glass"",""50220"",""False"",""29"","""",""50210"",""False"",""18"","""",""11"",""FV0018"",""2"",""10000"",""1"",""IV013L"",""14"",""0.25000000000000000000"",""45"",""0.25"&amp;"000000000000000000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4/128oz - glass","50220","False","29","","50210","False","18","","11","FV0018","2","10000","1","IV013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324" s="15"/>
      <c r="D324" s="16" t="str">
        <f>"IV013L"</f>
        <v>IV013L</v>
      </c>
      <c r="E324" s="16">
        <v>10000</v>
      </c>
      <c r="F324" s="16" t="str">
        <f>"FV0018"</f>
        <v>FV0018</v>
      </c>
      <c r="G324" s="17" t="str">
        <f>"BRITE ORG Vinegar 4/128oz - glass"</f>
        <v>BRITE ORG Vinegar 4/128oz - glass</v>
      </c>
      <c r="H324" s="18" t="str">
        <f t="shared" si="43"/>
        <v>CASES</v>
      </c>
      <c r="I324" s="19">
        <v>0.25</v>
      </c>
      <c r="J324" s="20">
        <v>0.25</v>
      </c>
    </row>
    <row r="325" spans="1:10" ht="15.75" thickBot="1" x14ac:dyDescent="0.3">
      <c r="A325" t="s">
        <v>31</v>
      </c>
      <c r="B325" s="15" t="str">
        <f>"""Manzana NAV"",""MANZANA"",""99000772"",""44"","" "",""22"",""False"",""43"",""0.00000000000000000000"",""12"",""BULK Co-Pack NAT Blend Juice - in TANK"",""50220"",""False"",""29"","""",""50210"",""False"",""18"","""",""11"",""FJ0960"",""2"",""30000"",""1"",""IJ115"",""14"",""1.00000000000000000000"",""45"","""&amp;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NAT Blend Juice - in TANK","50220","False","29","","50210","False","18","","11","FJ0960","2","30000","1","IJ115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25" s="15"/>
      <c r="D325" s="16" t="str">
        <f>"IJ115"</f>
        <v>IJ115</v>
      </c>
      <c r="E325" s="16">
        <v>30000</v>
      </c>
      <c r="F325" s="16" t="str">
        <f>"FJ0960"</f>
        <v>FJ0960</v>
      </c>
      <c r="G325" s="17" t="str">
        <f>"BULK Co-Pack NAT Blend Juice - in TANK"</f>
        <v>BULK Co-Pack NAT Blend Juice - in TANK</v>
      </c>
      <c r="H325" s="18" t="str">
        <f t="shared" ref="H325:H340" si="44">"GAL"</f>
        <v>GAL</v>
      </c>
      <c r="I325" s="19">
        <v>1</v>
      </c>
      <c r="J325" s="20">
        <v>1</v>
      </c>
    </row>
    <row r="326" spans="1:10" ht="15.75" thickBot="1" x14ac:dyDescent="0.3">
      <c r="A326" t="s">
        <v>31</v>
      </c>
      <c r="B326" s="15" t="str">
        <f>"""Manzana NAV"",""MANZANA"",""99000772"",""44"","" "",""22"",""False"",""43"",""0.00000000000000000000"",""12"",""BULK Co-Pack NAT Blend Juice - in TANK"",""50220"",""False"",""29"","""",""50210"",""False"",""18"","""",""11"",""FJ0960"",""2"",""30000"",""1"",""IJ118"",""14"",""0.50000000000000000000"",""45"","""&amp;"0.50000000000000000000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NAT Blend Juice - in TANK","50220","False","29","","50210","False","18","","11","FJ0960","2","30000","1","IJ118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26" s="15"/>
      <c r="D326" s="16" t="str">
        <f>"IJ118"</f>
        <v>IJ118</v>
      </c>
      <c r="E326" s="16">
        <v>30000</v>
      </c>
      <c r="F326" s="16" t="str">
        <f>"FJ0960"</f>
        <v>FJ0960</v>
      </c>
      <c r="G326" s="17" t="str">
        <f>"BULK Co-Pack NAT Blend Juice - in TANK"</f>
        <v>BULK Co-Pack NAT Blend Juice - in TANK</v>
      </c>
      <c r="H326" s="18" t="str">
        <f t="shared" si="44"/>
        <v>GAL</v>
      </c>
      <c r="I326" s="19">
        <v>0.5</v>
      </c>
      <c r="J326" s="20">
        <v>0.5</v>
      </c>
    </row>
    <row r="327" spans="1:10" ht="15.75" thickBot="1" x14ac:dyDescent="0.3">
      <c r="A327" t="s">
        <v>31</v>
      </c>
      <c r="B327" s="15" t="str">
        <f>"""Manzana NAV"",""MANZANA"",""99000772"",""44"","" "",""22"",""False"",""43"",""0.00000000000000000000"",""12"",""BULK Co-Pack ORG Blend Juice - in TANK"",""50220"",""False"",""29"","""",""50210"",""False"",""18"","""",""11"",""FJ9090"",""2"",""10000"",""1"",""FJ9091"",""14"",""55.00000000000000000000"",""45"""&amp;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10000","1","FJ9091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327" s="15"/>
      <c r="D327" s="16" t="str">
        <f>"FJ9091"</f>
        <v>FJ9091</v>
      </c>
      <c r="E327" s="16">
        <v>10000</v>
      </c>
      <c r="F327" s="16" t="str">
        <f t="shared" ref="F327:F332" si="45">"FJ9090"</f>
        <v>FJ9090</v>
      </c>
      <c r="G327" s="17" t="str">
        <f t="shared" ref="G327:G332" si="46">"BULK Co-Pack ORG Blend Juice - in TANK"</f>
        <v>BULK Co-Pack ORG Blend Juice - in TANK</v>
      </c>
      <c r="H327" s="18" t="str">
        <f t="shared" si="44"/>
        <v>GAL</v>
      </c>
      <c r="I327" s="19">
        <v>55</v>
      </c>
      <c r="J327" s="20">
        <v>55</v>
      </c>
    </row>
    <row r="328" spans="1:10" ht="15.75" thickBot="1" x14ac:dyDescent="0.3">
      <c r="A328" t="s">
        <v>31</v>
      </c>
      <c r="B328" s="15" t="str">
        <f>"""Manzana NAV"",""MANZANA"",""99000772"",""44"","" "",""22"",""False"",""43"",""0.00000000000000000000"",""12"",""BULK Co-Pack ORG Blend Juice - in TANK"",""50220"",""False"",""29"","""",""50210"",""False"",""18"","""",""11"",""FJ9090"",""2"",""30000"",""1"",""IJ103"",""14"",""0.37500000000000000000"",""45"","""&amp;"0.37500000000000000000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30000","1","IJ103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28" s="15"/>
      <c r="D328" s="16" t="str">
        <f>"IJ103"</f>
        <v>IJ103</v>
      </c>
      <c r="E328" s="16">
        <v>30000</v>
      </c>
      <c r="F328" s="16" t="str">
        <f t="shared" si="45"/>
        <v>FJ9090</v>
      </c>
      <c r="G328" s="17" t="str">
        <f t="shared" si="46"/>
        <v>BULK Co-Pack ORG Blend Juice - in TANK</v>
      </c>
      <c r="H328" s="18" t="str">
        <f t="shared" si="44"/>
        <v>GAL</v>
      </c>
      <c r="I328" s="19">
        <v>0.375</v>
      </c>
      <c r="J328" s="20">
        <v>0.375</v>
      </c>
    </row>
    <row r="329" spans="1:10" ht="15.75" thickBot="1" x14ac:dyDescent="0.3">
      <c r="A329" t="s">
        <v>31</v>
      </c>
      <c r="B329" s="15" t="str">
        <f>"""Manzana NAV"",""MANZANA"",""99000772"",""44"","" "",""22"",""False"",""43"",""0.00000000000000000000"",""12"",""BULK Co-Pack ORG Blend Juice - in TANK"",""50220"",""False"",""29"","""",""50210"",""False"",""18"","""",""11"",""FJ9090"",""2"",""30000"",""1"",""IJ104"",""14"",""0.50000000000000000000"",""45"","""&amp;"0.50000000000000000000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30000","1","IJ104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29" s="15"/>
      <c r="D329" s="16" t="str">
        <f>"IJ104"</f>
        <v>IJ104</v>
      </c>
      <c r="E329" s="16">
        <v>30000</v>
      </c>
      <c r="F329" s="16" t="str">
        <f t="shared" si="45"/>
        <v>FJ9090</v>
      </c>
      <c r="G329" s="17" t="str">
        <f t="shared" si="46"/>
        <v>BULK Co-Pack ORG Blend Juice - in TANK</v>
      </c>
      <c r="H329" s="18" t="str">
        <f t="shared" si="44"/>
        <v>GAL</v>
      </c>
      <c r="I329" s="19">
        <v>0.5</v>
      </c>
      <c r="J329" s="20">
        <v>0.5</v>
      </c>
    </row>
    <row r="330" spans="1:10" ht="15.75" thickBot="1" x14ac:dyDescent="0.3">
      <c r="A330" t="s">
        <v>31</v>
      </c>
      <c r="B330" s="15" t="str">
        <f>"""Manzana NAV"",""MANZANA"",""99000772"",""44"","" "",""22"",""False"",""43"",""0.00000000000000000000"",""12"",""BULK Co-Pack ORG Blend Juice - in TANK"",""50220"",""False"",""29"","""",""50210"",""False"",""18"","""",""11"",""FJ9090"",""2"",""40000"",""1"",""IJ101"",""14"",""0.07813000000000000000"",""45"","""&amp;"0.07813000000000000000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40000","1","IJ101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330" s="15"/>
      <c r="D330" s="16" t="str">
        <f>"IJ101"</f>
        <v>IJ101</v>
      </c>
      <c r="E330" s="16">
        <v>40000</v>
      </c>
      <c r="F330" s="16" t="str">
        <f t="shared" si="45"/>
        <v>FJ9090</v>
      </c>
      <c r="G330" s="17" t="str">
        <f t="shared" si="46"/>
        <v>BULK Co-Pack ORG Blend Juice - in TANK</v>
      </c>
      <c r="H330" s="18" t="str">
        <f t="shared" si="44"/>
        <v>GAL</v>
      </c>
      <c r="I330" s="19">
        <v>7.8130000000000005E-2</v>
      </c>
      <c r="J330" s="20">
        <v>7.8130000000000005E-2</v>
      </c>
    </row>
    <row r="331" spans="1:10" ht="15.75" thickBot="1" x14ac:dyDescent="0.3">
      <c r="A331" t="s">
        <v>31</v>
      </c>
      <c r="B331" s="15" t="str">
        <f>"""Manzana NAV"",""MANZANA"",""99000772"",""44"","" "",""22"",""False"",""43"",""0.00000000000000000000"",""12"",""BULK Co-Pack ORG Blend Juice - in TANK"",""50220"",""False"",""29"","""",""50210"",""False"",""18"","""",""11"",""FJ9090"",""2"",""40000"",""1"",""IJ102"",""14"",""0.25000000000000000000"",""45"","""&amp;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40000","1","IJ102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31" s="15"/>
      <c r="D331" s="16" t="str">
        <f>"IJ102"</f>
        <v>IJ102</v>
      </c>
      <c r="E331" s="16">
        <v>40000</v>
      </c>
      <c r="F331" s="16" t="str">
        <f t="shared" si="45"/>
        <v>FJ9090</v>
      </c>
      <c r="G331" s="17" t="str">
        <f t="shared" si="46"/>
        <v>BULK Co-Pack ORG Blend Juice - in TANK</v>
      </c>
      <c r="H331" s="18" t="str">
        <f t="shared" si="44"/>
        <v>GAL</v>
      </c>
      <c r="I331" s="19">
        <v>0.25</v>
      </c>
      <c r="J331" s="20">
        <v>0.25</v>
      </c>
    </row>
    <row r="332" spans="1:10" ht="15.75" thickBot="1" x14ac:dyDescent="0.3">
      <c r="A332" t="s">
        <v>31</v>
      </c>
      <c r="B332" s="15" t="str">
        <f>"""Manzana NAV"",""MANZANA"",""99000772"",""44"","" "",""22"",""False"",""43"",""0.00000000000000000000"",""12"",""BULK Co-Pack ORG Blend Juice - in TANK"",""50220"",""False"",""29"","""",""50210"",""False"",""18"","""",""11"",""FJ9090"",""2"",""40000"",""1"",""IJ105"",""14"",""1.00000000000000000000"",""45"","""&amp;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40000","1","IJ105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32" s="15"/>
      <c r="D332" s="16" t="str">
        <f>"IJ105"</f>
        <v>IJ105</v>
      </c>
      <c r="E332" s="16">
        <v>40000</v>
      </c>
      <c r="F332" s="16" t="str">
        <f t="shared" si="45"/>
        <v>FJ9090</v>
      </c>
      <c r="G332" s="17" t="str">
        <f t="shared" si="46"/>
        <v>BULK Co-Pack ORG Blend Juice - in TANK</v>
      </c>
      <c r="H332" s="18" t="str">
        <f t="shared" si="44"/>
        <v>GAL</v>
      </c>
      <c r="I332" s="19">
        <v>1</v>
      </c>
      <c r="J332" s="20">
        <v>1</v>
      </c>
    </row>
    <row r="333" spans="1:10" ht="15.75" thickBot="1" x14ac:dyDescent="0.3">
      <c r="A333" t="s">
        <v>31</v>
      </c>
      <c r="B333" s="15" t="str">
        <f>"""Manzana NAV"",""MANZANA"",""99000772"",""44"","" "",""22"",""False"",""43"",""0.00000000000000000000"",""12"",""BULK Co-Pack ORG Grav Juice - in TANK"",""50220"",""False"",""29"","""",""50210"",""False"",""18"","""",""11"",""FJ9080"",""2"",""30000"",""1"",""IJ108"",""14"",""0.37500000000000000000"",""45"",""0"&amp;".37500000000000000000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30000","1","IJ108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33" s="15"/>
      <c r="D333" s="16" t="str">
        <f>"IJ108"</f>
        <v>IJ108</v>
      </c>
      <c r="E333" s="16">
        <v>30000</v>
      </c>
      <c r="F333" s="16" t="str">
        <f>"FJ9080"</f>
        <v>FJ9080</v>
      </c>
      <c r="G333" s="17" t="str">
        <f>"BULK Co-Pack ORG Grav Juice - in TANK"</f>
        <v>BULK Co-Pack ORG Grav Juice - in TANK</v>
      </c>
      <c r="H333" s="18" t="str">
        <f t="shared" si="44"/>
        <v>GAL</v>
      </c>
      <c r="I333" s="19">
        <v>0.375</v>
      </c>
      <c r="J333" s="20">
        <v>0.375</v>
      </c>
    </row>
    <row r="334" spans="1:10" ht="15.75" thickBot="1" x14ac:dyDescent="0.3">
      <c r="A334" t="s">
        <v>31</v>
      </c>
      <c r="B334" s="15" t="str">
        <f>"""Manzana NAV"",""MANZANA"",""99000772"",""44"","" "",""22"",""False"",""43"",""0.00000000000000000000"",""12"",""BULK Co-Pack ORG Grav Juice - in TANK"",""50220"",""False"",""29"","""",""50210"",""False"",""18"","""",""11"",""FJ9080"",""2"",""30000"",""1"",""IJ109"",""14"",""0.50000000000000000000"",""45"",""0"&amp;"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30000","1","IJ109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34" s="15"/>
      <c r="D334" s="16" t="str">
        <f>"IJ109"</f>
        <v>IJ109</v>
      </c>
      <c r="E334" s="16">
        <v>30000</v>
      </c>
      <c r="F334" s="16" t="str">
        <f>"FJ9080"</f>
        <v>FJ9080</v>
      </c>
      <c r="G334" s="17" t="str">
        <f>"BULK Co-Pack ORG Grav Juice - in TANK"</f>
        <v>BULK Co-Pack ORG Grav Juice - in TANK</v>
      </c>
      <c r="H334" s="18" t="str">
        <f t="shared" si="44"/>
        <v>GAL</v>
      </c>
      <c r="I334" s="19">
        <v>0.5</v>
      </c>
      <c r="J334" s="20">
        <v>0.5</v>
      </c>
    </row>
    <row r="335" spans="1:10" ht="15.75" thickBot="1" x14ac:dyDescent="0.3">
      <c r="A335" t="s">
        <v>31</v>
      </c>
      <c r="B335" s="15" t="str">
        <f>"""Manzana NAV"",""MANZANA"",""99000772"",""44"","" "",""22"",""False"",""43"",""0.00000000000000000000"",""12"",""BULK Co-Pack ORG Grav Juice - in TANK"",""50220"",""False"",""29"","""",""50210"",""False"",""18"","""",""11"",""FJ9080"",""2"",""40000"",""1"",""IJ106"",""14"",""0.07813000000000000000"",""45"",""0"&amp;"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40000","1","IJ106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335" s="15"/>
      <c r="D335" s="16" t="str">
        <f>"IJ106"</f>
        <v>IJ106</v>
      </c>
      <c r="E335" s="16">
        <v>40000</v>
      </c>
      <c r="F335" s="16" t="str">
        <f>"FJ9080"</f>
        <v>FJ9080</v>
      </c>
      <c r="G335" s="17" t="str">
        <f>"BULK Co-Pack ORG Grav Juice - in TANK"</f>
        <v>BULK Co-Pack ORG Grav Juice - in TANK</v>
      </c>
      <c r="H335" s="18" t="str">
        <f t="shared" si="44"/>
        <v>GAL</v>
      </c>
      <c r="I335" s="19">
        <v>7.8130000000000005E-2</v>
      </c>
      <c r="J335" s="20">
        <v>7.8130000000000005E-2</v>
      </c>
    </row>
    <row r="336" spans="1:10" ht="15.75" thickBot="1" x14ac:dyDescent="0.3">
      <c r="A336" t="s">
        <v>31</v>
      </c>
      <c r="B336" s="15" t="str">
        <f>"""Manzana NAV"",""MANZANA"",""99000772"",""44"","" "",""22"",""False"",""43"",""0.00000000000000000000"",""12"",""BULK Co-Pack ORG Grav Juice - in TANK"",""50220"",""False"",""29"","""",""50210"",""False"",""18"","""",""11"",""FJ9080"",""2"",""40000"",""1"",""IJ107"",""14"",""0.25000000000000000000"",""45"",""0"&amp;"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40000","1","IJ107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36" s="15"/>
      <c r="D336" s="16" t="str">
        <f>"IJ107"</f>
        <v>IJ107</v>
      </c>
      <c r="E336" s="16">
        <v>40000</v>
      </c>
      <c r="F336" s="16" t="str">
        <f>"FJ9080"</f>
        <v>FJ9080</v>
      </c>
      <c r="G336" s="17" t="str">
        <f>"BULK Co-Pack ORG Grav Juice - in TANK"</f>
        <v>BULK Co-Pack ORG Grav Juice - in TANK</v>
      </c>
      <c r="H336" s="18" t="str">
        <f t="shared" si="44"/>
        <v>GAL</v>
      </c>
      <c r="I336" s="19">
        <v>0.25</v>
      </c>
      <c r="J336" s="20">
        <v>0.25</v>
      </c>
    </row>
    <row r="337" spans="1:10" ht="15.75" thickBot="1" x14ac:dyDescent="0.3">
      <c r="A337" t="s">
        <v>31</v>
      </c>
      <c r="B337" s="15" t="str">
        <f>"""Manzana NAV"",""MANZANA"",""99000772"",""44"","" "",""22"",""False"",""43"",""0.00000000000000000000"",""12"",""BULK Co-Pack ORG Grav Juice - in TANK"",""50220"",""False"",""29"","""",""50210"",""False"",""18"","""",""11"",""FJ9080"",""2"",""40000"",""1"",""IJ112"",""14"",""1.00000000000000000000"",""45"",""1"&amp;"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40000","1","IJ112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37" s="15"/>
      <c r="D337" s="16" t="str">
        <f>"IJ112"</f>
        <v>IJ112</v>
      </c>
      <c r="E337" s="16">
        <v>40000</v>
      </c>
      <c r="F337" s="16" t="str">
        <f>"FJ9080"</f>
        <v>FJ9080</v>
      </c>
      <c r="G337" s="17" t="str">
        <f>"BULK Co-Pack ORG Grav Juice - in TANK"</f>
        <v>BULK Co-Pack ORG Grav Juice - in TANK</v>
      </c>
      <c r="H337" s="18" t="str">
        <f t="shared" si="44"/>
        <v>GAL</v>
      </c>
      <c r="I337" s="19">
        <v>1</v>
      </c>
      <c r="J337" s="20">
        <v>1</v>
      </c>
    </row>
    <row r="338" spans="1:10" ht="15.75" thickBot="1" x14ac:dyDescent="0.3">
      <c r="A338" t="s">
        <v>31</v>
      </c>
      <c r="B338" s="15" t="str">
        <f>"""Manzana NAV"",""MANZANA"",""99000772"",""44"","" "",""22"",""False"",""43"",""0.00000000000000000000"",""12"",""BULK Co-Pack ORG Pear Juice - in TANK"",""50220"",""False"",""29"","""",""50210"",""False"",""18"","""",""11"",""FJ9050"",""2"",""30000"",""1"",""IJ114"",""14"",""0.50000000000000000000"",""45"",""0"&amp;"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Pear Juice - in TANK","50220","False","29","","50210","False","18","","11","FJ9050","2","30000","1","IJ114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38" s="15"/>
      <c r="D338" s="16" t="str">
        <f>"IJ114"</f>
        <v>IJ114</v>
      </c>
      <c r="E338" s="16">
        <v>30000</v>
      </c>
      <c r="F338" s="16" t="str">
        <f>"FJ9050"</f>
        <v>FJ9050</v>
      </c>
      <c r="G338" s="17" t="str">
        <f>"BULK Co-Pack ORG Pear Juice - in TANK"</f>
        <v>BULK Co-Pack ORG Pear Juice - in TANK</v>
      </c>
      <c r="H338" s="18" t="str">
        <f t="shared" si="44"/>
        <v>GAL</v>
      </c>
      <c r="I338" s="19">
        <v>0.5</v>
      </c>
      <c r="J338" s="20">
        <v>0.5</v>
      </c>
    </row>
    <row r="339" spans="1:10" ht="15.75" thickBot="1" x14ac:dyDescent="0.3">
      <c r="A339" t="s">
        <v>31</v>
      </c>
      <c r="B339" s="15" t="str">
        <f>"""Manzana NAV"",""MANZANA"",""99000772"",""44"","" "",""22"",""False"",""43"",""0.00000000000000000000"",""12"",""BULK Co-Pack ORG Pear Juice - in TANK"",""50220"",""False"",""29"","""",""50210"",""False"",""18"","""",""11"",""FJ9050"",""2"",""40000"",""1"",""IJ110"",""14"",""0.07813000000000000000"",""45"",""0"&amp;"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Pear Juice - in TANK","50220","False","29","","50210","False","18","","11","FJ9050","2","40000","1","IJ110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339" s="15"/>
      <c r="D339" s="16" t="str">
        <f>"IJ110"</f>
        <v>IJ110</v>
      </c>
      <c r="E339" s="16">
        <v>40000</v>
      </c>
      <c r="F339" s="16" t="str">
        <f>"FJ9050"</f>
        <v>FJ9050</v>
      </c>
      <c r="G339" s="17" t="str">
        <f>"BULK Co-Pack ORG Pear Juice - in TANK"</f>
        <v>BULK Co-Pack ORG Pear Juice - in TANK</v>
      </c>
      <c r="H339" s="18" t="str">
        <f t="shared" si="44"/>
        <v>GAL</v>
      </c>
      <c r="I339" s="19">
        <v>7.8130000000000005E-2</v>
      </c>
      <c r="J339" s="20">
        <v>7.8130000000000005E-2</v>
      </c>
    </row>
    <row r="340" spans="1:10" ht="15.75" thickBot="1" x14ac:dyDescent="0.3">
      <c r="A340" t="s">
        <v>31</v>
      </c>
      <c r="B340" s="15" t="str">
        <f>"""Manzana NAV"",""MANZANA"",""99000772"",""44"","" "",""22"",""False"",""43"",""0.00000000000000000000"",""12"",""BULK Co-Pack ORG Pear Juice - in TANK"",""50220"",""False"",""29"","""",""50210"",""False"",""18"","""",""11"",""FJ9050"",""2"",""40000"",""1"",""IJ111"",""14"",""0.25000000000000000000"",""45"",""0"&amp;"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Pear Juice - in TANK","50220","False","29","","50210","False","18","","11","FJ9050","2","40000","1","IJ111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40" s="15"/>
      <c r="D340" s="16" t="str">
        <f>"IJ111"</f>
        <v>IJ111</v>
      </c>
      <c r="E340" s="16">
        <v>40000</v>
      </c>
      <c r="F340" s="16" t="str">
        <f>"FJ9050"</f>
        <v>FJ9050</v>
      </c>
      <c r="G340" s="17" t="str">
        <f>"BULK Co-Pack ORG Pear Juice - in TANK"</f>
        <v>BULK Co-Pack ORG Pear Juice - in TANK</v>
      </c>
      <c r="H340" s="18" t="str">
        <f t="shared" si="44"/>
        <v>GAL</v>
      </c>
      <c r="I340" s="19">
        <v>0.25</v>
      </c>
      <c r="J340" s="20">
        <v>0.25</v>
      </c>
    </row>
    <row r="341" spans="1:10" ht="15.75" thickBot="1" x14ac:dyDescent="0.3">
      <c r="A341" t="s">
        <v>31</v>
      </c>
      <c r="B341" s="15" t="str">
        <f>"""Manzana NAV"",""MANZANA"",""99000772"",""44"","" "",""22"",""False"",""43"",""0.00000000000000000000"",""12"",""BULK NAT Apricot Intermediary Sauce (100% VC)"",""50220"",""False"",""29"","""",""50210"",""True"",""18"","""",""11"",""ISC04"",""2"",""40000"",""1"",""ISCU022"",""14"",""4.00000000000000000000"""&amp;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Apricot Intermediary Sauce (100% VC)","50220","False","29","","50210","True","18","","11","ISC04","2","40000","1","ISCU022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41" s="15"/>
      <c r="D341" s="16" t="str">
        <f>"ISCU022"</f>
        <v>ISCU022</v>
      </c>
      <c r="E341" s="16">
        <v>40000</v>
      </c>
      <c r="F341" s="16" t="str">
        <f>"ISC04"</f>
        <v>ISC04</v>
      </c>
      <c r="G341" s="17" t="str">
        <f>"BULK NAT Apricot Intermediary Sauce (100% VC)"</f>
        <v>BULK NAT Apricot Intermediary Sauce (100% VC)</v>
      </c>
      <c r="H341" s="18" t="str">
        <f t="shared" ref="H341:H346" si="47">"OZ"</f>
        <v>OZ</v>
      </c>
      <c r="I341" s="19">
        <v>4</v>
      </c>
      <c r="J341" s="20">
        <v>4</v>
      </c>
    </row>
    <row r="342" spans="1:10" ht="15.75" thickBot="1" x14ac:dyDescent="0.3">
      <c r="A342" t="s">
        <v>31</v>
      </c>
      <c r="B342" s="15" t="str">
        <f>"""Manzana NAV"",""MANZANA"",""99000772"",""44"","" "",""22"",""False"",""43"",""0.00000000000000000000"",""12"",""BULK NAT Apricot Intermediary Sauce (2% VC)"",""50220"",""False"",""29"","""",""50210"",""True"",""18"","""",""11"",""ISC04"",""2"",""30000"",""1"",""ISCU026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Apricot Intermediary Sauce (2% VC)","50220","False","29","","50210","True","18","","11","ISC04","2","30000","1","ISCU026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42" s="15"/>
      <c r="D342" s="16" t="str">
        <f>"ISCU026"</f>
        <v>ISCU026</v>
      </c>
      <c r="E342" s="16">
        <v>30000</v>
      </c>
      <c r="F342" s="16" t="str">
        <f>"ISC04"</f>
        <v>ISC04</v>
      </c>
      <c r="G342" s="17" t="str">
        <f>"BULK NAT Apricot Intermediary Sauce (2% VC)"</f>
        <v>BULK NAT Apricot Intermediary Sauce (2% VC)</v>
      </c>
      <c r="H342" s="18" t="str">
        <f t="shared" si="47"/>
        <v>OZ</v>
      </c>
      <c r="I342" s="19">
        <v>4</v>
      </c>
      <c r="J342" s="20">
        <v>4</v>
      </c>
    </row>
    <row r="343" spans="1:10" ht="15.75" thickBot="1" x14ac:dyDescent="0.3">
      <c r="A343" t="s">
        <v>31</v>
      </c>
      <c r="B343" s="15" t="str">
        <f>"""Manzana NAV"",""MANZANA"",""99000772"",""44"","" "",""22"",""False"",""43"",""0.00000000000000000000"",""12"",""BULK NAT Apricot Intermediary Sauce (2% VC)"",""50220"",""False"",""29"","""",""50210"",""True"",""18"","""",""11"",""ISC04"",""2"",""30000"",""1"",""ISJ019"",""14"",""24.00000000000000000000"","""&amp;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Apricot Intermediary Sauce (2% VC)","50220","False","29","","50210","True","18","","11","ISC04","2","30000","1","ISJ019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43" s="15"/>
      <c r="D343" s="16" t="str">
        <f>"ISJ019"</f>
        <v>ISJ019</v>
      </c>
      <c r="E343" s="16">
        <v>30000</v>
      </c>
      <c r="F343" s="16" t="str">
        <f>"ISC04"</f>
        <v>ISC04</v>
      </c>
      <c r="G343" s="17" t="str">
        <f>"BULK NAT Apricot Intermediary Sauce (2% VC)"</f>
        <v>BULK NAT Apricot Intermediary Sauce (2% VC)</v>
      </c>
      <c r="H343" s="18" t="str">
        <f t="shared" si="47"/>
        <v>OZ</v>
      </c>
      <c r="I343" s="19">
        <v>24</v>
      </c>
      <c r="J343" s="20">
        <v>24</v>
      </c>
    </row>
    <row r="344" spans="1:10" ht="15.75" thickBot="1" x14ac:dyDescent="0.3">
      <c r="A344" t="s">
        <v>31</v>
      </c>
      <c r="B344" s="15" t="str">
        <f>"""Manzana NAV"",""MANZANA"",""99000772"",""44"","" "",""22"",""False"",""43"",""0.00000000000000000000"",""12"",""BULK NAT Blend Intermediary Sauce (2% VC)"",""50220"",""False"",""29"","""",""50210"",""True"",""18"","""",""11"",""ISC00"",""2"",""30000"",""1"",""ISJ007"",""14"",""24.00000000000000000000"",""45"&amp;"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Blend Intermediary Sauce (2% VC)","50220","False","29","","50210","True","18","","11","ISC00","2","30000","1","ISJ007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44" s="15"/>
      <c r="D344" s="16" t="str">
        <f>"ISJ007"</f>
        <v>ISJ007</v>
      </c>
      <c r="E344" s="16">
        <v>30000</v>
      </c>
      <c r="F344" s="16" t="str">
        <f>"ISC00"</f>
        <v>ISC00</v>
      </c>
      <c r="G344" s="17" t="str">
        <f>"BULK NAT Blend Intermediary Sauce (2% VC)"</f>
        <v>BULK NAT Blend Intermediary Sauce (2% VC)</v>
      </c>
      <c r="H344" s="18" t="str">
        <f t="shared" si="47"/>
        <v>OZ</v>
      </c>
      <c r="I344" s="19">
        <v>24</v>
      </c>
      <c r="J344" s="20">
        <v>24</v>
      </c>
    </row>
    <row r="345" spans="1:10" ht="15.75" thickBot="1" x14ac:dyDescent="0.3">
      <c r="A345" t="s">
        <v>31</v>
      </c>
      <c r="B345" s="15" t="str">
        <f>"""Manzana NAV"",""MANZANA"",""99000772"",""44"","" "",""22"",""False"",""43"",""0.00000000000000000000"",""12"",""BULK NAT Blend Intermediary Sauce (2% VC)"",""50220"",""False"",""29"","""",""50210"",""True"",""18"","""",""11"",""ISC00"",""2"",""40000"",""1"",""ISCU009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Blend Intermediary Sauce (2% VC)","50220","False","29","","50210","True","18","","11","ISC00","2","40000","1","ISCU009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45" s="15"/>
      <c r="D345" s="16" t="str">
        <f>"ISCU009"</f>
        <v>ISCU009</v>
      </c>
      <c r="E345" s="16">
        <v>40000</v>
      </c>
      <c r="F345" s="16" t="str">
        <f>"ISC00"</f>
        <v>ISC00</v>
      </c>
      <c r="G345" s="17" t="str">
        <f>"BULK NAT Blend Intermediary Sauce (2% VC)"</f>
        <v>BULK NAT Blend Intermediary Sauce (2% VC)</v>
      </c>
      <c r="H345" s="18" t="str">
        <f t="shared" si="47"/>
        <v>OZ</v>
      </c>
      <c r="I345" s="19">
        <v>4</v>
      </c>
      <c r="J345" s="20">
        <v>4</v>
      </c>
    </row>
    <row r="346" spans="1:10" ht="15.75" thickBot="1" x14ac:dyDescent="0.3">
      <c r="A346" t="s">
        <v>31</v>
      </c>
      <c r="B346" s="15" t="str">
        <f>"""Manzana NAV"",""MANZANA"",""99000772"",""44"","" "",""22"",""False"",""43"",""0.00000000000000000000"",""12"",""BULK NAT Blend Intermediary Sauce (2% VC)"",""50220"",""False"",""29"","""",""50210"",""True"",""18"","""",""11"",""ISC00"",""2"",""40000"",""1"",""ISJ004"",""14"",""33.00000000000000000000"",""45"&amp;""",""33.00000000000000000000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Blend Intermediary Sauce (2% VC)","50220","False","29","","50210","True","18","","11","ISC00","2","40000","1","ISJ004","14","33.00000000000000000000","45","33.00000000000000000000","19","","20","0.00000000000000000000","50000","0.00000000000000000000","50230","False","28","","10","Item","13","OZ","21","","3","","42","0.00000000000000000000","50200","False","41","0.00000000000000000000"</v>
      </c>
      <c r="C346" s="15"/>
      <c r="D346" s="16" t="str">
        <f>"ISJ004"</f>
        <v>ISJ004</v>
      </c>
      <c r="E346" s="16">
        <v>40000</v>
      </c>
      <c r="F346" s="16" t="str">
        <f>"ISC00"</f>
        <v>ISC00</v>
      </c>
      <c r="G346" s="17" t="str">
        <f>"BULK NAT Blend Intermediary Sauce (2% VC)"</f>
        <v>BULK NAT Blend Intermediary Sauce (2% VC)</v>
      </c>
      <c r="H346" s="18" t="str">
        <f t="shared" si="47"/>
        <v>OZ</v>
      </c>
      <c r="I346" s="19">
        <v>33</v>
      </c>
      <c r="J346" s="20">
        <v>33</v>
      </c>
    </row>
    <row r="347" spans="1:10" ht="15.75" thickBot="1" x14ac:dyDescent="0.3">
      <c r="A347" t="s">
        <v>31</v>
      </c>
      <c r="B347" s="15" t="str">
        <f>"""Manzana NAV"",""MANZANA"",""99000772"",""44"","" "",""22"",""False"",""43"",""0.00000000000000000000"",""12"",""BULK NAT Blend Juice - in TANK"",""50220"",""False"",""29"","""",""50210"",""False"",""18"","""",""11"",""FJ0990"",""2"",""10000"",""1"",""FJ0991"",""14"",""55.00000000000000000000"",""45"",""55.000"&amp;"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10000","1","FJ0991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347" s="15"/>
      <c r="D347" s="16" t="str">
        <f>"FJ0991"</f>
        <v>FJ0991</v>
      </c>
      <c r="E347" s="16">
        <v>10000</v>
      </c>
      <c r="F347" s="16" t="str">
        <f t="shared" ref="F347:F356" si="48">"FJ0990"</f>
        <v>FJ0990</v>
      </c>
      <c r="G347" s="17" t="str">
        <f t="shared" ref="G347:G356" si="49">"BULK NAT Blend Juice - in TANK"</f>
        <v>BULK NAT Blend Juice - in TANK</v>
      </c>
      <c r="H347" s="18" t="str">
        <f t="shared" ref="H347:H357" si="50">"GAL"</f>
        <v>GAL</v>
      </c>
      <c r="I347" s="19">
        <v>55</v>
      </c>
      <c r="J347" s="20">
        <v>55</v>
      </c>
    </row>
    <row r="348" spans="1:10" ht="15.75" thickBot="1" x14ac:dyDescent="0.3">
      <c r="A348" t="s">
        <v>31</v>
      </c>
      <c r="B348" s="15" t="str">
        <f>"""Manzana NAV"",""MANZANA"",""99000772"",""44"","" "",""22"",""False"",""43"",""0.00000000000000000000"",""12"",""BULK NAT Blend Juice - in TANK"",""50220"",""False"",""29"","""",""50210"",""False"",""18"","""",""11"",""FJ0990"",""2"",""10000"",""1"",""FJ0992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10000","1","FJ0992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48" s="15"/>
      <c r="D348" s="16" t="str">
        <f>"FJ0992"</f>
        <v>FJ0992</v>
      </c>
      <c r="E348" s="16">
        <v>10000</v>
      </c>
      <c r="F348" s="16" t="str">
        <f t="shared" si="48"/>
        <v>FJ0990</v>
      </c>
      <c r="G348" s="17" t="str">
        <f t="shared" si="49"/>
        <v>BULK NAT Blend Juice - in TANK</v>
      </c>
      <c r="H348" s="18" t="str">
        <f t="shared" si="50"/>
        <v>GAL</v>
      </c>
      <c r="I348" s="19">
        <v>1</v>
      </c>
      <c r="J348" s="20">
        <v>1</v>
      </c>
    </row>
    <row r="349" spans="1:10" ht="15.75" thickBot="1" x14ac:dyDescent="0.3">
      <c r="A349" t="s">
        <v>31</v>
      </c>
      <c r="B349" s="15" t="str">
        <f>"""Manzana NAV"",""MANZANA"",""99000772"",""44"","" "",""22"",""False"",""43"",""0.00000000000000000000"",""12"",""BULK NAT Blend Juice - in TANK"",""50220"",""False"",""29"","""",""50210"",""False"",""18"","""",""11"",""FJ0990"",""2"",""20000"",""1"",""IJ117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20000","1","IJ117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49" s="15"/>
      <c r="D349" s="16" t="str">
        <f>"IJ117"</f>
        <v>IJ117</v>
      </c>
      <c r="E349" s="16">
        <v>20000</v>
      </c>
      <c r="F349" s="16" t="str">
        <f t="shared" si="48"/>
        <v>FJ0990</v>
      </c>
      <c r="G349" s="17" t="str">
        <f t="shared" si="49"/>
        <v>BULK NAT Blend Juice - in TANK</v>
      </c>
      <c r="H349" s="18" t="str">
        <f t="shared" si="50"/>
        <v>GAL</v>
      </c>
      <c r="I349" s="19">
        <v>0.5</v>
      </c>
      <c r="J349" s="20">
        <v>0.5</v>
      </c>
    </row>
    <row r="350" spans="1:10" ht="15.75" thickBot="1" x14ac:dyDescent="0.3">
      <c r="A350" t="s">
        <v>31</v>
      </c>
      <c r="B350" s="15" t="str">
        <f>"""Manzana NAV"",""MANZANA"",""99000772"",""44"","" "",""22"",""False"",""43"",""0.00000000000000000000"",""12"",""BULK NAT Blend Juice - in TANK"",""50220"",""False"",""29"","""",""50210"",""False"",""18"","""",""11"",""FJ0990"",""2"",""30000"",""1"",""IJ039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30000","1","IJ039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50" s="15"/>
      <c r="D350" s="16" t="str">
        <f>"IJ039"</f>
        <v>IJ039</v>
      </c>
      <c r="E350" s="16">
        <v>30000</v>
      </c>
      <c r="F350" s="16" t="str">
        <f t="shared" si="48"/>
        <v>FJ0990</v>
      </c>
      <c r="G350" s="17" t="str">
        <f t="shared" si="49"/>
        <v>BULK NAT Blend Juice - in TANK</v>
      </c>
      <c r="H350" s="18" t="str">
        <f t="shared" si="50"/>
        <v>GAL</v>
      </c>
      <c r="I350" s="19">
        <v>0.25</v>
      </c>
      <c r="J350" s="20">
        <v>0.25</v>
      </c>
    </row>
    <row r="351" spans="1:10" ht="15.75" thickBot="1" x14ac:dyDescent="0.3">
      <c r="A351" t="s">
        <v>31</v>
      </c>
      <c r="B351" s="15" t="str">
        <f>"""Manzana NAV"",""MANZANA"",""99000772"",""44"","" "",""22"",""False"",""43"",""0.00000000000000000000"",""12"",""BULK NAT Blend Juice - in TANK"",""50220"",""False"",""29"","""",""50210"",""False"",""18"","""",""11"",""FJ0990"",""2"",""30000"",""1"",""IJ041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30000","1","IJ041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1" s="15"/>
      <c r="D351" s="16" t="str">
        <f>"IJ041"</f>
        <v>IJ041</v>
      </c>
      <c r="E351" s="16">
        <v>30000</v>
      </c>
      <c r="F351" s="16" t="str">
        <f t="shared" si="48"/>
        <v>FJ0990</v>
      </c>
      <c r="G351" s="17" t="str">
        <f t="shared" si="49"/>
        <v>BULK NAT Blend Juice - in TANK</v>
      </c>
      <c r="H351" s="18" t="str">
        <f t="shared" si="50"/>
        <v>GAL</v>
      </c>
      <c r="I351" s="19">
        <v>0.5</v>
      </c>
      <c r="J351" s="20">
        <v>0.5</v>
      </c>
    </row>
    <row r="352" spans="1:10" ht="15.75" thickBot="1" x14ac:dyDescent="0.3">
      <c r="A352" t="s">
        <v>31</v>
      </c>
      <c r="B352" s="15" t="str">
        <f>"""Manzana NAV"",""MANZANA"",""99000772"",""44"","" "",""22"",""False"",""43"",""0.00000000000000000000"",""12"",""BULK NAT Blend Juice - in TANK"",""50220"",""False"",""29"","""",""50210"",""False"",""18"","""",""11"",""FJ0990"",""2"",""30000"",""1"",""IJ116"",""14"",""0.37500000000000000000"",""45"",""0.375000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30000","1","IJ116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52" s="15"/>
      <c r="D352" s="16" t="str">
        <f>"IJ116"</f>
        <v>IJ116</v>
      </c>
      <c r="E352" s="16">
        <v>30000</v>
      </c>
      <c r="F352" s="16" t="str">
        <f t="shared" si="48"/>
        <v>FJ0990</v>
      </c>
      <c r="G352" s="17" t="str">
        <f t="shared" si="49"/>
        <v>BULK NAT Blend Juice - in TANK</v>
      </c>
      <c r="H352" s="18" t="str">
        <f t="shared" si="50"/>
        <v>GAL</v>
      </c>
      <c r="I352" s="19">
        <v>0.375</v>
      </c>
      <c r="J352" s="20">
        <v>0.375</v>
      </c>
    </row>
    <row r="353" spans="1:10" ht="15.75" thickBot="1" x14ac:dyDescent="0.3">
      <c r="A353" t="s">
        <v>31</v>
      </c>
      <c r="B353" s="15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021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021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3" s="15"/>
      <c r="D353" s="16" t="str">
        <f>"IJ021"</f>
        <v>IJ021</v>
      </c>
      <c r="E353" s="16">
        <v>40000</v>
      </c>
      <c r="F353" s="16" t="str">
        <f t="shared" si="48"/>
        <v>FJ0990</v>
      </c>
      <c r="G353" s="17" t="str">
        <f t="shared" si="49"/>
        <v>BULK NAT Blend Juice - in TANK</v>
      </c>
      <c r="H353" s="18" t="str">
        <f t="shared" si="50"/>
        <v>GAL</v>
      </c>
      <c r="I353" s="19">
        <v>0.5</v>
      </c>
      <c r="J353" s="20">
        <v>0.5</v>
      </c>
    </row>
    <row r="354" spans="1:10" ht="15.75" thickBot="1" x14ac:dyDescent="0.3">
      <c r="A354" t="s">
        <v>31</v>
      </c>
      <c r="B354" s="15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022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022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4" s="15"/>
      <c r="D354" s="16" t="str">
        <f>"IJ022"</f>
        <v>IJ022</v>
      </c>
      <c r="E354" s="16">
        <v>40000</v>
      </c>
      <c r="F354" s="16" t="str">
        <f t="shared" si="48"/>
        <v>FJ0990</v>
      </c>
      <c r="G354" s="17" t="str">
        <f t="shared" si="49"/>
        <v>BULK NAT Blend Juice - in TANK</v>
      </c>
      <c r="H354" s="18" t="str">
        <f t="shared" si="50"/>
        <v>GAL</v>
      </c>
      <c r="I354" s="19">
        <v>0.5</v>
      </c>
      <c r="J354" s="20">
        <v>0.5</v>
      </c>
    </row>
    <row r="355" spans="1:10" ht="15.75" thickBot="1" x14ac:dyDescent="0.3">
      <c r="A355" t="s">
        <v>31</v>
      </c>
      <c r="B355" s="15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023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023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5" s="15"/>
      <c r="D355" s="16" t="str">
        <f>"IJ023"</f>
        <v>IJ023</v>
      </c>
      <c r="E355" s="16">
        <v>40000</v>
      </c>
      <c r="F355" s="16" t="str">
        <f t="shared" si="48"/>
        <v>FJ0990</v>
      </c>
      <c r="G355" s="17" t="str">
        <f t="shared" si="49"/>
        <v>BULK NAT Blend Juice - in TANK</v>
      </c>
      <c r="H355" s="18" t="str">
        <f t="shared" si="50"/>
        <v>GAL</v>
      </c>
      <c r="I355" s="19">
        <v>0.5</v>
      </c>
      <c r="J355" s="20">
        <v>0.5</v>
      </c>
    </row>
    <row r="356" spans="1:10" ht="15.75" thickBot="1" x14ac:dyDescent="0.3">
      <c r="A356" t="s">
        <v>31</v>
      </c>
      <c r="B356" s="15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024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024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56" s="15"/>
      <c r="D356" s="16" t="str">
        <f>"IJ024"</f>
        <v>IJ024</v>
      </c>
      <c r="E356" s="16">
        <v>40000</v>
      </c>
      <c r="F356" s="16" t="str">
        <f t="shared" si="48"/>
        <v>FJ0990</v>
      </c>
      <c r="G356" s="17" t="str">
        <f t="shared" si="49"/>
        <v>BULK NAT Blend Juice - in TANK</v>
      </c>
      <c r="H356" s="18" t="str">
        <f t="shared" si="50"/>
        <v>GAL</v>
      </c>
      <c r="I356" s="19">
        <v>1</v>
      </c>
      <c r="J356" s="20">
        <v>1</v>
      </c>
    </row>
    <row r="357" spans="1:10" ht="15.75" thickBot="1" x14ac:dyDescent="0.3">
      <c r="A357" t="s">
        <v>31</v>
      </c>
      <c r="B357" s="15" t="str">
        <f>"""Manzana NAV"",""MANZANA"",""99000772"",""44"","" "",""22"",""False"",""43"",""0.00000000000000000000"",""12"",""BULK NAT Blend Juice - Pasteurized Filtered"",""50220"",""False"",""29"","""",""50210"",""False"",""18"","""",""11"",""FJ0992"",""2"",""40000"",""1"",""IJ113"",""14"",""1.00000000000000000000"","""&amp;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Pasteurized Filtered","50220","False","29","","50210","False","18","","11","FJ0992","2","40000","1","IJ113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57" s="15"/>
      <c r="D357" s="16" t="str">
        <f>"IJ113"</f>
        <v>IJ113</v>
      </c>
      <c r="E357" s="16">
        <v>40000</v>
      </c>
      <c r="F357" s="16" t="str">
        <f>"FJ0992"</f>
        <v>FJ0992</v>
      </c>
      <c r="G357" s="17" t="str">
        <f>"BULK NAT Blend Juice - Pasteurized Filtered"</f>
        <v>BULK NAT Blend Juice - Pasteurized Filtered</v>
      </c>
      <c r="H357" s="18" t="str">
        <f t="shared" si="50"/>
        <v>GAL</v>
      </c>
      <c r="I357" s="19">
        <v>1</v>
      </c>
      <c r="J357" s="20">
        <v>1</v>
      </c>
    </row>
    <row r="358" spans="1:10" ht="15.75" thickBot="1" x14ac:dyDescent="0.3">
      <c r="A358" t="s">
        <v>31</v>
      </c>
      <c r="B358" s="15" t="str">
        <f>"""Manzana NAV"",""MANZANA"",""99000772"",""44"","" "",""22"",""False"",""43"",""0.00000000000000000000"",""12"",""BULK NAT Cinnamon Intermediary Sauce (2% VC)"",""50220"",""False"",""29"","""",""50210"",""True"",""18"","""",""11"",""ISC02"",""2"",""30000"",""1"",""ISJ028"",""14"",""24.00000000000000000000"","&amp;"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Cinnamon Intermediary Sauce (2% VC)","50220","False","29","","50210","True","18","","11","ISC02","2","30000","1","ISJ028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58" s="15"/>
      <c r="D358" s="16" t="str">
        <f>"ISJ028"</f>
        <v>ISJ028</v>
      </c>
      <c r="E358" s="16">
        <v>30000</v>
      </c>
      <c r="F358" s="16" t="str">
        <f>"ISC02"</f>
        <v>ISC02</v>
      </c>
      <c r="G358" s="17" t="str">
        <f>"BULK NAT Cinnamon Intermediary Sauce (2% VC)"</f>
        <v>BULK NAT Cinnamon Intermediary Sauce (2% VC)</v>
      </c>
      <c r="H358" s="18" t="str">
        <f>"OZ"</f>
        <v>OZ</v>
      </c>
      <c r="I358" s="19">
        <v>24</v>
      </c>
      <c r="J358" s="20">
        <v>24</v>
      </c>
    </row>
    <row r="359" spans="1:10" ht="15.75" thickBot="1" x14ac:dyDescent="0.3">
      <c r="A359" t="s">
        <v>31</v>
      </c>
      <c r="B359" s="15" t="str">
        <f>"""Manzana NAV"",""MANZANA"",""99000772"",""44"","" "",""22"",""False"",""43"",""0.00000000000000000000"",""12"",""BULK NAT Cinnamon Intermediary Sauce (2% VC)"",""50220"",""False"",""29"","""",""50210"",""True"",""18"","""",""11"",""ISC02"",""2"",""40000"",""1"",""ISCU010"",""14"",""4.00000000000000000000"","&amp;"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Cinnamon Intermediary Sauce (2% VC)","50220","False","29","","50210","True","18","","11","ISC02","2","40000","1","ISCU010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59" s="15"/>
      <c r="D359" s="16" t="str">
        <f>"ISCU010"</f>
        <v>ISCU010</v>
      </c>
      <c r="E359" s="16">
        <v>40000</v>
      </c>
      <c r="F359" s="16" t="str">
        <f>"ISC02"</f>
        <v>ISC02</v>
      </c>
      <c r="G359" s="17" t="str">
        <f>"BULK NAT Cinnamon Intermediary Sauce (2% VC)"</f>
        <v>BULK NAT Cinnamon Intermediary Sauce (2% VC)</v>
      </c>
      <c r="H359" s="18" t="str">
        <f>"OZ"</f>
        <v>OZ</v>
      </c>
      <c r="I359" s="19">
        <v>4</v>
      </c>
      <c r="J359" s="20">
        <v>4</v>
      </c>
    </row>
    <row r="360" spans="1:10" ht="15.75" thickBot="1" x14ac:dyDescent="0.3">
      <c r="A360" t="s">
        <v>31</v>
      </c>
      <c r="B360" s="15" t="str">
        <f>"""Manzana NAV"",""MANZANA"",""99000772"",""44"","" "",""22"",""False"",""43"",""0.00000000000000000000"",""12"",""BULK NAT GRAV Intermediary Sauce (2% VC)"",""50220"",""False"",""29"","""",""50210"",""True"",""18"","""",""11"",""ISC27"",""2"",""30000"",""1"",""ISJ008"",""14"",""24.00000000000000000000"",""45"""&amp;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GRAV Intermediary Sauce (2% VC)","50220","False","29","","50210","True","18","","11","ISC27","2","30000","1","ISJ008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0" s="15"/>
      <c r="D360" s="16" t="str">
        <f>"ISJ008"</f>
        <v>ISJ008</v>
      </c>
      <c r="E360" s="16">
        <v>30000</v>
      </c>
      <c r="F360" s="16" t="str">
        <f>"ISC27"</f>
        <v>ISC27</v>
      </c>
      <c r="G360" s="17" t="str">
        <f>"BULK NAT GRAV Intermediary Sauce (2% VC)"</f>
        <v>BULK NAT GRAV Intermediary Sauce (2% VC)</v>
      </c>
      <c r="H360" s="18" t="str">
        <f>"OZ"</f>
        <v>OZ</v>
      </c>
      <c r="I360" s="19">
        <v>24</v>
      </c>
      <c r="J360" s="20">
        <v>24</v>
      </c>
    </row>
    <row r="361" spans="1:10" ht="15.75" thickBot="1" x14ac:dyDescent="0.3">
      <c r="A361" t="s">
        <v>31</v>
      </c>
      <c r="B361" s="15" t="str">
        <f>"""Manzana NAV"",""MANZANA"",""99000772"",""44"","" "",""22"",""False"",""43"",""0.00000000000000000000"",""12"",""BULK NAT GRAV Intermediary Sauce (2% VC)"",""50220"",""False"",""29"","""",""50210"",""True"",""18"","""",""11"",""ISC27"",""2"",""30000"",""1"",""ISJ029"",""14"",""24.00000000000000000000"",""45"""&amp;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GRAV Intermediary Sauce (2% VC)","50220","False","29","","50210","True","18","","11","ISC27","2","30000","1","ISJ029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1" s="15"/>
      <c r="D361" s="16" t="str">
        <f>"ISJ029"</f>
        <v>ISJ029</v>
      </c>
      <c r="E361" s="16">
        <v>30000</v>
      </c>
      <c r="F361" s="16" t="str">
        <f>"ISC27"</f>
        <v>ISC27</v>
      </c>
      <c r="G361" s="17" t="str">
        <f>"BULK NAT GRAV Intermediary Sauce (2% VC)"</f>
        <v>BULK NAT GRAV Intermediary Sauce (2% VC)</v>
      </c>
      <c r="H361" s="18" t="str">
        <f>"OZ"</f>
        <v>OZ</v>
      </c>
      <c r="I361" s="19">
        <v>24</v>
      </c>
      <c r="J361" s="20">
        <v>24</v>
      </c>
    </row>
    <row r="362" spans="1:10" ht="15.75" thickBot="1" x14ac:dyDescent="0.3">
      <c r="A362" t="s">
        <v>31</v>
      </c>
      <c r="B362" s="15" t="str">
        <f>"""Manzana NAV"",""MANZANA"",""99000772"",""44"","" "",""22"",""False"",""43"",""0.00000000000000000000"",""12"",""BULK NAT GRAV Juice - in TANK"",""50220"",""False"",""29"","""",""50210"",""False"",""18"","""",""11"",""FJ0980"",""2"",""40000"",""1"",""IJ029"",""14"",""1.00000000000000000000"",""45"",""1.0000000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GRAV Juice - in TANK","50220","False","29","","50210","False","18","","11","FJ0980","2","40000","1","IJ029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62" s="15"/>
      <c r="D362" s="16" t="str">
        <f>"IJ029"</f>
        <v>IJ029</v>
      </c>
      <c r="E362" s="16">
        <v>40000</v>
      </c>
      <c r="F362" s="16" t="str">
        <f>"FJ0980"</f>
        <v>FJ0980</v>
      </c>
      <c r="G362" s="17" t="str">
        <f>"BULK NAT GRAV Juice - in TANK"</f>
        <v>BULK NAT GRAV Juice - in TANK</v>
      </c>
      <c r="H362" s="18" t="str">
        <f>"GAL"</f>
        <v>GAL</v>
      </c>
      <c r="I362" s="19">
        <v>1</v>
      </c>
      <c r="J362" s="20">
        <v>1</v>
      </c>
    </row>
    <row r="363" spans="1:10" ht="15.75" thickBot="1" x14ac:dyDescent="0.3">
      <c r="A363" t="s">
        <v>31</v>
      </c>
      <c r="B363" s="15" t="str">
        <f>"""Manzana NAV"",""MANZANA"",""99000772"",""44"","" "",""22"",""False"",""43"",""0.00000000000000000000"",""12"",""BULK NAT GRAV Juice - in TANK"",""50220"",""False"",""29"","""",""50210"",""False"",""18"","""",""11"",""FJ0980"",""2"",""40000"",""1"",""IJ032"",""14"",""0.37500000000000000000"",""45"",""0.3750000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GRAV Juice - in TANK","50220","False","29","","50210","False","18","","11","FJ0980","2","40000","1","IJ032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63" s="15"/>
      <c r="D363" s="16" t="str">
        <f>"IJ032"</f>
        <v>IJ032</v>
      </c>
      <c r="E363" s="16">
        <v>40000</v>
      </c>
      <c r="F363" s="16" t="str">
        <f>"FJ0980"</f>
        <v>FJ0980</v>
      </c>
      <c r="G363" s="17" t="str">
        <f>"BULK NAT GRAV Juice - in TANK"</f>
        <v>BULK NAT GRAV Juice - in TANK</v>
      </c>
      <c r="H363" s="18" t="str">
        <f>"GAL"</f>
        <v>GAL</v>
      </c>
      <c r="I363" s="19">
        <v>0.375</v>
      </c>
      <c r="J363" s="20">
        <v>0.375</v>
      </c>
    </row>
    <row r="364" spans="1:10" ht="15.75" thickBot="1" x14ac:dyDescent="0.3">
      <c r="A364" t="s">
        <v>31</v>
      </c>
      <c r="B364" s="15" t="str">
        <f>"""Manzana NAV"",""MANZANA"",""99000772"",""44"","" "",""22"",""False"",""43"",""0.00000000000000000000"",""12"",""BULK NAT Sweet Blend Intermediary Sauce (100% VC)"",""50220"",""False"",""29"","""",""50210"",""True"",""18"","""",""11"",""ISC18"",""2"",""30000"",""1"",""ISJ009"",""14"",""25.00000000000000000"&amp;"000"",""45"",""25.00000000000000000000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Sweet Blend Intermediary Sauce (100% VC)","50220","False","29","","50210","True","18","","11","ISC18","2","30000","1","ISJ009","14","25.00000000000000000000","45","25.00000000000000000000","19","","20","0.00000000000000000000","50000","0.00000000000000000000","50230","False","28","","10","Item","13","OZ","21","","3","","42","0.00000000000000000000","50200","False","41","0.00000000000000000000"</v>
      </c>
      <c r="C364" s="15"/>
      <c r="D364" s="16" t="str">
        <f>"ISJ009"</f>
        <v>ISJ009</v>
      </c>
      <c r="E364" s="16">
        <v>30000</v>
      </c>
      <c r="F364" s="16" t="str">
        <f>"ISC18"</f>
        <v>ISC18</v>
      </c>
      <c r="G364" s="17" t="str">
        <f>"BULK NAT Sweet Blend Intermediary Sauce (100% VC)"</f>
        <v>BULK NAT Sweet Blend Intermediary Sauce (100% VC)</v>
      </c>
      <c r="H364" s="18" t="str">
        <f t="shared" ref="H364:H396" si="51">"OZ"</f>
        <v>OZ</v>
      </c>
      <c r="I364" s="19">
        <v>25</v>
      </c>
      <c r="J364" s="20">
        <v>25</v>
      </c>
    </row>
    <row r="365" spans="1:10" ht="15.75" thickBot="1" x14ac:dyDescent="0.3">
      <c r="A365" t="s">
        <v>31</v>
      </c>
      <c r="B365" s="15" t="str">
        <f>"""Manzana NAV"",""MANZANA"",""99000772"",""44"","" "",""22"",""False"",""43"",""0.00000000000000000000"",""12"",""BULK NAT Sweet Blend Intermediary Sauce (100% VC)"",""50220"",""False"",""29"","""",""50210"",""True"",""18"","""",""11"",""ISC18"",""2"",""30000"",""1"",""ISJ012"",""14"",""33.00000000000000000"&amp;"000"",""45"",""33.00000000000000000000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Sweet Blend Intermediary Sauce (100% VC)","50220","False","29","","50210","True","18","","11","ISC18","2","30000","1","ISJ012","14","33.00000000000000000000","45","33.00000000000000000000","19","","20","0.00000000000000000000","50000","0.00000000000000000000","50230","False","28","","10","Item","13","OZ","21","","3","","42","0.00000000000000000000","50200","False","41","0.00000000000000000000"</v>
      </c>
      <c r="C365" s="15"/>
      <c r="D365" s="16" t="str">
        <f>"ISJ012"</f>
        <v>ISJ012</v>
      </c>
      <c r="E365" s="16">
        <v>30000</v>
      </c>
      <c r="F365" s="16" t="str">
        <f>"ISC18"</f>
        <v>ISC18</v>
      </c>
      <c r="G365" s="17" t="str">
        <f>"BULK NAT Sweet Blend Intermediary Sauce (100% VC)"</f>
        <v>BULK NAT Sweet Blend Intermediary Sauce (100% VC)</v>
      </c>
      <c r="H365" s="18" t="str">
        <f t="shared" si="51"/>
        <v>OZ</v>
      </c>
      <c r="I365" s="19">
        <v>33</v>
      </c>
      <c r="J365" s="20">
        <v>33</v>
      </c>
    </row>
    <row r="366" spans="1:10" ht="15.75" thickBot="1" x14ac:dyDescent="0.3">
      <c r="A366" t="s">
        <v>31</v>
      </c>
      <c r="B366" s="15" t="str">
        <f>"""Manzana NAV"",""MANZANA"",""99000772"",""44"","" "",""22"",""False"",""43"",""0.00000000000000000000"",""12"",""BULK NAT Sweet GRAV Intermediary Sauce (100% VC)"",""50220"",""False"",""29"","""",""50210"",""True"",""18"","""",""11"",""ISC20"",""2"",""30000"",""1"",""ISJ010"",""14"",""25.000000000000000000"&amp;"00"",""45"",""25.00000000000000000000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Sweet GRAV Intermediary Sauce (100% VC)","50220","False","29","","50210","True","18","","11","ISC20","2","30000","1","ISJ010","14","25.00000000000000000000","45","25.00000000000000000000","19","","20","0.00000000000000000000","50000","0.00000000000000000000","50230","False","28","","10","Item","13","OZ","21","","3","","42","0.00000000000000000000","50200","False","41","0.00000000000000000000"</v>
      </c>
      <c r="C366" s="15"/>
      <c r="D366" s="16" t="str">
        <f>"ISJ010"</f>
        <v>ISJ010</v>
      </c>
      <c r="E366" s="16">
        <v>30000</v>
      </c>
      <c r="F366" s="16" t="str">
        <f>"ISC20"</f>
        <v>ISC20</v>
      </c>
      <c r="G366" s="17" t="str">
        <f>"BULK NAT Sweet GRAV Intermediary Sauce (100% VC)"</f>
        <v>BULK NAT Sweet GRAV Intermediary Sauce (100% VC)</v>
      </c>
      <c r="H366" s="18" t="str">
        <f t="shared" si="51"/>
        <v>OZ</v>
      </c>
      <c r="I366" s="19">
        <v>25</v>
      </c>
      <c r="J366" s="20">
        <v>25</v>
      </c>
    </row>
    <row r="367" spans="1:10" ht="15.75" thickBot="1" x14ac:dyDescent="0.3">
      <c r="A367" t="s">
        <v>31</v>
      </c>
      <c r="B367" s="15" t="str">
        <f>"""Manzana NAV"",""MANZANA"",""99000772"",""44"","" "",""22"",""False"",""43"",""0.00000000000000000000"",""12"",""BULK ORG AP Spice Intermediary Sauce (2% VC)"",""50220"",""False"",""29"","""",""50210"",""True"",""18"","""",""11"",""ISC29"",""2"",""30000"",""1"",""ISJ030"",""14"",""24.00000000000000000000"","&amp;"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 Spice Intermediary Sauce (2% VC)","50220","False","29","","50210","True","18","","11","ISC29","2","30000","1","ISJ030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7" s="15"/>
      <c r="D367" s="16" t="str">
        <f>"ISJ030"</f>
        <v>ISJ030</v>
      </c>
      <c r="E367" s="16">
        <v>30000</v>
      </c>
      <c r="F367" s="16" t="str">
        <f>"ISC29"</f>
        <v>ISC29</v>
      </c>
      <c r="G367" s="17" t="str">
        <f>"BULK ORG AP Spice Intermediary Sauce (2% VC)"</f>
        <v>BULK ORG AP Spice Intermediary Sauce (2% VC)</v>
      </c>
      <c r="H367" s="18" t="str">
        <f t="shared" si="51"/>
        <v>OZ</v>
      </c>
      <c r="I367" s="19">
        <v>24</v>
      </c>
      <c r="J367" s="20">
        <v>24</v>
      </c>
    </row>
    <row r="368" spans="1:10" ht="15.75" thickBot="1" x14ac:dyDescent="0.3">
      <c r="A368" t="s">
        <v>31</v>
      </c>
      <c r="B368" s="15" t="str">
        <f>"""Manzana NAV"",""MANZANA"",""99000772"",""44"","" "",""22"",""False"",""43"",""0.00000000000000000000"",""12"",""BULK ORG AP Spice Intermediary Sauce (2% VC)"",""50220"",""False"",""29"","""",""50210"",""True"",""18"","""",""11"",""ISC29"",""2"",""40000"",""1"",""Z-ISP0011"",""14"",""3.50000000000000000000"&amp;""",""45"",""3.50000000000000000000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 Spice Intermediary Sauce (2% VC)","50220","False","29","","50210","True","18","","11","ISC29","2","40000","1","Z-ISP0011","14","3.50000000000000000000","45","3.50000000000000000000","19","","20","0.00000000000000000000","50000","0.00000000000000000000","50230","False","28","","10","Item","13","OZ","21","","3","","42","0.00000000000000000000","50200","False","41","0.00000000000000000000"</v>
      </c>
      <c r="C368" s="15"/>
      <c r="D368" s="16" t="str">
        <f>"Z-ISP0011"</f>
        <v>Z-ISP0011</v>
      </c>
      <c r="E368" s="16">
        <v>40000</v>
      </c>
      <c r="F368" s="16" t="str">
        <f>"ISC29"</f>
        <v>ISC29</v>
      </c>
      <c r="G368" s="17" t="str">
        <f>"BULK ORG AP Spice Intermediary Sauce (2% VC)"</f>
        <v>BULK ORG AP Spice Intermediary Sauce (2% VC)</v>
      </c>
      <c r="H368" s="18" t="str">
        <f t="shared" si="51"/>
        <v>OZ</v>
      </c>
      <c r="I368" s="19">
        <v>3.5</v>
      </c>
      <c r="J368" s="20">
        <v>3.5</v>
      </c>
    </row>
    <row r="369" spans="1:10" ht="15.75" thickBot="1" x14ac:dyDescent="0.3">
      <c r="A369" t="s">
        <v>31</v>
      </c>
      <c r="B369" s="15" t="str">
        <f>"""Manzana NAV"",""MANZANA"",""99000772"",""44"","" "",""22"",""False"",""43"",""0.00000000000000000000"",""12"",""BULK ORG Apricot Intermediary Sauce (2% VC)"",""50220"",""False"",""29"","""",""50210"",""True"",""18"","""",""11"",""ISC10"",""2"",""30000"",""1"",""ISJ015"",""14"",""24.00000000000000000000"","""&amp;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30000","1","ISJ015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9" s="15"/>
      <c r="D369" s="16" t="str">
        <f>"ISJ015"</f>
        <v>ISJ015</v>
      </c>
      <c r="E369" s="16">
        <v>30000</v>
      </c>
      <c r="F369" s="16" t="str">
        <f>"ISC10"</f>
        <v>ISC10</v>
      </c>
      <c r="G369" s="17" t="str">
        <f>"BULK ORG Apricot Intermediary Sauce (2% VC)"</f>
        <v>BULK ORG Apricot Intermediary Sauce (2% VC)</v>
      </c>
      <c r="H369" s="18" t="str">
        <f t="shared" si="51"/>
        <v>OZ</v>
      </c>
      <c r="I369" s="19">
        <v>24</v>
      </c>
      <c r="J369" s="20">
        <v>24</v>
      </c>
    </row>
    <row r="370" spans="1:10" ht="15.75" thickBot="1" x14ac:dyDescent="0.3">
      <c r="A370" t="s">
        <v>31</v>
      </c>
      <c r="B370" s="15" t="str">
        <f>"""Manzana NAV"",""MANZANA"",""99000772"",""44"","" "",""22"",""False"",""43"",""0.00000000000000000000"",""12"",""BULK ORG Apricot Intermediary Sauce (2% VC)"",""50220"",""False"",""29"","""",""50210"",""True"",""18"","""",""11"",""ISC10"",""2"",""40000"",""1"",""ISCU006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40000","1","ISCU006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0" s="15"/>
      <c r="D370" s="16" t="str">
        <f>"ISCU006"</f>
        <v>ISCU006</v>
      </c>
      <c r="E370" s="16">
        <v>40000</v>
      </c>
      <c r="F370" s="16" t="str">
        <f>"ISC10"</f>
        <v>ISC10</v>
      </c>
      <c r="G370" s="17" t="str">
        <f>"BULK ORG Apricot Intermediary Sauce (2% VC)"</f>
        <v>BULK ORG Apricot Intermediary Sauce (2% VC)</v>
      </c>
      <c r="H370" s="18" t="str">
        <f t="shared" si="51"/>
        <v>OZ</v>
      </c>
      <c r="I370" s="19">
        <v>4</v>
      </c>
      <c r="J370" s="20">
        <v>4</v>
      </c>
    </row>
    <row r="371" spans="1:10" ht="15.75" thickBot="1" x14ac:dyDescent="0.3">
      <c r="A371" t="s">
        <v>31</v>
      </c>
      <c r="B371" s="15" t="str">
        <f>"""Manzana NAV"",""MANZANA"",""99000772"",""44"","" "",""22"",""False"",""43"",""0.00000000000000000000"",""12"",""BULK ORG Apricot Intermediary Sauce (2% VC)"",""50220"",""False"",""29"","""",""50210"",""True"",""18"","""",""11"",""ISC10"",""2"",""40000"",""1"",""ISCU017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40000","1","ISCU017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1" s="15"/>
      <c r="D371" s="16" t="str">
        <f>"ISCU017"</f>
        <v>ISCU017</v>
      </c>
      <c r="E371" s="16">
        <v>40000</v>
      </c>
      <c r="F371" s="16" t="str">
        <f>"ISC10"</f>
        <v>ISC10</v>
      </c>
      <c r="G371" s="17" t="str">
        <f>"BULK ORG Apricot Intermediary Sauce (2% VC)"</f>
        <v>BULK ORG Apricot Intermediary Sauce (2% VC)</v>
      </c>
      <c r="H371" s="18" t="str">
        <f t="shared" si="51"/>
        <v>OZ</v>
      </c>
      <c r="I371" s="19">
        <v>4</v>
      </c>
      <c r="J371" s="20">
        <v>4</v>
      </c>
    </row>
    <row r="372" spans="1:10" ht="15.75" thickBot="1" x14ac:dyDescent="0.3">
      <c r="A372" t="s">
        <v>31</v>
      </c>
      <c r="B372" s="15" t="str">
        <f>"""Manzana NAV"",""MANZANA"",""99000772"",""44"","" "",""22"",""False"",""43"",""0.00000000000000000000"",""12"",""BULK ORG Apricot Intermediary Sauce (2% VC)"",""50220"",""False"",""29"","""",""50210"",""True"",""18"","""",""11"",""ISC10"",""2"",""40000"",""1"",""ISCU024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40000","1","ISCU024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2" s="15"/>
      <c r="D372" s="16" t="str">
        <f>"ISCU024"</f>
        <v>ISCU024</v>
      </c>
      <c r="E372" s="16">
        <v>40000</v>
      </c>
      <c r="F372" s="16" t="str">
        <f>"ISC10"</f>
        <v>ISC10</v>
      </c>
      <c r="G372" s="17" t="str">
        <f>"BULK ORG Apricot Intermediary Sauce (2% VC)"</f>
        <v>BULK ORG Apricot Intermediary Sauce (2% VC)</v>
      </c>
      <c r="H372" s="18" t="str">
        <f t="shared" si="51"/>
        <v>OZ</v>
      </c>
      <c r="I372" s="19">
        <v>4</v>
      </c>
      <c r="J372" s="20">
        <v>4</v>
      </c>
    </row>
    <row r="373" spans="1:10" ht="15.75" thickBot="1" x14ac:dyDescent="0.3">
      <c r="A373" t="s">
        <v>31</v>
      </c>
      <c r="B373" s="15" t="str">
        <f>"""Manzana NAV"",""MANZANA"",""99000772"",""44"","" "",""22"",""False"",""43"",""0.00000000000000000000"",""12"",""BULK ORG Banana Apple Sauce (2% VC)-TJ"",""50220"",""False"",""29"","""",""50210"",""True"",""18"","""",""11"",""ISC36"",""2"",""30000"",""1"",""ISP0019"",""14"",""3.20000000000000000000"",""45"","""&amp;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Banana Apple Sauce (2% VC)-TJ","50220","False","29","","50210","True","18","","11","ISC36","2","30000","1","ISP0019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3" s="15"/>
      <c r="D373" s="16" t="str">
        <f>"ISP0019"</f>
        <v>ISP0019</v>
      </c>
      <c r="E373" s="16">
        <v>30000</v>
      </c>
      <c r="F373" s="16" t="str">
        <f>"ISC36"</f>
        <v>ISC36</v>
      </c>
      <c r="G373" s="17" t="str">
        <f>"BULK ORG Banana Apple Sauce (2% VC)-TJ"</f>
        <v>BULK ORG Banana Apple Sauce (2% VC)-TJ</v>
      </c>
      <c r="H373" s="18" t="str">
        <f t="shared" si="51"/>
        <v>OZ</v>
      </c>
      <c r="I373" s="19">
        <v>3.2</v>
      </c>
      <c r="J373" s="20">
        <v>3.2</v>
      </c>
    </row>
    <row r="374" spans="1:10" ht="15.75" thickBot="1" x14ac:dyDescent="0.3">
      <c r="A374" t="s">
        <v>31</v>
      </c>
      <c r="B374" s="15" t="str">
        <f>"""Manzana NAV"",""MANZANA"",""99000772"",""44"","" "",""22"",""False"",""43"",""0.00000000000000000000"",""12"",""BULK ORG Berry Intermediary sauce (100% VC)"",""50220"",""False"",""29"","""",""50210"",""True"",""18"","""",""11"",""ISC15"",""2"",""30000"",""1"",""ISJ014"",""14"",""24.00000000000000000000"","""&amp;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30000","1","ISJ014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74" s="15"/>
      <c r="D374" s="16" t="str">
        <f>"ISJ014"</f>
        <v>ISJ014</v>
      </c>
      <c r="E374" s="16">
        <v>30000</v>
      </c>
      <c r="F374" s="16" t="str">
        <f>"ISC15"</f>
        <v>ISC15</v>
      </c>
      <c r="G374" s="17" t="str">
        <f>"BULK ORG Berry Intermediary sauce (100% VC)"</f>
        <v>BULK ORG Berry Intermediary sauce (100% VC)</v>
      </c>
      <c r="H374" s="18" t="str">
        <f t="shared" si="51"/>
        <v>OZ</v>
      </c>
      <c r="I374" s="19">
        <v>24</v>
      </c>
      <c r="J374" s="20">
        <v>24</v>
      </c>
    </row>
    <row r="375" spans="1:10" ht="15.75" thickBot="1" x14ac:dyDescent="0.3">
      <c r="A375" t="s">
        <v>31</v>
      </c>
      <c r="B375" s="15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CU002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CU002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5" s="15"/>
      <c r="D375" s="16" t="str">
        <f>"ISCU002"</f>
        <v>ISCU002</v>
      </c>
      <c r="E375" s="16">
        <v>40000</v>
      </c>
      <c r="F375" s="16" t="str">
        <f>"ISC15"</f>
        <v>ISC15</v>
      </c>
      <c r="G375" s="17" t="str">
        <f>"BULK ORG Berry Intermediary sauce (100% VC)"</f>
        <v>BULK ORG Berry Intermediary sauce (100% VC)</v>
      </c>
      <c r="H375" s="18" t="str">
        <f t="shared" si="51"/>
        <v>OZ</v>
      </c>
      <c r="I375" s="19">
        <v>4</v>
      </c>
      <c r="J375" s="20">
        <v>4</v>
      </c>
    </row>
    <row r="376" spans="1:10" ht="15.75" thickBot="1" x14ac:dyDescent="0.3">
      <c r="A376" t="s">
        <v>31</v>
      </c>
      <c r="B376" s="15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P0003"",""14"",""3.20000000000000000000"","""&amp;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P0003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6" s="15"/>
      <c r="D376" s="16" t="str">
        <f>"ISP0003"</f>
        <v>ISP0003</v>
      </c>
      <c r="E376" s="16">
        <v>40000</v>
      </c>
      <c r="F376" s="16" t="str">
        <f>"ISC15"</f>
        <v>ISC15</v>
      </c>
      <c r="G376" s="17" t="str">
        <f>"BULK ORG Berry Intermediary sauce (100% VC)"</f>
        <v>BULK ORG Berry Intermediary sauce (100% VC)</v>
      </c>
      <c r="H376" s="18" t="str">
        <f t="shared" si="51"/>
        <v>OZ</v>
      </c>
      <c r="I376" s="19">
        <v>3.2</v>
      </c>
      <c r="J376" s="20">
        <v>3.2</v>
      </c>
    </row>
    <row r="377" spans="1:10" ht="15.75" thickBot="1" x14ac:dyDescent="0.3">
      <c r="A377" t="s">
        <v>31</v>
      </c>
      <c r="B377" s="15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P0006"",""14"",""3.20000000000000000000"","""&amp;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P0006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7" s="15"/>
      <c r="D377" s="16" t="str">
        <f>"ISP0006"</f>
        <v>ISP0006</v>
      </c>
      <c r="E377" s="16">
        <v>40000</v>
      </c>
      <c r="F377" s="16" t="str">
        <f>"ISC15"</f>
        <v>ISC15</v>
      </c>
      <c r="G377" s="17" t="str">
        <f>"BULK ORG Berry Intermediary sauce (100% VC)"</f>
        <v>BULK ORG Berry Intermediary sauce (100% VC)</v>
      </c>
      <c r="H377" s="18" t="str">
        <f t="shared" si="51"/>
        <v>OZ</v>
      </c>
      <c r="I377" s="19">
        <v>3.2</v>
      </c>
      <c r="J377" s="20">
        <v>3.2</v>
      </c>
    </row>
    <row r="378" spans="1:10" ht="15.75" thickBot="1" x14ac:dyDescent="0.3">
      <c r="A378" t="s">
        <v>31</v>
      </c>
      <c r="B378" s="15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P0009"",""14"",""3.20000000000000000000"","""&amp;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P0009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8" s="15"/>
      <c r="D378" s="16" t="str">
        <f>"ISP0009"</f>
        <v>ISP0009</v>
      </c>
      <c r="E378" s="16">
        <v>40000</v>
      </c>
      <c r="F378" s="16" t="str">
        <f>"ISC15"</f>
        <v>ISC15</v>
      </c>
      <c r="G378" s="17" t="str">
        <f>"BULK ORG Berry Intermediary sauce (100% VC)"</f>
        <v>BULK ORG Berry Intermediary sauce (100% VC)</v>
      </c>
      <c r="H378" s="18" t="str">
        <f t="shared" si="51"/>
        <v>OZ</v>
      </c>
      <c r="I378" s="19">
        <v>3.2</v>
      </c>
      <c r="J378" s="20">
        <v>3.2</v>
      </c>
    </row>
    <row r="379" spans="1:10" ht="15.75" thickBot="1" x14ac:dyDescent="0.3">
      <c r="A379" t="s">
        <v>31</v>
      </c>
      <c r="B379" s="15" t="str">
        <f>"""Manzana NAV"",""MANZANA"",""99000772"",""44"","" "",""22"",""False"",""43"",""0.00000000000000000000"",""12"",""BULK ORG Berry Intermediary Sauce (2% VC)"",""50220"",""False"",""29"","""",""50210"",""True"",""18"","""",""11"",""ISC09"",""2"",""30000"",""1"",""ISP0026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(2% VC)","50220","False","29","","50210","True","18","","11","ISC09","2","30000","1","ISP0026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9" s="15"/>
      <c r="D379" s="16" t="str">
        <f>"ISP0026"</f>
        <v>ISP0026</v>
      </c>
      <c r="E379" s="16">
        <v>30000</v>
      </c>
      <c r="F379" s="16" t="str">
        <f>"ISC09"</f>
        <v>ISC09</v>
      </c>
      <c r="G379" s="17" t="str">
        <f>"BULK ORG Berry Intermediary Sauce (2% VC)"</f>
        <v>BULK ORG Berry Intermediary Sauce (2% VC)</v>
      </c>
      <c r="H379" s="18" t="str">
        <f t="shared" si="51"/>
        <v>OZ</v>
      </c>
      <c r="I379" s="19">
        <v>3.2</v>
      </c>
      <c r="J379" s="20">
        <v>3.2</v>
      </c>
    </row>
    <row r="380" spans="1:10" ht="15.75" thickBot="1" x14ac:dyDescent="0.3">
      <c r="A380" t="s">
        <v>31</v>
      </c>
      <c r="B380" s="15" t="str">
        <f>"""Manzana NAV"",""MANZANA"",""99000772"",""44"","" "",""22"",""False"",""43"",""0.00000000000000000000"",""12"",""BULK ORG Berry Intermediary Sauce (2% VC)"",""50220"",""False"",""29"","""",""50210"",""True"",""18"","""",""11"",""ISC09"",""2"",""40000"",""1"",""ISCU008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(2% VC)","50220","False","29","","50210","True","18","","11","ISC09","2","40000","1","ISCU008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0" s="15"/>
      <c r="D380" s="16" t="str">
        <f>"ISCU008"</f>
        <v>ISCU008</v>
      </c>
      <c r="E380" s="16">
        <v>40000</v>
      </c>
      <c r="F380" s="16" t="str">
        <f>"ISC09"</f>
        <v>ISC09</v>
      </c>
      <c r="G380" s="17" t="str">
        <f>"BULK ORG Berry Intermediary Sauce (2% VC)"</f>
        <v>BULK ORG Berry Intermediary Sauce (2% VC)</v>
      </c>
      <c r="H380" s="18" t="str">
        <f t="shared" si="51"/>
        <v>OZ</v>
      </c>
      <c r="I380" s="19">
        <v>4</v>
      </c>
      <c r="J380" s="20">
        <v>4</v>
      </c>
    </row>
    <row r="381" spans="1:10" ht="15.75" thickBot="1" x14ac:dyDescent="0.3">
      <c r="A381" t="s">
        <v>31</v>
      </c>
      <c r="B381" s="15" t="str">
        <f>"""Manzana NAV"",""MANZANA"",""99000772"",""44"","" "",""22"",""False"",""43"",""0.00000000000000000000"",""12"",""BULK ORG Blackberry Intermediary Sauce (100% VC)"",""50220"",""False"",""29"","""",""50210"",""True"",""18"","""",""11"",""ISC21"",""2"",""30000"",""1"",""ISJ016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Blackberry Intermediary Sauce (100% VC)","50220","False","29","","50210","True","18","","11","ISC21","2","30000","1","ISJ016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81" s="15"/>
      <c r="D381" s="16" t="str">
        <f>"ISJ016"</f>
        <v>ISJ016</v>
      </c>
      <c r="E381" s="16">
        <v>30000</v>
      </c>
      <c r="F381" s="16" t="str">
        <f>"ISC21"</f>
        <v>ISC21</v>
      </c>
      <c r="G381" s="17" t="str">
        <f>"BULK ORG Blackberry Intermediary Sauce (100% VC)"</f>
        <v>BULK ORG Blackberry Intermediary Sauce (100% VC)</v>
      </c>
      <c r="H381" s="18" t="str">
        <f t="shared" si="51"/>
        <v>OZ</v>
      </c>
      <c r="I381" s="19">
        <v>24</v>
      </c>
      <c r="J381" s="20">
        <v>24</v>
      </c>
    </row>
    <row r="382" spans="1:10" ht="15.75" thickBot="1" x14ac:dyDescent="0.3">
      <c r="A382" t="s">
        <v>31</v>
      </c>
      <c r="B382" s="15" t="str">
        <f>"""Manzana NAV"",""MANZANA"",""99000772"",""44"","" "",""22"",""False"",""43"",""0.00000000000000000000"",""12"",""BULK ORG Blackberry Intermediary Sauce (100% VC)"",""50220"",""False"",""29"","""",""50210"",""True"",""18"","""",""11"",""ISC21"",""2"",""40000"",""1"",""ISCU023"",""14"",""4.000000000000000000"&amp;"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Blackberry Intermediary Sauce (100% VC)","50220","False","29","","50210","True","18","","11","ISC21","2","40000","1","ISCU023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2" s="15"/>
      <c r="D382" s="16" t="str">
        <f>"ISCU023"</f>
        <v>ISCU023</v>
      </c>
      <c r="E382" s="16">
        <v>40000</v>
      </c>
      <c r="F382" s="16" t="str">
        <f>"ISC21"</f>
        <v>ISC21</v>
      </c>
      <c r="G382" s="17" t="str">
        <f>"BULK ORG Blackberry Intermediary Sauce (100% VC)"</f>
        <v>BULK ORG Blackberry Intermediary Sauce (100% VC)</v>
      </c>
      <c r="H382" s="18" t="str">
        <f t="shared" si="51"/>
        <v>OZ</v>
      </c>
      <c r="I382" s="19">
        <v>4</v>
      </c>
      <c r="J382" s="20">
        <v>4</v>
      </c>
    </row>
    <row r="383" spans="1:10" ht="15.75" thickBot="1" x14ac:dyDescent="0.3">
      <c r="A383" t="s">
        <v>31</v>
      </c>
      <c r="B383" s="15" t="str">
        <f>"""Manzana NAV"",""MANZANA"",""99000772"",""44"","" "",""22"",""False"",""43"",""0.00000000000000000000"",""12"",""BULK ORG Blackberry Intermediary Sauce (100% VC)"",""50220"",""False"",""29"","""",""50210"",""True"",""18"","""",""11"",""ISC21"",""2"",""40000"",""1"",""ISCU025"",""14"",""4.000000000000000000"&amp;"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Blackberry Intermediary Sauce (100% VC)","50220","False","29","","50210","True","18","","11","ISC21","2","40000","1","ISCU025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3" s="15"/>
      <c r="D383" s="16" t="str">
        <f>"ISCU025"</f>
        <v>ISCU025</v>
      </c>
      <c r="E383" s="16">
        <v>40000</v>
      </c>
      <c r="F383" s="16" t="str">
        <f>"ISC21"</f>
        <v>ISC21</v>
      </c>
      <c r="G383" s="17" t="str">
        <f>"BULK ORG Blackberry Intermediary Sauce (100% VC)"</f>
        <v>BULK ORG Blackberry Intermediary Sauce (100% VC)</v>
      </c>
      <c r="H383" s="18" t="str">
        <f t="shared" si="51"/>
        <v>OZ</v>
      </c>
      <c r="I383" s="19">
        <v>4</v>
      </c>
      <c r="J383" s="20">
        <v>4</v>
      </c>
    </row>
    <row r="384" spans="1:10" ht="15.75" thickBot="1" x14ac:dyDescent="0.3">
      <c r="A384" t="s">
        <v>31</v>
      </c>
      <c r="B384" s="15" t="str">
        <f>"""Manzana NAV"",""MANZANA"",""99000772"",""44"","" "",""22"",""False"",""43"",""0.00000000000000000000"",""12"",""BULK ORG Blend Apple Intermediary Sauce (2% VC)-TJ"",""50220"",""False"",""29"","""",""50210"",""True"",""18"","""",""11"",""ISC34"",""2"",""30000"",""1"",""ISP0017"",""14"",""3.2000000000000000"&amp;"0000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Apple Intermediary Sauce (2% VC)-TJ","50220","False","29","","50210","True","18","","11","ISC34","2","30000","1","ISP0017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84" s="15"/>
      <c r="D384" s="16" t="str">
        <f>"ISP0017"</f>
        <v>ISP0017</v>
      </c>
      <c r="E384" s="16">
        <v>30000</v>
      </c>
      <c r="F384" s="16" t="str">
        <f>"ISC34"</f>
        <v>ISC34</v>
      </c>
      <c r="G384" s="17" t="str">
        <f>"BULK ORG Blend Apple Intermediary Sauce (2% VC)-TJ"</f>
        <v>BULK ORG Blend Apple Intermediary Sauce (2% VC)-TJ</v>
      </c>
      <c r="H384" s="18" t="str">
        <f t="shared" si="51"/>
        <v>OZ</v>
      </c>
      <c r="I384" s="19">
        <v>3.2</v>
      </c>
      <c r="J384" s="20">
        <v>3.2</v>
      </c>
    </row>
    <row r="385" spans="1:10" ht="15.75" thickBot="1" x14ac:dyDescent="0.3">
      <c r="A385" t="s">
        <v>31</v>
      </c>
      <c r="B385" s="15" t="str">
        <f>"""Manzana NAV"",""MANZANA"",""99000772"",""44"","" "",""22"",""False"",""43"",""0.00000000000000000000"",""12"",""BULK ORG Blend Intermediary Sauce - no Vit C"",""50220"",""False"",""29"","""",""50210"",""True"",""18"","""",""11"",""ISC05"",""2"",""20000"",""1"",""ISPT000"",""14"",""3.20000000000000000000"","&amp;"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- no Vit C","50220","False","29","","50210","True","18","","11","ISC05","2","20000","1","ISPT000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85" s="15"/>
      <c r="D385" s="16" t="str">
        <f>"ISPT000"</f>
        <v>ISPT000</v>
      </c>
      <c r="E385" s="16">
        <v>20000</v>
      </c>
      <c r="F385" s="16" t="str">
        <f>"ISC05"</f>
        <v>ISC05</v>
      </c>
      <c r="G385" s="17" t="str">
        <f>"BULK ORG Blend Intermediary Sauce - no Vit C"</f>
        <v>BULK ORG Blend Intermediary Sauce - no Vit C</v>
      </c>
      <c r="H385" s="18" t="str">
        <f t="shared" si="51"/>
        <v>OZ</v>
      </c>
      <c r="I385" s="19">
        <v>3.2</v>
      </c>
      <c r="J385" s="20">
        <v>3.2</v>
      </c>
    </row>
    <row r="386" spans="1:10" ht="15.75" thickBot="1" x14ac:dyDescent="0.3">
      <c r="A386" t="s">
        <v>31</v>
      </c>
      <c r="B386" s="15" t="str">
        <f>"""Manzana NAV"",""MANZANA"",""99000772"",""44"","" "",""22"",""False"",""43"",""0.00000000000000000000"",""12"",""BULK ORG Blend Intermediary Sauce (100% VC)"",""50220"",""False"",""29"","""",""50210"",""True"",""18"","""",""11"",""ISC06"",""2"",""40000"",""1"",""ISCU001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(100% VC)","50220","False","29","","50210","True","18","","11","ISC06","2","40000","1","ISCU001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6" s="15"/>
      <c r="D386" s="16" t="str">
        <f>"ISCU001"</f>
        <v>ISCU001</v>
      </c>
      <c r="E386" s="16">
        <v>40000</v>
      </c>
      <c r="F386" s="16" t="str">
        <f>"ISC06"</f>
        <v>ISC06</v>
      </c>
      <c r="G386" s="17" t="str">
        <f>"BULK ORG Blend Intermediary Sauce (100% VC)"</f>
        <v>BULK ORG Blend Intermediary Sauce (100% VC)</v>
      </c>
      <c r="H386" s="18" t="str">
        <f t="shared" si="51"/>
        <v>OZ</v>
      </c>
      <c r="I386" s="19">
        <v>4</v>
      </c>
      <c r="J386" s="20">
        <v>4</v>
      </c>
    </row>
    <row r="387" spans="1:10" ht="15.75" thickBot="1" x14ac:dyDescent="0.3">
      <c r="A387" t="s">
        <v>31</v>
      </c>
      <c r="B387" s="15" t="str">
        <f>"""Manzana NAV"",""MANZANA"",""99000772"",""44"","" "",""22"",""False"",""43"",""0.00000000000000000000"",""12"",""BULK ORG Blend Intermediary Sauce (100% VC)"",""50220"",""False"",""29"","""",""50210"",""True"",""18"","""",""11"",""ISC06"",""2"",""40000"",""1"",""ISCU011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(100% VC)","50220","False","29","","50210","True","18","","11","ISC06","2","40000","1","ISCU011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7" s="15"/>
      <c r="D387" s="16" t="str">
        <f>"ISCU011"</f>
        <v>ISCU011</v>
      </c>
      <c r="E387" s="16">
        <v>40000</v>
      </c>
      <c r="F387" s="16" t="str">
        <f>"ISC06"</f>
        <v>ISC06</v>
      </c>
      <c r="G387" s="17" t="str">
        <f>"BULK ORG Blend Intermediary Sauce (100% VC)"</f>
        <v>BULK ORG Blend Intermediary Sauce (100% VC)</v>
      </c>
      <c r="H387" s="18" t="str">
        <f t="shared" si="51"/>
        <v>OZ</v>
      </c>
      <c r="I387" s="19">
        <v>4</v>
      </c>
      <c r="J387" s="20">
        <v>4</v>
      </c>
    </row>
    <row r="388" spans="1:10" ht="15.75" thickBot="1" x14ac:dyDescent="0.3">
      <c r="A388" t="s">
        <v>31</v>
      </c>
      <c r="B388" s="15" t="str">
        <f>"""Manzana NAV"",""MANZANA"",""99000772"",""44"","" "",""22"",""False"",""43"",""0.00000000000000000000"",""12"",""BULK ORG Blend Intermediary Sauce (100% VC)"",""50220"",""False"",""29"","""",""50210"",""True"",""18"","""",""11"",""ISC06"",""2"",""40000"",""1"",""ISCU019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(100% VC)","50220","False","29","","50210","True","18","","11","ISC06","2","40000","1","ISCU019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8" s="15"/>
      <c r="D388" s="16" t="str">
        <f>"ISCU019"</f>
        <v>ISCU019</v>
      </c>
      <c r="E388" s="16">
        <v>40000</v>
      </c>
      <c r="F388" s="16" t="str">
        <f>"ISC06"</f>
        <v>ISC06</v>
      </c>
      <c r="G388" s="17" t="str">
        <f>"BULK ORG Blend Intermediary Sauce (100% VC)"</f>
        <v>BULK ORG Blend Intermediary Sauce (100% VC)</v>
      </c>
      <c r="H388" s="18" t="str">
        <f t="shared" si="51"/>
        <v>OZ</v>
      </c>
      <c r="I388" s="19">
        <v>4</v>
      </c>
      <c r="J388" s="20">
        <v>4</v>
      </c>
    </row>
    <row r="389" spans="1:10" ht="15.75" thickBot="1" x14ac:dyDescent="0.3">
      <c r="A389" t="s">
        <v>31</v>
      </c>
      <c r="B389" s="15" t="str">
        <f>"""Manzana NAV"",""MANZANA"",""99000772"",""44"","" "",""22"",""False"",""43"",""0.00000000000000000000"",""12"",""BULK ORG Blend Intermediary Sauce (2% VC)"",""50220"",""False"",""29"","""",""50210"",""True"",""18"","""",""11"",""ISC05"",""2"",""30000"",""1"",""ISP0024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30000","1","ISP0024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89" s="15"/>
      <c r="D389" s="16" t="str">
        <f>"ISP0024"</f>
        <v>ISP0024</v>
      </c>
      <c r="E389" s="16">
        <v>30000</v>
      </c>
      <c r="F389" s="16" t="str">
        <f t="shared" ref="F389:F395" si="52">"ISC05"</f>
        <v>ISC05</v>
      </c>
      <c r="G389" s="17" t="str">
        <f t="shared" ref="G389:G395" si="53">"BULK ORG Blend Intermediary Sauce (2% VC)"</f>
        <v>BULK ORG Blend Intermediary Sauce (2% VC)</v>
      </c>
      <c r="H389" s="18" t="str">
        <f t="shared" si="51"/>
        <v>OZ</v>
      </c>
      <c r="I389" s="19">
        <v>3.2</v>
      </c>
      <c r="J389" s="20">
        <v>3.2</v>
      </c>
    </row>
    <row r="390" spans="1:10" ht="15.75" thickBot="1" x14ac:dyDescent="0.3">
      <c r="A390" t="s">
        <v>31</v>
      </c>
      <c r="B390" s="15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CU007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CU007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90" s="15"/>
      <c r="D390" s="16" t="str">
        <f>"ISCU007"</f>
        <v>ISCU007</v>
      </c>
      <c r="E390" s="16">
        <v>40000</v>
      </c>
      <c r="F390" s="16" t="str">
        <f t="shared" si="52"/>
        <v>ISC05</v>
      </c>
      <c r="G390" s="17" t="str">
        <f t="shared" si="53"/>
        <v>BULK ORG Blend Intermediary Sauce (2% VC)</v>
      </c>
      <c r="H390" s="18" t="str">
        <f t="shared" si="51"/>
        <v>OZ</v>
      </c>
      <c r="I390" s="19">
        <v>4</v>
      </c>
      <c r="J390" s="20">
        <v>4</v>
      </c>
    </row>
    <row r="391" spans="1:10" ht="15.75" thickBot="1" x14ac:dyDescent="0.3">
      <c r="A391" t="s">
        <v>31</v>
      </c>
      <c r="B391" s="15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CU014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CU014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91" s="15"/>
      <c r="D391" s="16" t="str">
        <f>"ISCU014"</f>
        <v>ISCU014</v>
      </c>
      <c r="E391" s="16">
        <v>40000</v>
      </c>
      <c r="F391" s="16" t="str">
        <f t="shared" si="52"/>
        <v>ISC05</v>
      </c>
      <c r="G391" s="17" t="str">
        <f t="shared" si="53"/>
        <v>BULK ORG Blend Intermediary Sauce (2% VC)</v>
      </c>
      <c r="H391" s="18" t="str">
        <f t="shared" si="51"/>
        <v>OZ</v>
      </c>
      <c r="I391" s="19">
        <v>4</v>
      </c>
      <c r="J391" s="20">
        <v>4</v>
      </c>
    </row>
    <row r="392" spans="1:10" ht="15.75" thickBot="1" x14ac:dyDescent="0.3">
      <c r="A392" t="s">
        <v>31</v>
      </c>
      <c r="B392" s="15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J001"",""14"",""24.00000000000000000000"",""45"&amp;"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J001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92" s="15"/>
      <c r="D392" s="16" t="str">
        <f>"ISJ001"</f>
        <v>ISJ001</v>
      </c>
      <c r="E392" s="16">
        <v>40000</v>
      </c>
      <c r="F392" s="16" t="str">
        <f t="shared" si="52"/>
        <v>ISC05</v>
      </c>
      <c r="G392" s="17" t="str">
        <f t="shared" si="53"/>
        <v>BULK ORG Blend Intermediary Sauce (2% VC)</v>
      </c>
      <c r="H392" s="18" t="str">
        <f t="shared" si="51"/>
        <v>OZ</v>
      </c>
      <c r="I392" s="19">
        <v>24</v>
      </c>
      <c r="J392" s="20">
        <v>24</v>
      </c>
    </row>
    <row r="393" spans="1:10" ht="15.75" thickBot="1" x14ac:dyDescent="0.3">
      <c r="A393" t="s">
        <v>31</v>
      </c>
      <c r="B393" s="15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P0001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P0001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93" s="15"/>
      <c r="D393" s="16" t="str">
        <f>"ISP0001"</f>
        <v>ISP0001</v>
      </c>
      <c r="E393" s="16">
        <v>40000</v>
      </c>
      <c r="F393" s="16" t="str">
        <f t="shared" si="52"/>
        <v>ISC05</v>
      </c>
      <c r="G393" s="17" t="str">
        <f t="shared" si="53"/>
        <v>BULK ORG Blend Intermediary Sauce (2% VC)</v>
      </c>
      <c r="H393" s="18" t="str">
        <f t="shared" si="51"/>
        <v>OZ</v>
      </c>
      <c r="I393" s="19">
        <v>3.2</v>
      </c>
      <c r="J393" s="20">
        <v>3.2</v>
      </c>
    </row>
    <row r="394" spans="1:10" ht="15.75" thickBot="1" x14ac:dyDescent="0.3">
      <c r="A394" t="s">
        <v>31</v>
      </c>
      <c r="B394" s="15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P0004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P0004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94" s="15"/>
      <c r="D394" s="16" t="str">
        <f>"ISP0004"</f>
        <v>ISP0004</v>
      </c>
      <c r="E394" s="16">
        <v>40000</v>
      </c>
      <c r="F394" s="16" t="str">
        <f t="shared" si="52"/>
        <v>ISC05</v>
      </c>
      <c r="G394" s="17" t="str">
        <f t="shared" si="53"/>
        <v>BULK ORG Blend Intermediary Sauce (2% VC)</v>
      </c>
      <c r="H394" s="18" t="str">
        <f t="shared" si="51"/>
        <v>OZ</v>
      </c>
      <c r="I394" s="19">
        <v>3.2</v>
      </c>
      <c r="J394" s="20">
        <v>3.2</v>
      </c>
    </row>
    <row r="395" spans="1:10" ht="15.75" thickBot="1" x14ac:dyDescent="0.3">
      <c r="A395" t="s">
        <v>31</v>
      </c>
      <c r="B395" s="15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P0007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P0007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95" s="15"/>
      <c r="D395" s="16" t="str">
        <f>"ISP0007"</f>
        <v>ISP0007</v>
      </c>
      <c r="E395" s="16">
        <v>40000</v>
      </c>
      <c r="F395" s="16" t="str">
        <f t="shared" si="52"/>
        <v>ISC05</v>
      </c>
      <c r="G395" s="17" t="str">
        <f t="shared" si="53"/>
        <v>BULK ORG Blend Intermediary Sauce (2% VC)</v>
      </c>
      <c r="H395" s="18" t="str">
        <f t="shared" si="51"/>
        <v>OZ</v>
      </c>
      <c r="I395" s="19">
        <v>3.2</v>
      </c>
      <c r="J395" s="20">
        <v>3.2</v>
      </c>
    </row>
    <row r="396" spans="1:10" ht="15.75" thickBot="1" x14ac:dyDescent="0.3">
      <c r="A396" t="s">
        <v>31</v>
      </c>
      <c r="B396" s="15" t="str">
        <f>"""Manzana NAV"",""MANZANA"",""99000772"",""44"","" "",""22"",""False"",""43"",""0.00000000000000000000"",""12"",""BULK ORG Blend Intermediary Sauce-Italian (2% VC)"",""50220"",""False"",""29"","""",""50210"",""True"",""18"","""",""11"",""ISC38"",""2"",""30000"",""1"",""ISJ035"",""14"",""24.00000000000000000"&amp;"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Sauce-Italian (2% VC)","50220","False","29","","50210","True","18","","11","ISC38","2","30000","1","ISJ035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96" s="15"/>
      <c r="D396" s="16" t="str">
        <f>"ISJ035"</f>
        <v>ISJ035</v>
      </c>
      <c r="E396" s="16">
        <v>30000</v>
      </c>
      <c r="F396" s="16" t="str">
        <f>"ISC38"</f>
        <v>ISC38</v>
      </c>
      <c r="G396" s="17" t="str">
        <f>"BULK ORG Blend Intermediary Sauce-Italian (2% VC)"</f>
        <v>BULK ORG Blend Intermediary Sauce-Italian (2% VC)</v>
      </c>
      <c r="H396" s="18" t="str">
        <f t="shared" si="51"/>
        <v>OZ</v>
      </c>
      <c r="I396" s="19">
        <v>24</v>
      </c>
      <c r="J396" s="20">
        <v>24</v>
      </c>
    </row>
    <row r="397" spans="1:10" ht="15.75" thickBot="1" x14ac:dyDescent="0.3">
      <c r="A397" t="s">
        <v>31</v>
      </c>
      <c r="B397" s="15" t="str">
        <f>"""Manzana NAV"",""MANZANA"",""99000772"",""44"","" "",""22"",""False"",""43"",""0.00000000000000000000"",""12"",""BULK ORG Blend Juice - in TANK"",""50220"",""False"",""29"","""",""50210"",""False"",""18"","""",""11"",""FJ9990"",""2"",""10000"",""1"",""AP02"",""14"",""0.08000000000000000000"",""45"",""0.0800000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10000","1","AP02","14","0.08000000000000000000","45","0.08000000000000000000","19","","20","0.00000000000000000000","50000","0.00000000000000000000","50230","False","28","","10","Item","13","GAL","21","","3","","42","0.00000000000000000000","50200","False","41","0.00000000000000000000"</v>
      </c>
      <c r="C397" s="15"/>
      <c r="D397" s="16" t="str">
        <f>"AP02"</f>
        <v>AP02</v>
      </c>
      <c r="E397" s="16">
        <v>10000</v>
      </c>
      <c r="F397" s="16" t="str">
        <f t="shared" ref="F397:F412" si="54">"FJ9990"</f>
        <v>FJ9990</v>
      </c>
      <c r="G397" s="17" t="str">
        <f t="shared" ref="G397:G412" si="55">"BULK ORG Blend Juice - in TANK"</f>
        <v>BULK ORG Blend Juice - in TANK</v>
      </c>
      <c r="H397" s="18" t="str">
        <f t="shared" ref="H397:H412" si="56">"GAL"</f>
        <v>GAL</v>
      </c>
      <c r="I397" s="19">
        <v>0.08</v>
      </c>
      <c r="J397" s="20">
        <v>0.08</v>
      </c>
    </row>
    <row r="398" spans="1:10" ht="15.75" thickBot="1" x14ac:dyDescent="0.3">
      <c r="A398" t="s">
        <v>31</v>
      </c>
      <c r="B398" s="15" t="str">
        <f>"""Manzana NAV"",""MANZANA"",""99000772"",""44"","" "",""22"",""False"",""43"",""0.00000000000000000000"",""12"",""BULK ORG Blend Juice - in TANK"",""50220"",""False"",""29"","""",""50210"",""False"",""18"","""",""11"",""FJ9990"",""2"",""10000"",""1"",""FV9999LEAS"",""14"",""1.00000000000000000000"",""45"",""1.0"&amp;"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10000","1","FV9999LEAS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98" s="15"/>
      <c r="D398" s="16" t="str">
        <f>"FV9999LEAS"</f>
        <v>FV9999LEAS</v>
      </c>
      <c r="E398" s="16">
        <v>10000</v>
      </c>
      <c r="F398" s="16" t="str">
        <f t="shared" si="54"/>
        <v>FJ9990</v>
      </c>
      <c r="G398" s="17" t="str">
        <f t="shared" si="55"/>
        <v>BULK ORG Blend Juice - in TANK</v>
      </c>
      <c r="H398" s="18" t="str">
        <f t="shared" si="56"/>
        <v>GAL</v>
      </c>
      <c r="I398" s="19">
        <v>1</v>
      </c>
      <c r="J398" s="20">
        <v>1</v>
      </c>
    </row>
    <row r="399" spans="1:10" ht="15.75" thickBot="1" x14ac:dyDescent="0.3">
      <c r="A399" t="s">
        <v>31</v>
      </c>
      <c r="B399" s="15" t="str">
        <f>"""Manzana NAV"",""MANZANA"",""99000772"",""44"","" "",""22"",""False"",""43"",""0.00000000000000000000"",""12"",""BULK ORG Blend Juice - in TANK"",""50220"",""False"",""29"","""",""50210"",""False"",""18"","""",""11"",""FJ9990"",""2"",""10000"",""1"",""I0030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10000","1","I0030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99" s="15"/>
      <c r="D399" s="16" t="str">
        <f>"I0030"</f>
        <v>I0030</v>
      </c>
      <c r="E399" s="16">
        <v>10000</v>
      </c>
      <c r="F399" s="16" t="str">
        <f t="shared" si="54"/>
        <v>FJ9990</v>
      </c>
      <c r="G399" s="17" t="str">
        <f t="shared" si="55"/>
        <v>BULK ORG Blend Juice - in TANK</v>
      </c>
      <c r="H399" s="18" t="str">
        <f t="shared" si="56"/>
        <v>GAL</v>
      </c>
      <c r="I399" s="19">
        <v>1</v>
      </c>
      <c r="J399" s="20">
        <v>1</v>
      </c>
    </row>
    <row r="400" spans="1:10" ht="15.75" thickBot="1" x14ac:dyDescent="0.3">
      <c r="A400" t="s">
        <v>31</v>
      </c>
      <c r="B400" s="15" t="str">
        <f>"""Manzana NAV"",""MANZANA"",""99000772"",""44"","" "",""22"",""False"",""43"",""0.00000000000000000000"",""12"",""BULK ORG Blend Juice - in TANK"",""50220"",""False"",""29"","""",""50210"",""False"",""18"","""",""11"",""FJ9990"",""2"",""20000"",""1"",""IJ006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20000","1","IJ006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0" s="15"/>
      <c r="D400" s="16" t="str">
        <f>"IJ006"</f>
        <v>IJ006</v>
      </c>
      <c r="E400" s="16">
        <v>20000</v>
      </c>
      <c r="F400" s="16" t="str">
        <f t="shared" si="54"/>
        <v>FJ9990</v>
      </c>
      <c r="G400" s="17" t="str">
        <f t="shared" si="55"/>
        <v>BULK ORG Blend Juice - in TANK</v>
      </c>
      <c r="H400" s="18" t="str">
        <f t="shared" si="56"/>
        <v>GAL</v>
      </c>
      <c r="I400" s="19">
        <v>0.5</v>
      </c>
      <c r="J400" s="20">
        <v>0.5</v>
      </c>
    </row>
    <row r="401" spans="1:10" ht="15.75" thickBot="1" x14ac:dyDescent="0.3">
      <c r="A401" t="s">
        <v>31</v>
      </c>
      <c r="B401" s="15" t="str">
        <f>"""Manzana NAV"",""MANZANA"",""99000772"",""44"","" "",""22"",""False"",""43"",""0.00000000000000000000"",""12"",""BULK ORG Blend Juice - in TANK"",""50220"",""False"",""29"","""",""50210"",""False"",""18"","""",""11"",""FJ9990"",""2"",""20000"",""1"",""IJ042"",""14"",""0.07813000000000000000"",""45"",""0.078130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20000","1","IJ042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401" s="15"/>
      <c r="D401" s="16" t="str">
        <f>"IJ042"</f>
        <v>IJ042</v>
      </c>
      <c r="E401" s="16">
        <v>20000</v>
      </c>
      <c r="F401" s="16" t="str">
        <f t="shared" si="54"/>
        <v>FJ9990</v>
      </c>
      <c r="G401" s="17" t="str">
        <f t="shared" si="55"/>
        <v>BULK ORG Blend Juice - in TANK</v>
      </c>
      <c r="H401" s="18" t="str">
        <f t="shared" si="56"/>
        <v>GAL</v>
      </c>
      <c r="I401" s="19">
        <v>7.8130000000000005E-2</v>
      </c>
      <c r="J401" s="20">
        <v>7.8130000000000005E-2</v>
      </c>
    </row>
    <row r="402" spans="1:10" ht="15.75" thickBot="1" x14ac:dyDescent="0.3">
      <c r="A402" t="s">
        <v>31</v>
      </c>
      <c r="B402" s="15" t="str">
        <f>"""Manzana NAV"",""MANZANA"",""99000772"",""44"","" "",""22"",""False"",""43"",""0.00000000000000000000"",""12"",""BULK ORG Blend Juice - in TANK"",""50220"",""False"",""29"","""",""50210"",""False"",""18"","""",""11"",""FJ9990"",""2"",""30000"",""1"",""IJ003"",""14"",""0.37500000000000000000"",""45"",""0.375000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003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402" s="15"/>
      <c r="D402" s="16" t="str">
        <f>"IJ003"</f>
        <v>IJ003</v>
      </c>
      <c r="E402" s="16">
        <v>30000</v>
      </c>
      <c r="F402" s="16" t="str">
        <f t="shared" si="54"/>
        <v>FJ9990</v>
      </c>
      <c r="G402" s="17" t="str">
        <f t="shared" si="55"/>
        <v>BULK ORG Blend Juice - in TANK</v>
      </c>
      <c r="H402" s="18" t="str">
        <f t="shared" si="56"/>
        <v>GAL</v>
      </c>
      <c r="I402" s="19">
        <v>0.375</v>
      </c>
      <c r="J402" s="20">
        <v>0.375</v>
      </c>
    </row>
    <row r="403" spans="1:10" ht="15.75" thickBot="1" x14ac:dyDescent="0.3">
      <c r="A403" t="s">
        <v>31</v>
      </c>
      <c r="B403" s="15" t="str">
        <f>"""Manzana NAV"",""MANZANA"",""99000772"",""44"","" "",""22"",""False"",""43"",""0.00000000000000000000"",""12"",""BULK ORG Blend Juice - in TANK"",""50220"",""False"",""29"","""",""50210"",""False"",""18"","""",""11"",""FJ9990"",""2"",""30000"",""1"",""IJ004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004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3" s="15"/>
      <c r="D403" s="16" t="str">
        <f>"IJ004"</f>
        <v>IJ004</v>
      </c>
      <c r="E403" s="16">
        <v>30000</v>
      </c>
      <c r="F403" s="16" t="str">
        <f t="shared" si="54"/>
        <v>FJ9990</v>
      </c>
      <c r="G403" s="17" t="str">
        <f t="shared" si="55"/>
        <v>BULK ORG Blend Juice - in TANK</v>
      </c>
      <c r="H403" s="18" t="str">
        <f t="shared" si="56"/>
        <v>GAL</v>
      </c>
      <c r="I403" s="19">
        <v>0.5</v>
      </c>
      <c r="J403" s="20">
        <v>0.5</v>
      </c>
    </row>
    <row r="404" spans="1:10" ht="15.75" thickBot="1" x14ac:dyDescent="0.3">
      <c r="A404" t="s">
        <v>31</v>
      </c>
      <c r="B404" s="15" t="str">
        <f>"""Manzana NAV"",""MANZANA"",""99000772"",""44"","" "",""22"",""False"",""43"",""0.00000000000000000000"",""12"",""BULK ORG Blend Juice - in TANK"",""50220"",""False"",""29"","""",""50210"",""False"",""18"","""",""11"",""FJ9990"",""2"",""30000"",""1"",""IJ027"",""14"",""0.49234000000000000000"",""45"",""0.492340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027","14","0.49234000000000000000","45","0.49234000000000000000","19","","20","0.00000000000000000000","50000","0.00000000000000000000","50230","False","28","","10","Item","13","GAL","21","","3","","42","0.00000000000000000000","50200","False","41","0.00000000000000000000"</v>
      </c>
      <c r="C404" s="15"/>
      <c r="D404" s="16" t="str">
        <f>"IJ027"</f>
        <v>IJ027</v>
      </c>
      <c r="E404" s="16">
        <v>30000</v>
      </c>
      <c r="F404" s="16" t="str">
        <f t="shared" si="54"/>
        <v>FJ9990</v>
      </c>
      <c r="G404" s="17" t="str">
        <f t="shared" si="55"/>
        <v>BULK ORG Blend Juice - in TANK</v>
      </c>
      <c r="H404" s="18" t="str">
        <f t="shared" si="56"/>
        <v>GAL</v>
      </c>
      <c r="I404" s="19">
        <v>0.49234</v>
      </c>
      <c r="J404" s="20">
        <v>0.49234</v>
      </c>
    </row>
    <row r="405" spans="1:10" ht="15.75" thickBot="1" x14ac:dyDescent="0.3">
      <c r="A405" t="s">
        <v>31</v>
      </c>
      <c r="B405" s="15" t="str">
        <f>"""Manzana NAV"",""MANZANA"",""99000772"",""44"","" "",""22"",""False"",""43"",""0.00000000000000000000"",""12"",""BULK ORG Blend Juice - in TANK"",""50220"",""False"",""29"","""",""50210"",""False"",""18"","""",""11"",""FJ9990"",""2"",""30000"",""1"",""IJ031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031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5" s="15"/>
      <c r="D405" s="16" t="str">
        <f>"IJ031"</f>
        <v>IJ031</v>
      </c>
      <c r="E405" s="16">
        <v>30000</v>
      </c>
      <c r="F405" s="16" t="str">
        <f t="shared" si="54"/>
        <v>FJ9990</v>
      </c>
      <c r="G405" s="17" t="str">
        <f t="shared" si="55"/>
        <v>BULK ORG Blend Juice - in TANK</v>
      </c>
      <c r="H405" s="18" t="str">
        <f t="shared" si="56"/>
        <v>GAL</v>
      </c>
      <c r="I405" s="19">
        <v>0.5</v>
      </c>
      <c r="J405" s="20">
        <v>0.5</v>
      </c>
    </row>
    <row r="406" spans="1:10" ht="15.75" thickBot="1" x14ac:dyDescent="0.3">
      <c r="A406" t="s">
        <v>31</v>
      </c>
      <c r="B406" s="15" t="str">
        <f>"""Manzana NAV"",""MANZANA"",""99000772"",""44"","" "",""22"",""False"",""43"",""0.00000000000000000000"",""12"",""BULK ORG Blend Juice - in TANK"",""50220"",""False"",""29"","""",""50210"",""False"",""18"","""",""11"",""FJ9990"",""2"",""30000"",""1"",""IJT000"",""14"",""0.25000000000000000000"",""45"",""0.25000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T000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06" s="15"/>
      <c r="D406" s="16" t="str">
        <f>"IJT000"</f>
        <v>IJT000</v>
      </c>
      <c r="E406" s="16">
        <v>30000</v>
      </c>
      <c r="F406" s="16" t="str">
        <f t="shared" si="54"/>
        <v>FJ9990</v>
      </c>
      <c r="G406" s="17" t="str">
        <f t="shared" si="55"/>
        <v>BULK ORG Blend Juice - in TANK</v>
      </c>
      <c r="H406" s="18" t="str">
        <f t="shared" si="56"/>
        <v>GAL</v>
      </c>
      <c r="I406" s="19">
        <v>0.25</v>
      </c>
      <c r="J406" s="20">
        <v>0.25</v>
      </c>
    </row>
    <row r="407" spans="1:10" ht="15.75" thickBot="1" x14ac:dyDescent="0.3">
      <c r="A407" t="s">
        <v>31</v>
      </c>
      <c r="B407" s="15" t="str">
        <f>"""Manzana NAV"",""MANZANA"",""99000772"",""44"","" "",""22"",""False"",""43"",""0.00000000000000000000"",""12"",""BULK ORG Blend Juice - in TANK"",""50220"",""False"",""29"","""",""50210"",""False"",""18"","""",""11"",""FJ9990"",""2"",""40000"",""1"",""IJ002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J002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07" s="15"/>
      <c r="D407" s="16" t="str">
        <f>"IJ002"</f>
        <v>IJ002</v>
      </c>
      <c r="E407" s="16">
        <v>40000</v>
      </c>
      <c r="F407" s="16" t="str">
        <f t="shared" si="54"/>
        <v>FJ9990</v>
      </c>
      <c r="G407" s="17" t="str">
        <f t="shared" si="55"/>
        <v>BULK ORG Blend Juice - in TANK</v>
      </c>
      <c r="H407" s="18" t="str">
        <f t="shared" si="56"/>
        <v>GAL</v>
      </c>
      <c r="I407" s="19">
        <v>0.25</v>
      </c>
      <c r="J407" s="20">
        <v>0.25</v>
      </c>
    </row>
    <row r="408" spans="1:10" ht="15.75" thickBot="1" x14ac:dyDescent="0.3">
      <c r="A408" t="s">
        <v>31</v>
      </c>
      <c r="B408" s="15" t="str">
        <f>"""Manzana NAV"",""MANZANA"",""99000772"",""44"","" "",""22"",""False"",""43"",""0.00000000000000000000"",""12"",""BULK ORG Blend Juice - in TANK"",""50220"",""False"",""29"","""",""50210"",""False"",""18"","""",""11"",""FJ9990"",""2"",""40000"",""1"",""IJ005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J005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8" s="15"/>
      <c r="D408" s="16" t="str">
        <f>"IJ005"</f>
        <v>IJ005</v>
      </c>
      <c r="E408" s="16">
        <v>40000</v>
      </c>
      <c r="F408" s="16" t="str">
        <f t="shared" si="54"/>
        <v>FJ9990</v>
      </c>
      <c r="G408" s="17" t="str">
        <f t="shared" si="55"/>
        <v>BULK ORG Blend Juice - in TANK</v>
      </c>
      <c r="H408" s="18" t="str">
        <f t="shared" si="56"/>
        <v>GAL</v>
      </c>
      <c r="I408" s="19">
        <v>0.5</v>
      </c>
      <c r="J408" s="20">
        <v>0.5</v>
      </c>
    </row>
    <row r="409" spans="1:10" ht="15.75" thickBot="1" x14ac:dyDescent="0.3">
      <c r="A409" t="s">
        <v>31</v>
      </c>
      <c r="B409" s="15" t="str">
        <f>"""Manzana NAV"",""MANZANA"",""99000772"",""44"","" "",""22"",""False"",""43"",""0.00000000000000000000"",""12"",""BULK ORG Blend Juice - in TANK"",""50220"",""False"",""29"","""",""50210"",""False"",""18"","""",""11"",""FJ9990"",""2"",""40000"",""1"",""IJ008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J008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409" s="15"/>
      <c r="D409" s="16" t="str">
        <f>"IJ008"</f>
        <v>IJ008</v>
      </c>
      <c r="E409" s="16">
        <v>40000</v>
      </c>
      <c r="F409" s="16" t="str">
        <f t="shared" si="54"/>
        <v>FJ9990</v>
      </c>
      <c r="G409" s="17" t="str">
        <f t="shared" si="55"/>
        <v>BULK ORG Blend Juice - in TANK</v>
      </c>
      <c r="H409" s="18" t="str">
        <f t="shared" si="56"/>
        <v>GAL</v>
      </c>
      <c r="I409" s="19">
        <v>1</v>
      </c>
      <c r="J409" s="20">
        <v>1</v>
      </c>
    </row>
    <row r="410" spans="1:10" ht="15.75" thickBot="1" x14ac:dyDescent="0.3">
      <c r="A410" t="s">
        <v>31</v>
      </c>
      <c r="B410" s="15" t="str">
        <f>"""Manzana NAV"",""MANZANA"",""99000772"",""44"","" "",""22"",""False"",""43"",""0.00000000000000000000"",""12"",""BULK ORG Blend Juice - in TANK"",""50220"",""False"",""29"","""",""50210"",""False"",""18"","""",""11"",""FJ9990"",""2"",""40000"",""1"",""ISC34"",""14"",""0.00750000000000000000"",""45"",""0.007500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SC34","14","0.00750000000000000000","45","0.00750000000000000000","19","","20","0.00000000000000000000","50000","0.00000000000000000000","50230","False","28","","10","Item","13","GAL","21","","3","","42","0.00000000000000000000","50200","False","41","0.00000000000000000000"</v>
      </c>
      <c r="C410" s="15"/>
      <c r="D410" s="16" t="str">
        <f>"ISC34"</f>
        <v>ISC34</v>
      </c>
      <c r="E410" s="16">
        <v>40000</v>
      </c>
      <c r="F410" s="16" t="str">
        <f t="shared" si="54"/>
        <v>FJ9990</v>
      </c>
      <c r="G410" s="17" t="str">
        <f t="shared" si="55"/>
        <v>BULK ORG Blend Juice - in TANK</v>
      </c>
      <c r="H410" s="18" t="str">
        <f t="shared" si="56"/>
        <v>GAL</v>
      </c>
      <c r="I410" s="19">
        <v>7.4999999999999997E-3</v>
      </c>
      <c r="J410" s="20">
        <v>7.4999999999999997E-3</v>
      </c>
    </row>
    <row r="411" spans="1:10" ht="15.75" thickBot="1" x14ac:dyDescent="0.3">
      <c r="A411" t="s">
        <v>31</v>
      </c>
      <c r="B411" s="15" t="str">
        <f>"""Manzana NAV"",""MANZANA"",""99000772"",""44"","" "",""22"",""False"",""43"",""0.00000000000000000000"",""12"",""BULK ORG Blend Juice - in TANK"",""50220"",""False"",""29"","""",""50210"",""False"",""18"","""",""11"",""FJ9990"",""2"",""50000"",""1"",""IJ017"",""14"",""0.24617000000000000000"",""45"",""0.246170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50000","1","IJ017","14","0.24617000000000000000","45","0.24617000000000000000","19","","20","0.00000000000000000000","50000","0.00000000000000000000","50230","False","28","","10","Item","13","GAL","21","","3","","42","0.00000000000000000000","50200","False","41","0.00000000000000000000"</v>
      </c>
      <c r="C411" s="15"/>
      <c r="D411" s="16" t="str">
        <f>"IJ017"</f>
        <v>IJ017</v>
      </c>
      <c r="E411" s="16">
        <v>50000</v>
      </c>
      <c r="F411" s="16" t="str">
        <f t="shared" si="54"/>
        <v>FJ9990</v>
      </c>
      <c r="G411" s="17" t="str">
        <f t="shared" si="55"/>
        <v>BULK ORG Blend Juice - in TANK</v>
      </c>
      <c r="H411" s="18" t="str">
        <f t="shared" si="56"/>
        <v>GAL</v>
      </c>
      <c r="I411" s="19">
        <v>0.24617</v>
      </c>
      <c r="J411" s="20">
        <v>0.24617</v>
      </c>
    </row>
    <row r="412" spans="1:10" ht="15.75" thickBot="1" x14ac:dyDescent="0.3">
      <c r="A412" t="s">
        <v>31</v>
      </c>
      <c r="B412" s="15" t="str">
        <f>"""Manzana NAV"",""MANZANA"",""99000772"",""44"","" "",""22"",""False"",""43"",""0.00000000000000000000"",""12"",""BULK ORG Blend Juice - in TANK"",""50220"",""False"",""29"","""",""50210"",""False"",""18"","""",""11"",""FJ9990"",""2"",""50000"",""1"",""IJ020"",""14"",""0.24617000000000000000"",""45"",""0.246170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50000","1","IJ020","14","0.24617000000000000000","45","0.24617000000000000000","19","","20","0.00000000000000000000","50000","0.00000000000000000000","50230","False","28","","10","Item","13","GAL","21","","3","","42","0.00000000000000000000","50200","False","41","0.00000000000000000000"</v>
      </c>
      <c r="C412" s="15"/>
      <c r="D412" s="16" t="str">
        <f>"IJ020"</f>
        <v>IJ020</v>
      </c>
      <c r="E412" s="16">
        <v>50000</v>
      </c>
      <c r="F412" s="16" t="str">
        <f t="shared" si="54"/>
        <v>FJ9990</v>
      </c>
      <c r="G412" s="17" t="str">
        <f t="shared" si="55"/>
        <v>BULK ORG Blend Juice - in TANK</v>
      </c>
      <c r="H412" s="18" t="str">
        <f t="shared" si="56"/>
        <v>GAL</v>
      </c>
      <c r="I412" s="19">
        <v>0.24617</v>
      </c>
      <c r="J412" s="20">
        <v>0.24617</v>
      </c>
    </row>
    <row r="413" spans="1:10" ht="15.75" thickBot="1" x14ac:dyDescent="0.3">
      <c r="A413" t="s">
        <v>31</v>
      </c>
      <c r="B413" s="15" t="str">
        <f>"""Manzana NAV"",""MANZANA"",""99000772"",""44"","" "",""22"",""False"",""43"",""0.00000000000000000000"",""12"",""BULK ORG Blkbry Intermed Sce (2%VC)-MZapples/SGigd"",""50220"",""False"",""29"","""",""50210"",""True"",""18"","""",""11"",""ISC16"",""2"",""30000"",""1"",""ISJ034"",""14"",""24.0000000000000000"&amp;"0000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Blkbry Intermed Sce (2%VC)-MZapples/SGigd","50220","False","29","","50210","True","18","","11","ISC16","2","30000","1","ISJ034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13" s="15"/>
      <c r="D413" s="16" t="str">
        <f>"ISJ034"</f>
        <v>ISJ034</v>
      </c>
      <c r="E413" s="16">
        <v>30000</v>
      </c>
      <c r="F413" s="16" t="str">
        <f>"ISC16"</f>
        <v>ISC16</v>
      </c>
      <c r="G413" s="17" t="str">
        <f>"BULK ORG Blkbry Intermed Sce (2%VC)-MZapples/SGigd"</f>
        <v>BULK ORG Blkbry Intermed Sce (2%VC)-MZapples/SGigd</v>
      </c>
      <c r="H413" s="18" t="str">
        <f t="shared" ref="H413:H434" si="57">"OZ"</f>
        <v>OZ</v>
      </c>
      <c r="I413" s="19">
        <v>24</v>
      </c>
      <c r="J413" s="20">
        <v>24</v>
      </c>
    </row>
    <row r="414" spans="1:10" ht="15.75" thickBot="1" x14ac:dyDescent="0.3">
      <c r="A414" t="s">
        <v>31</v>
      </c>
      <c r="B414" s="15" t="str">
        <f>"""Manzana NAV"",""MANZANA"",""99000772"",""44"","" "",""22"",""False"",""43"",""0.00000000000000000000"",""12"",""BULK ORG Carrot Apple Sauce (2% VC)-TJ"",""50220"",""False"",""29"","""",""50210"",""True"",""18"","""",""11"",""ISC37"",""2"",""30000"",""1"",""ISP0018"",""14"",""3.20000000000000000000"",""45"","""&amp;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Carrot Apple Sauce (2% VC)-TJ","50220","False","29","","50210","True","18","","11","ISC37","2","30000","1","ISP0018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14" s="15"/>
      <c r="D414" s="16" t="str">
        <f>"ISP0018"</f>
        <v>ISP0018</v>
      </c>
      <c r="E414" s="16">
        <v>30000</v>
      </c>
      <c r="F414" s="16" t="str">
        <f>"ISC37"</f>
        <v>ISC37</v>
      </c>
      <c r="G414" s="17" t="str">
        <f>"BULK ORG Carrot Apple Sauce (2% VC)-TJ"</f>
        <v>BULK ORG Carrot Apple Sauce (2% VC)-TJ</v>
      </c>
      <c r="H414" s="18" t="str">
        <f t="shared" si="57"/>
        <v>OZ</v>
      </c>
      <c r="I414" s="19">
        <v>3.2</v>
      </c>
      <c r="J414" s="20">
        <v>3.2</v>
      </c>
    </row>
    <row r="415" spans="1:10" ht="15.75" thickBot="1" x14ac:dyDescent="0.3">
      <c r="A415" t="s">
        <v>31</v>
      </c>
      <c r="B415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30000"",""1"",""ISJ013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30000","1","ISJ013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15" s="15"/>
      <c r="D415" s="16" t="str">
        <f>"ISJ013"</f>
        <v>ISJ013</v>
      </c>
      <c r="E415" s="16">
        <v>30000</v>
      </c>
      <c r="F415" s="16" t="str">
        <f t="shared" ref="F415:F423" si="58">"ISC08"</f>
        <v>ISC08</v>
      </c>
      <c r="G415" s="17" t="str">
        <f t="shared" ref="G415:G423" si="59">"BULK ORG Cinnamon Intermediary Sauce (100% VC)"</f>
        <v>BULK ORG Cinnamon Intermediary Sauce (100% VC)</v>
      </c>
      <c r="H415" s="18" t="str">
        <f t="shared" si="57"/>
        <v>OZ</v>
      </c>
      <c r="I415" s="19">
        <v>24</v>
      </c>
      <c r="J415" s="20">
        <v>24</v>
      </c>
    </row>
    <row r="416" spans="1:10" ht="15.75" thickBot="1" x14ac:dyDescent="0.3">
      <c r="A416" t="s">
        <v>31</v>
      </c>
      <c r="B416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30000"",""1"",""ISP0025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30000","1","ISP0025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16" s="15"/>
      <c r="D416" s="16" t="str">
        <f>"ISP0025"</f>
        <v>ISP0025</v>
      </c>
      <c r="E416" s="16">
        <v>30000</v>
      </c>
      <c r="F416" s="16" t="str">
        <f t="shared" si="58"/>
        <v>ISC08</v>
      </c>
      <c r="G416" s="17" t="str">
        <f t="shared" si="59"/>
        <v>BULK ORG Cinnamon Intermediary Sauce (100% VC)</v>
      </c>
      <c r="H416" s="18" t="str">
        <f t="shared" si="57"/>
        <v>OZ</v>
      </c>
      <c r="I416" s="19">
        <v>3.2</v>
      </c>
      <c r="J416" s="20">
        <v>3.2</v>
      </c>
    </row>
    <row r="417" spans="1:10" ht="15.75" thickBot="1" x14ac:dyDescent="0.3">
      <c r="A417" t="s">
        <v>31</v>
      </c>
      <c r="B417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004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004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17" s="15"/>
      <c r="D417" s="16" t="str">
        <f>"ISCU004"</f>
        <v>ISCU004</v>
      </c>
      <c r="E417" s="16">
        <v>40000</v>
      </c>
      <c r="F417" s="16" t="str">
        <f t="shared" si="58"/>
        <v>ISC08</v>
      </c>
      <c r="G417" s="17" t="str">
        <f t="shared" si="59"/>
        <v>BULK ORG Cinnamon Intermediary Sauce (100% VC)</v>
      </c>
      <c r="H417" s="18" t="str">
        <f t="shared" si="57"/>
        <v>OZ</v>
      </c>
      <c r="I417" s="19">
        <v>4</v>
      </c>
      <c r="J417" s="20">
        <v>4</v>
      </c>
    </row>
    <row r="418" spans="1:10" ht="15.75" thickBot="1" x14ac:dyDescent="0.3">
      <c r="A418" t="s">
        <v>31</v>
      </c>
      <c r="B418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013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013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18" s="15"/>
      <c r="D418" s="16" t="str">
        <f>"ISCU013"</f>
        <v>ISCU013</v>
      </c>
      <c r="E418" s="16">
        <v>40000</v>
      </c>
      <c r="F418" s="16" t="str">
        <f t="shared" si="58"/>
        <v>ISC08</v>
      </c>
      <c r="G418" s="17" t="str">
        <f t="shared" si="59"/>
        <v>BULK ORG Cinnamon Intermediary Sauce (100% VC)</v>
      </c>
      <c r="H418" s="18" t="str">
        <f t="shared" si="57"/>
        <v>OZ</v>
      </c>
      <c r="I418" s="19">
        <v>4</v>
      </c>
      <c r="J418" s="20">
        <v>4</v>
      </c>
    </row>
    <row r="419" spans="1:10" ht="15.75" thickBot="1" x14ac:dyDescent="0.3">
      <c r="A419" t="s">
        <v>31</v>
      </c>
      <c r="B419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015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015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19" s="15"/>
      <c r="D419" s="16" t="str">
        <f>"ISCU015"</f>
        <v>ISCU015</v>
      </c>
      <c r="E419" s="16">
        <v>40000</v>
      </c>
      <c r="F419" s="16" t="str">
        <f t="shared" si="58"/>
        <v>ISC08</v>
      </c>
      <c r="G419" s="17" t="str">
        <f t="shared" si="59"/>
        <v>BULK ORG Cinnamon Intermediary Sauce (100% VC)</v>
      </c>
      <c r="H419" s="18" t="str">
        <f t="shared" si="57"/>
        <v>OZ</v>
      </c>
      <c r="I419" s="19">
        <v>4</v>
      </c>
      <c r="J419" s="20">
        <v>4</v>
      </c>
    </row>
    <row r="420" spans="1:10" ht="15.75" thickBot="1" x14ac:dyDescent="0.3">
      <c r="A420" t="s">
        <v>31</v>
      </c>
      <c r="B420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021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021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20" s="15"/>
      <c r="D420" s="16" t="str">
        <f>"ISCU021"</f>
        <v>ISCU021</v>
      </c>
      <c r="E420" s="16">
        <v>40000</v>
      </c>
      <c r="F420" s="16" t="str">
        <f t="shared" si="58"/>
        <v>ISC08</v>
      </c>
      <c r="G420" s="17" t="str">
        <f t="shared" si="59"/>
        <v>BULK ORG Cinnamon Intermediary Sauce (100% VC)</v>
      </c>
      <c r="H420" s="18" t="str">
        <f t="shared" si="57"/>
        <v>OZ</v>
      </c>
      <c r="I420" s="19">
        <v>4</v>
      </c>
      <c r="J420" s="20">
        <v>4</v>
      </c>
    </row>
    <row r="421" spans="1:10" ht="15.75" thickBot="1" x14ac:dyDescent="0.3">
      <c r="A421" t="s">
        <v>31</v>
      </c>
      <c r="B421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P0002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P0002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21" s="15"/>
      <c r="D421" s="16" t="str">
        <f>"ISP0002"</f>
        <v>ISP0002</v>
      </c>
      <c r="E421" s="16">
        <v>40000</v>
      </c>
      <c r="F421" s="16" t="str">
        <f t="shared" si="58"/>
        <v>ISC08</v>
      </c>
      <c r="G421" s="17" t="str">
        <f t="shared" si="59"/>
        <v>BULK ORG Cinnamon Intermediary Sauce (100% VC)</v>
      </c>
      <c r="H421" s="18" t="str">
        <f t="shared" si="57"/>
        <v>OZ</v>
      </c>
      <c r="I421" s="19">
        <v>3.2</v>
      </c>
      <c r="J421" s="20">
        <v>3.2</v>
      </c>
    </row>
    <row r="422" spans="1:10" ht="15.75" thickBot="1" x14ac:dyDescent="0.3">
      <c r="A422" t="s">
        <v>31</v>
      </c>
      <c r="B422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P0005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P0005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22" s="15"/>
      <c r="D422" s="16" t="str">
        <f>"ISP0005"</f>
        <v>ISP0005</v>
      </c>
      <c r="E422" s="16">
        <v>40000</v>
      </c>
      <c r="F422" s="16" t="str">
        <f t="shared" si="58"/>
        <v>ISC08</v>
      </c>
      <c r="G422" s="17" t="str">
        <f t="shared" si="59"/>
        <v>BULK ORG Cinnamon Intermediary Sauce (100% VC)</v>
      </c>
      <c r="H422" s="18" t="str">
        <f t="shared" si="57"/>
        <v>OZ</v>
      </c>
      <c r="I422" s="19">
        <v>3.2</v>
      </c>
      <c r="J422" s="20">
        <v>3.2</v>
      </c>
    </row>
    <row r="423" spans="1:10" ht="15.75" thickBot="1" x14ac:dyDescent="0.3">
      <c r="A423" t="s">
        <v>31</v>
      </c>
      <c r="B423" s="15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P0008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P0008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23" s="15"/>
      <c r="D423" s="16" t="str">
        <f>"ISP0008"</f>
        <v>ISP0008</v>
      </c>
      <c r="E423" s="16">
        <v>40000</v>
      </c>
      <c r="F423" s="16" t="str">
        <f t="shared" si="58"/>
        <v>ISC08</v>
      </c>
      <c r="G423" s="17" t="str">
        <f t="shared" si="59"/>
        <v>BULK ORG Cinnamon Intermediary Sauce (100% VC)</v>
      </c>
      <c r="H423" s="18" t="str">
        <f t="shared" si="57"/>
        <v>OZ</v>
      </c>
      <c r="I423" s="19">
        <v>3.2</v>
      </c>
      <c r="J423" s="20">
        <v>3.2</v>
      </c>
    </row>
    <row r="424" spans="1:10" ht="15.75" thickBot="1" x14ac:dyDescent="0.3">
      <c r="A424" t="s">
        <v>31</v>
      </c>
      <c r="B424" s="15" t="str">
        <f>"""Manzana NAV"",""MANZANA"",""99000772"",""44"","" "",""22"",""False"",""43"",""0.00000000000000000000"",""12"",""BULK ORG Coco Mango Intermediary Sauce (2% VC)"",""50220"",""False"",""29"","""",""50210"",""True"",""18"","""",""11"",""ISC30"",""2"",""20000"",""1"",""Z-ISP0012"",""14"",""3.500000000000000000"&amp;"00"",""45"",""3.50000000000000000000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Coco Mango Intermediary Sauce (2% VC)","50220","False","29","","50210","True","18","","11","ISC30","2","20000","1","Z-ISP0012","14","3.50000000000000000000","45","3.50000000000000000000","19","","20","0.00000000000000000000","50000","0.00000000000000000000","50230","False","28","","10","Item","13","OZ","21","","3","","42","0.00000000000000000000","50200","False","41","0.00000000000000000000"</v>
      </c>
      <c r="C424" s="15"/>
      <c r="D424" s="16" t="str">
        <f>"Z-ISP0012"</f>
        <v>Z-ISP0012</v>
      </c>
      <c r="E424" s="16">
        <v>20000</v>
      </c>
      <c r="F424" s="16" t="str">
        <f>"ISC30"</f>
        <v>ISC30</v>
      </c>
      <c r="G424" s="17" t="str">
        <f>"BULK ORG Coco Mango Intermediary Sauce (2% VC)"</f>
        <v>BULK ORG Coco Mango Intermediary Sauce (2% VC)</v>
      </c>
      <c r="H424" s="18" t="str">
        <f t="shared" si="57"/>
        <v>OZ</v>
      </c>
      <c r="I424" s="19">
        <v>3.5</v>
      </c>
      <c r="J424" s="20">
        <v>3.5</v>
      </c>
    </row>
    <row r="425" spans="1:10" ht="15.75" thickBot="1" x14ac:dyDescent="0.3">
      <c r="A425" t="s">
        <v>31</v>
      </c>
      <c r="B425" s="15" t="str">
        <f>"""Manzana NAV"",""MANZANA"",""99000772"",""44"","" "",""22"",""False"",""43"",""0.00000000000000000000"",""12"",""BULK ORG Coco Mango Intermediary Sauce (2% VC)"",""50220"",""False"",""29"","""",""50210"",""True"",""18"","""",""11"",""ISC30"",""2"",""30000"",""1"",""ISJ031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Coco Mango Intermediary Sauce (2% VC)","50220","False","29","","50210","True","18","","11","ISC30","2","30000","1","ISJ031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5" s="15"/>
      <c r="D425" s="16" t="str">
        <f>"ISJ031"</f>
        <v>ISJ031</v>
      </c>
      <c r="E425" s="16">
        <v>30000</v>
      </c>
      <c r="F425" s="16" t="str">
        <f>"ISC30"</f>
        <v>ISC30</v>
      </c>
      <c r="G425" s="17" t="str">
        <f>"BULK ORG Coco Mango Intermediary Sauce (2% VC)"</f>
        <v>BULK ORG Coco Mango Intermediary Sauce (2% VC)</v>
      </c>
      <c r="H425" s="18" t="str">
        <f t="shared" si="57"/>
        <v>OZ</v>
      </c>
      <c r="I425" s="19">
        <v>24</v>
      </c>
      <c r="J425" s="20">
        <v>24</v>
      </c>
    </row>
    <row r="426" spans="1:10" ht="15.75" thickBot="1" x14ac:dyDescent="0.3">
      <c r="A426" t="s">
        <v>31</v>
      </c>
      <c r="B426" s="15" t="str">
        <f>"""Manzana NAV"",""MANZANA"",""99000772"",""44"","" "",""22"",""False"",""43"",""0.00000000000000000000"",""12"",""BULK ORG Co-Pack Apricot Intermed. Sauce (2% VC)"",""50220"",""False"",""29"","""",""50210"",""True"",""18"","""",""11"",""ISC23"",""2"",""30000"",""1"",""ISJ023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Apricot Intermed. Sauce (2% VC)","50220","False","29","","50210","True","18","","11","ISC23","2","30000","1","ISJ023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6" s="15"/>
      <c r="D426" s="16" t="str">
        <f>"ISJ023"</f>
        <v>ISJ023</v>
      </c>
      <c r="E426" s="16">
        <v>30000</v>
      </c>
      <c r="F426" s="16" t="str">
        <f>"ISC23"</f>
        <v>ISC23</v>
      </c>
      <c r="G426" s="17" t="str">
        <f>"BULK ORG Co-Pack Apricot Intermed. Sauce (2% VC)"</f>
        <v>BULK ORG Co-Pack Apricot Intermed. Sauce (2% VC)</v>
      </c>
      <c r="H426" s="18" t="str">
        <f t="shared" si="57"/>
        <v>OZ</v>
      </c>
      <c r="I426" s="19">
        <v>24</v>
      </c>
      <c r="J426" s="20">
        <v>24</v>
      </c>
    </row>
    <row r="427" spans="1:10" ht="15.75" thickBot="1" x14ac:dyDescent="0.3">
      <c r="A427" t="s">
        <v>31</v>
      </c>
      <c r="B427" s="15" t="str">
        <f>"""Manzana NAV"",""MANZANA"",""99000772"",""44"","" "",""22"",""False"",""43"",""0.00000000000000000000"",""12"",""BULK ORG Co-Pack Berry Intermediary Sce (2% VC)"",""50220"",""False"",""29"","""",""50210"",""True"",""18"","""",""11"",""ISC14"",""2"",""30000"",""1"",""ISJ025"",""14"",""24.0000000000000000000"&amp;"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Berry Intermediary Sce (2% VC)","50220","False","29","","50210","True","18","","11","ISC14","2","30000","1","ISJ025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7" s="15"/>
      <c r="D427" s="16" t="str">
        <f>"ISJ025"</f>
        <v>ISJ025</v>
      </c>
      <c r="E427" s="16">
        <v>30000</v>
      </c>
      <c r="F427" s="16" t="str">
        <f>"ISC14"</f>
        <v>ISC14</v>
      </c>
      <c r="G427" s="17" t="str">
        <f>"BULK ORG Co-Pack Berry Intermediary Sce (2% VC)"</f>
        <v>BULK ORG Co-Pack Berry Intermediary Sce (2% VC)</v>
      </c>
      <c r="H427" s="18" t="str">
        <f t="shared" si="57"/>
        <v>OZ</v>
      </c>
      <c r="I427" s="19">
        <v>24</v>
      </c>
      <c r="J427" s="20">
        <v>24</v>
      </c>
    </row>
    <row r="428" spans="1:10" ht="15.75" thickBot="1" x14ac:dyDescent="0.3">
      <c r="A428" t="s">
        <v>31</v>
      </c>
      <c r="B428" s="15" t="str">
        <f>"""Manzana NAV"",""MANZANA"",""99000772"",""44"","" "",""22"",""False"",""43"",""0.00000000000000000000"",""12"",""BULK ORG Co-Pack Blackberry Int. Sauce (100% VC)"",""50220"",""False"",""29"","""",""50210"",""True"",""18"","""",""11"",""ISC25"",""2"",""30000"",""1"",""ISJ026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Blackberry Int. Sauce (100% VC)","50220","False","29","","50210","True","18","","11","ISC25","2","30000","1","ISJ026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8" s="15"/>
      <c r="D428" s="16" t="str">
        <f>"ISJ026"</f>
        <v>ISJ026</v>
      </c>
      <c r="E428" s="16">
        <v>30000</v>
      </c>
      <c r="F428" s="16" t="str">
        <f>"ISC25"</f>
        <v>ISC25</v>
      </c>
      <c r="G428" s="17" t="str">
        <f>"BULK ORG Co-Pack Blackberry Int. Sauce (100% VC)"</f>
        <v>BULK ORG Co-Pack Blackberry Int. Sauce (100% VC)</v>
      </c>
      <c r="H428" s="18" t="str">
        <f t="shared" si="57"/>
        <v>OZ</v>
      </c>
      <c r="I428" s="19">
        <v>24</v>
      </c>
      <c r="J428" s="20">
        <v>24</v>
      </c>
    </row>
    <row r="429" spans="1:10" ht="15.75" thickBot="1" x14ac:dyDescent="0.3">
      <c r="A429" t="s">
        <v>31</v>
      </c>
      <c r="B429" s="15" t="str">
        <f>"""Manzana NAV"",""MANZANA"",""99000772"",""44"","" "",""22"",""False"",""43"",""0.00000000000000000000"",""12"",""BULK ORG Co-Pack Blend Intermediary Sauce (2% VC)"",""50220"",""False"",""29"","""",""50210"",""True"",""18"","""",""11"",""ISC11"",""2"",""30000"",""1"",""ISJ020"",""14"",""24.00000000000000000"&amp;"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Blend Intermediary Sauce (2% VC)","50220","False","29","","50210","True","18","","11","ISC11","2","30000","1","ISJ020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9" s="15"/>
      <c r="D429" s="16" t="str">
        <f>"ISJ020"</f>
        <v>ISJ020</v>
      </c>
      <c r="E429" s="16">
        <v>30000</v>
      </c>
      <c r="F429" s="16" t="str">
        <f>"ISC11"</f>
        <v>ISC11</v>
      </c>
      <c r="G429" s="17" t="str">
        <f>"BULK ORG Co-Pack Blend Intermediary Sauce (2% VC)"</f>
        <v>BULK ORG Co-Pack Blend Intermediary Sauce (2% VC)</v>
      </c>
      <c r="H429" s="18" t="str">
        <f t="shared" si="57"/>
        <v>OZ</v>
      </c>
      <c r="I429" s="19">
        <v>24</v>
      </c>
      <c r="J429" s="20">
        <v>24</v>
      </c>
    </row>
    <row r="430" spans="1:10" ht="15.75" thickBot="1" x14ac:dyDescent="0.3">
      <c r="A430" t="s">
        <v>31</v>
      </c>
      <c r="B430" s="15" t="str">
        <f>"""Manzana NAV"",""MANZANA"",""99000772"",""44"","" "",""22"",""False"",""43"",""0.00000000000000000000"",""12"",""BULK ORG Co-Pack Cinn Intermed Sauce (100% VC)"",""50220"",""False"",""29"","""",""50210"",""True"",""18"","""",""11"",""ISC13"",""2"",""30000"",""1"",""ISJ022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Cinn Intermed Sauce (100% VC)","50220","False","29","","50210","True","18","","11","ISC13","2","30000","1","ISJ022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0" s="15"/>
      <c r="D430" s="16" t="str">
        <f>"ISJ022"</f>
        <v>ISJ022</v>
      </c>
      <c r="E430" s="16">
        <v>30000</v>
      </c>
      <c r="F430" s="16" t="str">
        <f>"ISC13"</f>
        <v>ISC13</v>
      </c>
      <c r="G430" s="17" t="str">
        <f>"BULK ORG Co-Pack Cinn Intermed Sauce (100% VC)"</f>
        <v>BULK ORG Co-Pack Cinn Intermed Sauce (100% VC)</v>
      </c>
      <c r="H430" s="18" t="str">
        <f t="shared" si="57"/>
        <v>OZ</v>
      </c>
      <c r="I430" s="19">
        <v>24</v>
      </c>
      <c r="J430" s="20">
        <v>24</v>
      </c>
    </row>
    <row r="431" spans="1:10" ht="15.75" thickBot="1" x14ac:dyDescent="0.3">
      <c r="A431" t="s">
        <v>31</v>
      </c>
      <c r="B431" s="15" t="str">
        <f>"""Manzana NAV"",""MANZANA"",""99000772"",""44"","" "",""22"",""False"",""43"",""0.00000000000000000000"",""12"",""BULK ORG Co-Pack GRAV Intermediary Sauce (2% VC)"",""50220"",""False"",""29"","""",""50210"",""True"",""18"","""",""11"",""ISC12"",""2"",""30000"",""1"",""ISJ021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GRAV Intermediary Sauce (2% VC)","50220","False","29","","50210","True","18","","11","ISC12","2","30000","1","ISJ021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1" s="15"/>
      <c r="D431" s="16" t="str">
        <f>"ISJ021"</f>
        <v>ISJ021</v>
      </c>
      <c r="E431" s="16">
        <v>30000</v>
      </c>
      <c r="F431" s="16" t="str">
        <f>"ISC12"</f>
        <v>ISC12</v>
      </c>
      <c r="G431" s="17" t="str">
        <f>"BULK ORG Co-Pack GRAV Intermediary Sauce (2% VC)"</f>
        <v>BULK ORG Co-Pack GRAV Intermediary Sauce (2% VC)</v>
      </c>
      <c r="H431" s="18" t="str">
        <f t="shared" si="57"/>
        <v>OZ</v>
      </c>
      <c r="I431" s="19">
        <v>24</v>
      </c>
      <c r="J431" s="20">
        <v>24</v>
      </c>
    </row>
    <row r="432" spans="1:10" ht="15.75" thickBot="1" x14ac:dyDescent="0.3">
      <c r="A432" t="s">
        <v>31</v>
      </c>
      <c r="B432" s="15" t="str">
        <f>"""Manzana NAV"",""MANZANA"",""99000772"",""44"","" "",""22"",""False"",""43"",""0.00000000000000000000"",""12"",""BULK ORG Co-Pack Peach Intermed. Sauce (2% VC)"",""50220"",""False"",""29"","""",""50210"",""True"",""18"","""",""11"",""ISC24"",""2"",""30000"",""1"",""ISJ024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Peach Intermed. Sauce (2% VC)","50220","False","29","","50210","True","18","","11","ISC24","2","30000","1","ISJ024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2" s="15"/>
      <c r="D432" s="16" t="str">
        <f>"ISJ024"</f>
        <v>ISJ024</v>
      </c>
      <c r="E432" s="16">
        <v>30000</v>
      </c>
      <c r="F432" s="16" t="str">
        <f>"ISC24"</f>
        <v>ISC24</v>
      </c>
      <c r="G432" s="17" t="str">
        <f>"BULK ORG Co-Pack Peach Intermed. Sauce (2% VC)"</f>
        <v>BULK ORG Co-Pack Peach Intermed. Sauce (2% VC)</v>
      </c>
      <c r="H432" s="18" t="str">
        <f t="shared" si="57"/>
        <v>OZ</v>
      </c>
      <c r="I432" s="19">
        <v>24</v>
      </c>
      <c r="J432" s="20">
        <v>24</v>
      </c>
    </row>
    <row r="433" spans="1:10" ht="15.75" thickBot="1" x14ac:dyDescent="0.3">
      <c r="A433" t="s">
        <v>31</v>
      </c>
      <c r="B433" s="15" t="str">
        <f>"""Manzana NAV"",""MANZANA"",""99000772"",""44"","" "",""22"",""False"",""43"",""0.00000000000000000000"",""12"",""BULK ORG Co-Pack Raspberry Int. Sauce (100% VC)"",""50220"",""False"",""29"","""",""50210"",""True"",""18"","""",""11"",""ISC26"",""2"",""30000"",""1"",""ISJ027"",""14"",""24.0000000000000000000"&amp;"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Raspberry Int. Sauce (100% VC)","50220","False","29","","50210","True","18","","11","ISC26","2","30000","1","ISJ027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3" s="15"/>
      <c r="D433" s="16" t="str">
        <f>"ISJ027"</f>
        <v>ISJ027</v>
      </c>
      <c r="E433" s="16">
        <v>30000</v>
      </c>
      <c r="F433" s="16" t="str">
        <f>"ISC26"</f>
        <v>ISC26</v>
      </c>
      <c r="G433" s="17" t="str">
        <f>"BULK ORG Co-Pack Raspberry Int. Sauce (100% VC)"</f>
        <v>BULK ORG Co-Pack Raspberry Int. Sauce (100% VC)</v>
      </c>
      <c r="H433" s="18" t="str">
        <f t="shared" si="57"/>
        <v>OZ</v>
      </c>
      <c r="I433" s="19">
        <v>24</v>
      </c>
      <c r="J433" s="20">
        <v>24</v>
      </c>
    </row>
    <row r="434" spans="1:10" ht="15.75" thickBot="1" x14ac:dyDescent="0.3">
      <c r="A434" t="s">
        <v>31</v>
      </c>
      <c r="B434" s="15" t="str">
        <f>"""Manzana NAV"",""MANZANA"",""99000772"",""44"","" "",""22"",""False"",""43"",""0.00000000000000000000"",""12"",""BULK ORG COPK Raspberry Int. Sauce (100% VC)"",""50220"",""False"",""29"","""",""50210"",""True"",""18"","""",""11"",""ISC26"",""2"",""40000"",""1"",""FS0074"",""14"",""12.00000000000000000000"","&amp;"""45"",""12.00000000000000000000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COPK Raspberry Int. Sauce (100% VC)","50220","False","29","","50210","True","18","","11","ISC26","2","40000","1","FS0074","14","12.00000000000000000000","45","12.00000000000000000000","19","","20","0.00000000000000000000","50000","0.00000000000000000000","50230","False","28","","10","Item","13","OZ","21","","3","","42","0.00000000000000000000","50200","False","41","0.00000000000000000000"</v>
      </c>
      <c r="C434" s="15"/>
      <c r="D434" s="16" t="str">
        <f>"FS0074"</f>
        <v>FS0074</v>
      </c>
      <c r="E434" s="16">
        <v>40000</v>
      </c>
      <c r="F434" s="16" t="str">
        <f>"ISC26"</f>
        <v>ISC26</v>
      </c>
      <c r="G434" s="17" t="str">
        <f>"BULK ORG COPK Raspberry Int. Sauce (100% VC)"</f>
        <v>BULK ORG COPK Raspberry Int. Sauce (100% VC)</v>
      </c>
      <c r="H434" s="18" t="str">
        <f t="shared" si="57"/>
        <v>OZ</v>
      </c>
      <c r="I434" s="19">
        <v>12</v>
      </c>
      <c r="J434" s="20">
        <v>12</v>
      </c>
    </row>
    <row r="435" spans="1:10" ht="15.75" thickBot="1" x14ac:dyDescent="0.3">
      <c r="A435" t="s">
        <v>31</v>
      </c>
      <c r="B435" s="15" t="str">
        <f>"""Manzana NAV"",""MANZANA"",""99000772"",""44"","" "",""22"",""False"",""43"",""0.00000000000000000000"",""12"",""BULK ORG GALA Juice - in TANK"",""50220"",""False"",""29"","""",""50210"",""False"",""18"","""",""11"",""FJ9960"",""2"",""40000"",""1"",""IJ011"",""14"",""0.25000000000000000000"",""45"",""0.2500000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GALA Juice - in TANK","50220","False","29","","50210","False","18","","11","FJ9960","2","40000","1","IJ011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35" s="15"/>
      <c r="D435" s="16" t="str">
        <f>"IJ011"</f>
        <v>IJ011</v>
      </c>
      <c r="E435" s="16">
        <v>40000</v>
      </c>
      <c r="F435" s="16" t="str">
        <f>"FJ9960"</f>
        <v>FJ9960</v>
      </c>
      <c r="G435" s="17" t="str">
        <f>"BULK ORG GALA Juice - in TANK"</f>
        <v>BULK ORG GALA Juice - in TANK</v>
      </c>
      <c r="H435" s="18" t="str">
        <f>"GAL"</f>
        <v>GAL</v>
      </c>
      <c r="I435" s="19">
        <v>0.25</v>
      </c>
      <c r="J435" s="20">
        <v>0.25</v>
      </c>
    </row>
    <row r="436" spans="1:10" ht="15.75" thickBot="1" x14ac:dyDescent="0.3">
      <c r="A436" t="s">
        <v>31</v>
      </c>
      <c r="B436" s="15" t="str">
        <f>"""Manzana NAV"",""MANZANA"",""99000772"",""44"","" "",""22"",""False"",""43"",""0.00000000000000000000"",""12"",""BULK ORG GRAV Intermediary Sauce (2% VC)"",""50220"",""False"",""29"","""",""50210"",""True"",""18"","""",""11"",""ISC07"",""2"",""30000"",""1"",""ISJ003"",""14"",""24.00000000000000000000"",""45"""&amp;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GRAV Intermediary Sauce (2% VC)","50220","False","29","","50210","True","18","","11","ISC07","2","30000","1","ISJ003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6" s="15"/>
      <c r="D436" s="16" t="str">
        <f>"ISJ003"</f>
        <v>ISJ003</v>
      </c>
      <c r="E436" s="16">
        <v>30000</v>
      </c>
      <c r="F436" s="16" t="str">
        <f>"ISC07"</f>
        <v>ISC07</v>
      </c>
      <c r="G436" s="17" t="str">
        <f>"BULK ORG GRAV Intermediary Sauce (2% VC)"</f>
        <v>BULK ORG GRAV Intermediary Sauce (2% VC)</v>
      </c>
      <c r="H436" s="18" t="str">
        <f>"OZ"</f>
        <v>OZ</v>
      </c>
      <c r="I436" s="19">
        <v>24</v>
      </c>
      <c r="J436" s="20">
        <v>24</v>
      </c>
    </row>
    <row r="437" spans="1:10" ht="15.75" thickBot="1" x14ac:dyDescent="0.3">
      <c r="A437" t="s">
        <v>31</v>
      </c>
      <c r="B437" s="15" t="str">
        <f>"""Manzana NAV"",""MANZANA"",""99000772"",""44"","" "",""22"",""False"",""43"",""0.00000000000000000000"",""12"",""BULK ORG GRAV Juice - in TANK"",""50220"",""False"",""29"","""",""50210"",""False"",""18"","""",""11"",""FJ9980"",""2"",""10000"",""1"",""FJ9982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10000","1","FJ9982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437" s="15"/>
      <c r="D437" s="16" t="str">
        <f>"FJ9982"</f>
        <v>FJ9982</v>
      </c>
      <c r="E437" s="16">
        <v>10000</v>
      </c>
      <c r="F437" s="16" t="str">
        <f t="shared" ref="F437:F442" si="60">"FJ9980"</f>
        <v>FJ9980</v>
      </c>
      <c r="G437" s="17" t="str">
        <f t="shared" ref="G437:G442" si="61">"BULK ORG GRAV Juice - in TANK"</f>
        <v>BULK ORG GRAV Juice - in TANK</v>
      </c>
      <c r="H437" s="18" t="str">
        <f t="shared" ref="H437:H444" si="62">"GAL"</f>
        <v>GAL</v>
      </c>
      <c r="I437" s="19">
        <v>1</v>
      </c>
      <c r="J437" s="20">
        <v>1</v>
      </c>
    </row>
    <row r="438" spans="1:10" ht="15.75" thickBot="1" x14ac:dyDescent="0.3">
      <c r="A438" t="s">
        <v>31</v>
      </c>
      <c r="B438" s="15" t="str">
        <f>"""Manzana NAV"",""MANZANA"",""99000772"",""44"","" "",""22"",""False"",""43"",""0.00000000000000000000"",""12"",""BULK ORG GRAV Juice - in TANK"",""50220"",""False"",""29"","""",""50210"",""False"",""18"","""",""11"",""FJ9980"",""2"",""30000"",""1"",""IJ025"",""14"",""0.50000000000000000000"",""45"",""0.5000000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30000","1","IJ025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38" s="15"/>
      <c r="D438" s="16" t="str">
        <f>"IJ025"</f>
        <v>IJ025</v>
      </c>
      <c r="E438" s="16">
        <v>30000</v>
      </c>
      <c r="F438" s="16" t="str">
        <f t="shared" si="60"/>
        <v>FJ9980</v>
      </c>
      <c r="G438" s="17" t="str">
        <f t="shared" si="61"/>
        <v>BULK ORG GRAV Juice - in TANK</v>
      </c>
      <c r="H438" s="18" t="str">
        <f t="shared" si="62"/>
        <v>GAL</v>
      </c>
      <c r="I438" s="19">
        <v>0.5</v>
      </c>
      <c r="J438" s="20">
        <v>0.5</v>
      </c>
    </row>
    <row r="439" spans="1:10" ht="15.75" thickBot="1" x14ac:dyDescent="0.3">
      <c r="A439" t="s">
        <v>31</v>
      </c>
      <c r="B439" s="15" t="str">
        <f>"""Manzana NAV"",""MANZANA"",""99000772"",""44"","" "",""22"",""False"",""43"",""0.00000000000000000000"",""12"",""BULK ORG GRAV Juice - in TANK"",""50220"",""False"",""29"","""",""50210"",""False"",""18"","""",""11"",""FJ9980"",""2"",""40000"",""1"",""IJ009"",""14"",""0.07813000000000000000"",""45"",""0.0781300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009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439" s="15"/>
      <c r="D439" s="16" t="str">
        <f>"IJ009"</f>
        <v>IJ009</v>
      </c>
      <c r="E439" s="16">
        <v>40000</v>
      </c>
      <c r="F439" s="16" t="str">
        <f t="shared" si="60"/>
        <v>FJ9980</v>
      </c>
      <c r="G439" s="17" t="str">
        <f t="shared" si="61"/>
        <v>BULK ORG GRAV Juice - in TANK</v>
      </c>
      <c r="H439" s="18" t="str">
        <f t="shared" si="62"/>
        <v>GAL</v>
      </c>
      <c r="I439" s="19">
        <v>7.8130000000000005E-2</v>
      </c>
      <c r="J439" s="20">
        <v>7.8130000000000005E-2</v>
      </c>
    </row>
    <row r="440" spans="1:10" ht="15.75" thickBot="1" x14ac:dyDescent="0.3">
      <c r="A440" t="s">
        <v>31</v>
      </c>
      <c r="B440" s="15" t="str">
        <f>"""Manzana NAV"",""MANZANA"",""99000772"",""44"","" "",""22"",""False"",""43"",""0.00000000000000000000"",""12"",""BULK ORG GRAV Juice - in TANK"",""50220"",""False"",""29"","""",""50210"",""False"",""18"","""",""11"",""FJ9980"",""2"",""40000"",""1"",""IJ010"",""14"",""0.25000000000000000000"",""45"",""0.2500000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010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40" s="15"/>
      <c r="D440" s="16" t="str">
        <f>"IJ010"</f>
        <v>IJ010</v>
      </c>
      <c r="E440" s="16">
        <v>40000</v>
      </c>
      <c r="F440" s="16" t="str">
        <f t="shared" si="60"/>
        <v>FJ9980</v>
      </c>
      <c r="G440" s="17" t="str">
        <f t="shared" si="61"/>
        <v>BULK ORG GRAV Juice - in TANK</v>
      </c>
      <c r="H440" s="18" t="str">
        <f t="shared" si="62"/>
        <v>GAL</v>
      </c>
      <c r="I440" s="19">
        <v>0.25</v>
      </c>
      <c r="J440" s="20">
        <v>0.25</v>
      </c>
    </row>
    <row r="441" spans="1:10" ht="15.75" thickBot="1" x14ac:dyDescent="0.3">
      <c r="A441" t="s">
        <v>31</v>
      </c>
      <c r="B441" s="15" t="str">
        <f>"""Manzana NAV"",""MANZANA"",""99000772"",""44"","" "",""22"",""False"",""43"",""0.00000000000000000000"",""12"",""BULK ORG GRAV Juice - in TANK"",""50220"",""False"",""29"","""",""50210"",""False"",""18"","""",""11"",""FJ9980"",""2"",""40000"",""1"",""IJ026"",""14"",""0.37500000000000000000"",""45"",""0.3750000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026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441" s="15"/>
      <c r="D441" s="16" t="str">
        <f>"IJ026"</f>
        <v>IJ026</v>
      </c>
      <c r="E441" s="16">
        <v>40000</v>
      </c>
      <c r="F441" s="16" t="str">
        <f t="shared" si="60"/>
        <v>FJ9980</v>
      </c>
      <c r="G441" s="17" t="str">
        <f t="shared" si="61"/>
        <v>BULK ORG GRAV Juice - in TANK</v>
      </c>
      <c r="H441" s="18" t="str">
        <f t="shared" si="62"/>
        <v>GAL</v>
      </c>
      <c r="I441" s="19">
        <v>0.375</v>
      </c>
      <c r="J441" s="20">
        <v>0.375</v>
      </c>
    </row>
    <row r="442" spans="1:10" ht="15.75" thickBot="1" x14ac:dyDescent="0.3">
      <c r="A442" t="s">
        <v>31</v>
      </c>
      <c r="B442" s="15" t="str">
        <f>"""Manzana NAV"",""MANZANA"",""99000772"",""44"","" "",""22"",""False"",""43"",""0.00000000000000000000"",""12"",""BULK ORG GRAV Juice - in TANK"",""50220"",""False"",""29"","""",""50210"",""False"",""18"","""",""11"",""FJ9980"",""2"",""40000"",""1"",""IJ028"",""14"",""1.00000000000000000000"",""45"",""1.0000000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028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442" s="15"/>
      <c r="D442" s="16" t="str">
        <f>"IJ028"</f>
        <v>IJ028</v>
      </c>
      <c r="E442" s="16">
        <v>40000</v>
      </c>
      <c r="F442" s="16" t="str">
        <f t="shared" si="60"/>
        <v>FJ9980</v>
      </c>
      <c r="G442" s="17" t="str">
        <f t="shared" si="61"/>
        <v>BULK ORG GRAV Juice - in TANK</v>
      </c>
      <c r="H442" s="18" t="str">
        <f t="shared" si="62"/>
        <v>GAL</v>
      </c>
      <c r="I442" s="19">
        <v>1</v>
      </c>
      <c r="J442" s="20">
        <v>1</v>
      </c>
    </row>
    <row r="443" spans="1:10" ht="15.75" thickBot="1" x14ac:dyDescent="0.3">
      <c r="A443" t="s">
        <v>31</v>
      </c>
      <c r="B443" s="15" t="str">
        <f>"""Manzana NAV"",""MANZANA"",""99000772"",""44"","" "",""22"",""False"",""43"",""0.00000000000000000000"",""12"",""BULK ORG HCrisp Juice - in TANK"",""50220"",""False"",""29"","""",""50210"",""False"",""18"","""",""11"",""FJ9970"",""2"",""40000"",""1"",""IJ012"",""14"",""0.25000000000000000000"",""45"",""0.25000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HCrisp Juice - in TANK","50220","False","29","","50210","False","18","","11","FJ9970","2","40000","1","IJ012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43" s="15"/>
      <c r="D443" s="16" t="str">
        <f>"IJ012"</f>
        <v>IJ012</v>
      </c>
      <c r="E443" s="16">
        <v>40000</v>
      </c>
      <c r="F443" s="16" t="str">
        <f>"FJ9970"</f>
        <v>FJ9970</v>
      </c>
      <c r="G443" s="17" t="str">
        <f>"BULK ORG HCrisp Juice - in TANK"</f>
        <v>BULK ORG HCrisp Juice - in TANK</v>
      </c>
      <c r="H443" s="18" t="str">
        <f t="shared" si="62"/>
        <v>GAL</v>
      </c>
      <c r="I443" s="19">
        <v>0.25</v>
      </c>
      <c r="J443" s="20">
        <v>0.25</v>
      </c>
    </row>
    <row r="444" spans="1:10" ht="15.75" thickBot="1" x14ac:dyDescent="0.3">
      <c r="A444" t="s">
        <v>31</v>
      </c>
      <c r="B444" s="15" t="str">
        <f>"""Manzana NAV"",""MANZANA"",""99000772"",""44"","" "",""22"",""False"",""43"",""0.00000000000000000000"",""12"",""BULK ORG HCrisp Juice - in TANK"",""50220"",""False"",""29"","""",""50210"",""False"",""18"","""",""11"",""FJ9970"",""2"",""40000"",""1"",""IJ014"",""14"",""0.50000000000000000000"",""45"",""0.50000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HCrisp Juice - in TANK","50220","False","29","","50210","False","18","","11","FJ9970","2","40000","1","IJ014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44" s="15"/>
      <c r="D444" s="16" t="str">
        <f>"IJ014"</f>
        <v>IJ014</v>
      </c>
      <c r="E444" s="16">
        <v>40000</v>
      </c>
      <c r="F444" s="16" t="str">
        <f>"FJ9970"</f>
        <v>FJ9970</v>
      </c>
      <c r="G444" s="17" t="str">
        <f>"BULK ORG HCrisp Juice - in TANK"</f>
        <v>BULK ORG HCrisp Juice - in TANK</v>
      </c>
      <c r="H444" s="18" t="str">
        <f t="shared" si="62"/>
        <v>GAL</v>
      </c>
      <c r="I444" s="19">
        <v>0.5</v>
      </c>
      <c r="J444" s="20">
        <v>0.5</v>
      </c>
    </row>
    <row r="445" spans="1:10" ht="15.75" thickBot="1" x14ac:dyDescent="0.3">
      <c r="A445" t="s">
        <v>31</v>
      </c>
      <c r="B445" s="15" t="str">
        <f>"""Manzana NAV"",""MANZANA"",""99000772"",""44"","" "",""22"",""False"",""43"",""0.00000000000000000000"",""12"",""BULK ORG Peach Intermediary Sauce (2% VC)"",""50220"",""False"",""29"","""",""50210"",""True"",""18"","""",""11"",""ISC22"",""2"",""30000"",""1"",""ISJ017"",""14"",""24.00000000000000000000"",""45"&amp;"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Peach Intermediary Sauce (2% VC)","50220","False","29","","50210","True","18","","11","ISC22","2","30000","1","ISJ017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45" s="15"/>
      <c r="D445" s="16" t="str">
        <f>"ISJ017"</f>
        <v>ISJ017</v>
      </c>
      <c r="E445" s="16">
        <v>30000</v>
      </c>
      <c r="F445" s="16" t="str">
        <f>"ISC22"</f>
        <v>ISC22</v>
      </c>
      <c r="G445" s="17" t="str">
        <f>"BULK ORG Peach Intermediary Sauce (2% VC)"</f>
        <v>BULK ORG Peach Intermediary Sauce (2% VC)</v>
      </c>
      <c r="H445" s="18" t="str">
        <f>"OZ"</f>
        <v>OZ</v>
      </c>
      <c r="I445" s="19">
        <v>24</v>
      </c>
      <c r="J445" s="20">
        <v>24</v>
      </c>
    </row>
    <row r="446" spans="1:10" ht="15.75" thickBot="1" x14ac:dyDescent="0.3">
      <c r="A446" t="s">
        <v>31</v>
      </c>
      <c r="B446" s="15" t="str">
        <f>"""Manzana NAV"",""MANZANA"",""99000772"",""44"","" "",""22"",""False"",""43"",""0.00000000000000000000"",""12"",""BULK ORG Pear Juice - in TANK"",""50220"",""False"",""29"","""",""50210"",""False"",""18"","""",""11"",""FJ9950"",""2"",""30000"",""1"",""IJ013"",""14"",""0.25000000000000000000"",""45"",""0.2500000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Pear Juice - in TANK","50220","False","29","","50210","False","18","","11","FJ9950","2","30000","1","IJ013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46" s="15"/>
      <c r="D446" s="16" t="str">
        <f>"IJ013"</f>
        <v>IJ013</v>
      </c>
      <c r="E446" s="16">
        <v>30000</v>
      </c>
      <c r="F446" s="16" t="str">
        <f>"FJ9950"</f>
        <v>FJ9950</v>
      </c>
      <c r="G446" s="17" t="str">
        <f>"BULK ORG Pear Juice - in TANK"</f>
        <v>BULK ORG Pear Juice - in TANK</v>
      </c>
      <c r="H446" s="18" t="str">
        <f>"GAL"</f>
        <v>GAL</v>
      </c>
      <c r="I446" s="19">
        <v>0.25</v>
      </c>
      <c r="J446" s="20">
        <v>0.25</v>
      </c>
    </row>
    <row r="447" spans="1:10" ht="15.75" thickBot="1" x14ac:dyDescent="0.3">
      <c r="A447" t="s">
        <v>31</v>
      </c>
      <c r="B447" s="15" t="str">
        <f>"""Manzana NAV"",""MANZANA"",""99000772"",""44"","" "",""22"",""False"",""43"",""0.00000000000000000000"",""12"",""BULK ORG Pear Juice - in TANK"",""50220"",""False"",""29"","""",""50210"",""False"",""18"","""",""11"",""FJ9950"",""2"",""40000"",""1"",""IJ030"",""14"",""0.07813000000000000000"",""45"",""0.0781300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Pear Juice - in TANK","50220","False","29","","50210","False","18","","11","FJ9950","2","40000","1","IJ030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447" s="15"/>
      <c r="D447" s="16" t="str">
        <f>"IJ030"</f>
        <v>IJ030</v>
      </c>
      <c r="E447" s="16">
        <v>40000</v>
      </c>
      <c r="F447" s="16" t="str">
        <f>"FJ9950"</f>
        <v>FJ9950</v>
      </c>
      <c r="G447" s="17" t="str">
        <f>"BULK ORG Pear Juice - in TANK"</f>
        <v>BULK ORG Pear Juice - in TANK</v>
      </c>
      <c r="H447" s="18" t="str">
        <f>"GAL"</f>
        <v>GAL</v>
      </c>
      <c r="I447" s="19">
        <v>7.8130000000000005E-2</v>
      </c>
      <c r="J447" s="20">
        <v>7.8130000000000005E-2</v>
      </c>
    </row>
    <row r="448" spans="1:10" ht="15.75" thickBot="1" x14ac:dyDescent="0.3">
      <c r="A448" t="s">
        <v>31</v>
      </c>
      <c r="B448" s="15" t="str">
        <f>"""Manzana NAV"",""MANZANA"",""99000772"",""44"","" "",""22"",""False"",""43"",""0.00000000000000000000"",""12"",""BULK ORG Pumpkin Pie Intermediary Sauce (2% VC)"",""50220"",""False"",""29"","""",""50210"",""True"",""18"","""",""11"",""ISC31"",""2"",""30000"",""1"",""ISJ032"",""14"",""24.0000000000000000000"&amp;"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Pumpkin Pie Intermediary Sauce (2% VC)","50220","False","29","","50210","True","18","","11","ISC31","2","30000","1","ISJ032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48" s="15"/>
      <c r="D448" s="16" t="str">
        <f>"ISJ032"</f>
        <v>ISJ032</v>
      </c>
      <c r="E448" s="16">
        <v>30000</v>
      </c>
      <c r="F448" s="16" t="str">
        <f>"ISC31"</f>
        <v>ISC31</v>
      </c>
      <c r="G448" s="17" t="str">
        <f>"BULK ORG Pumpkin Pie Intermediary Sauce (2% VC)"</f>
        <v>BULK ORG Pumpkin Pie Intermediary Sauce (2% VC)</v>
      </c>
      <c r="H448" s="18" t="str">
        <f t="shared" ref="H448:H456" si="63">"OZ"</f>
        <v>OZ</v>
      </c>
      <c r="I448" s="19">
        <v>24</v>
      </c>
      <c r="J448" s="20">
        <v>24</v>
      </c>
    </row>
    <row r="449" spans="1:10" ht="15.75" thickBot="1" x14ac:dyDescent="0.3">
      <c r="A449" t="s">
        <v>31</v>
      </c>
      <c r="B449" s="15" t="str">
        <f>"""Manzana NAV"",""MANZANA"",""99000772"",""44"","" "",""22"",""False"",""43"",""0.00000000000000000000"",""12"",""BULK ORG Pure Apple Intermediary Sauce (2% VC)"",""50220"",""False"",""29"","""",""50210"",""True"",""18"","""",""11"",""ISC28"",""2"",""40000"",""1"",""Z-ISP0010"",""14"",""3.500000000000000000"&amp;"00"",""45"",""3.50000000000000000000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Pure Apple Intermediary Sauce (2% VC)","50220","False","29","","50210","True","18","","11","ISC28","2","40000","1","Z-ISP0010","14","3.50000000000000000000","45","3.50000000000000000000","19","","20","0.00000000000000000000","50000","0.00000000000000000000","50230","False","28","","10","Item","13","OZ","21","","3","","42","0.00000000000000000000","50200","False","41","0.00000000000000000000"</v>
      </c>
      <c r="C449" s="15"/>
      <c r="D449" s="16" t="str">
        <f>"Z-ISP0010"</f>
        <v>Z-ISP0010</v>
      </c>
      <c r="E449" s="16">
        <v>40000</v>
      </c>
      <c r="F449" s="16" t="str">
        <f>"ISC28"</f>
        <v>ISC28</v>
      </c>
      <c r="G449" s="17" t="str">
        <f>"BULK ORG Pure Apple Intermediary Sauce (2% VC)"</f>
        <v>BULK ORG Pure Apple Intermediary Sauce (2% VC)</v>
      </c>
      <c r="H449" s="18" t="str">
        <f t="shared" si="63"/>
        <v>OZ</v>
      </c>
      <c r="I449" s="19">
        <v>3.5</v>
      </c>
      <c r="J449" s="20">
        <v>3.5</v>
      </c>
    </row>
    <row r="450" spans="1:10" ht="15.75" thickBot="1" x14ac:dyDescent="0.3">
      <c r="A450" t="s">
        <v>31</v>
      </c>
      <c r="B450" s="15" t="str">
        <f>"""Manzana NAV"",""MANZANA"",""99000772"",""44"","" "",""22"",""False"",""43"",""0.00000000000000000000"",""12"",""BULK ORG Rspbry Intermed sce (2%VC) MZapple/SGigdt"",""50220"",""False"",""29"","""",""50210"",""True"",""18"","""",""11"",""ISC32"",""2"",""30000"",""1"",""ISJ033"",""14"",""24.0000000000000000"&amp;"0000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Rspbry Intermed sce (2%VC) MZapple/SGigdt","50220","False","29","","50210","True","18","","11","ISC32","2","30000","1","ISJ033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50" s="15"/>
      <c r="D450" s="16" t="str">
        <f>"ISJ033"</f>
        <v>ISJ033</v>
      </c>
      <c r="E450" s="16">
        <v>30000</v>
      </c>
      <c r="F450" s="16" t="str">
        <f>"ISC32"</f>
        <v>ISC32</v>
      </c>
      <c r="G450" s="17" t="str">
        <f>"BULK ORG Rspbry Intermed sce (2%VC) MZapple/SGigdt"</f>
        <v>BULK ORG Rspbry Intermed sce (2%VC) MZapple/SGigdt</v>
      </c>
      <c r="H450" s="18" t="str">
        <f t="shared" si="63"/>
        <v>OZ</v>
      </c>
      <c r="I450" s="19">
        <v>24</v>
      </c>
      <c r="J450" s="20">
        <v>24</v>
      </c>
    </row>
    <row r="451" spans="1:10" ht="15.75" thickBot="1" x14ac:dyDescent="0.3">
      <c r="A451" t="s">
        <v>31</v>
      </c>
      <c r="B451" s="15" t="str">
        <f>"""Manzana NAV"",""MANZANA"",""99000772"",""44"","" "",""22"",""False"",""43"",""0.00000000000000000000"",""12"",""BULK ORG Strawberry A.Sauce (2% VC)-TJ"",""50220"",""False"",""29"","""",""50210"",""True"",""18"","""",""11"",""ISC35"",""2"",""30000"",""1"",""ISP0020"",""14"",""3.20000000000000000000"",""45"","""&amp;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Strawberry A.Sauce (2% VC)-TJ","50220","False","29","","50210","True","18","","11","ISC35","2","30000","1","ISP0020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51" s="15"/>
      <c r="D451" s="16" t="str">
        <f>"ISP0020"</f>
        <v>ISP0020</v>
      </c>
      <c r="E451" s="16">
        <v>30000</v>
      </c>
      <c r="F451" s="16" t="str">
        <f>"ISC35"</f>
        <v>ISC35</v>
      </c>
      <c r="G451" s="17" t="str">
        <f>"BULK ORG Strawberry A.Sauce (2% VC)-TJ"</f>
        <v>BULK ORG Strawberry A.Sauce (2% VC)-TJ</v>
      </c>
      <c r="H451" s="18" t="str">
        <f t="shared" si="63"/>
        <v>OZ</v>
      </c>
      <c r="I451" s="19">
        <v>3.2</v>
      </c>
      <c r="J451" s="20">
        <v>3.2</v>
      </c>
    </row>
    <row r="452" spans="1:10" ht="15.75" thickBot="1" x14ac:dyDescent="0.3">
      <c r="A452" t="s">
        <v>31</v>
      </c>
      <c r="B452" s="15" t="str">
        <f>"""Manzana NAV"",""MANZANA"",""99000772"",""44"","" "",""22"",""False"",""43"",""0.00000000000000000000"",""12"",""BULK ORG Sweet Blend Intermediary Sauce (100% VC)"",""50220"",""False"",""29"","""",""50210"",""True"",""18"","""",""11"",""ISC17"",""2"",""30000"",""1"",""ISJ005"",""14"",""24.00000000000000000"&amp;"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30000","1","ISJ005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52" s="15"/>
      <c r="D452" s="16" t="str">
        <f>"ISJ005"</f>
        <v>ISJ005</v>
      </c>
      <c r="E452" s="16">
        <v>30000</v>
      </c>
      <c r="F452" s="16" t="str">
        <f>"ISC17"</f>
        <v>ISC17</v>
      </c>
      <c r="G452" s="17" t="str">
        <f>"BULK ORG Sweet Blend Intermediary Sauce (100% VC)"</f>
        <v>BULK ORG Sweet Blend Intermediary Sauce (100% VC)</v>
      </c>
      <c r="H452" s="18" t="str">
        <f t="shared" si="63"/>
        <v>OZ</v>
      </c>
      <c r="I452" s="19">
        <v>24</v>
      </c>
      <c r="J452" s="20">
        <v>24</v>
      </c>
    </row>
    <row r="453" spans="1:10" ht="15.75" thickBot="1" x14ac:dyDescent="0.3">
      <c r="A453" t="s">
        <v>31</v>
      </c>
      <c r="B453" s="15" t="str">
        <f>"""Manzana NAV"",""MANZANA"",""99000772"",""44"","" "",""22"",""False"",""43"",""0.00000000000000000000"",""12"",""BULK ORG Sweet Blend Intermediary Sauce (100% VC)"",""50220"",""False"",""29"","""",""50210"",""True"",""18"","""",""11"",""ISC17"",""2"",""40000"",""1"",""ISCU012"",""14"",""4.00000000000000000"&amp;"000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40000","1","ISCU012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53" s="15"/>
      <c r="D453" s="16" t="str">
        <f>"ISCU012"</f>
        <v>ISCU012</v>
      </c>
      <c r="E453" s="16">
        <v>40000</v>
      </c>
      <c r="F453" s="16" t="str">
        <f>"ISC17"</f>
        <v>ISC17</v>
      </c>
      <c r="G453" s="17" t="str">
        <f>"BULK ORG Sweet Blend Intermediary Sauce (100% VC)"</f>
        <v>BULK ORG Sweet Blend Intermediary Sauce (100% VC)</v>
      </c>
      <c r="H453" s="18" t="str">
        <f t="shared" si="63"/>
        <v>OZ</v>
      </c>
      <c r="I453" s="19">
        <v>4</v>
      </c>
      <c r="J453" s="20">
        <v>4</v>
      </c>
    </row>
    <row r="454" spans="1:10" ht="15.75" thickBot="1" x14ac:dyDescent="0.3">
      <c r="A454" t="s">
        <v>31</v>
      </c>
      <c r="B454" s="15" t="str">
        <f>"""Manzana NAV"",""MANZANA"",""99000772"",""44"","" "",""22"",""False"",""43"",""0.00000000000000000000"",""12"",""BULK ORG Sweet Blend Intermediary Sauce (100% VC)"",""50220"",""False"",""29"","""",""50210"",""True"",""18"","""",""11"",""ISC17"",""2"",""40000"",""1"",""ISCU018"",""14"",""4.00000000000000000"&amp;"000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40000","1","ISCU018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54" s="15"/>
      <c r="D454" s="16" t="str">
        <f>"ISCU018"</f>
        <v>ISCU018</v>
      </c>
      <c r="E454" s="16">
        <v>40000</v>
      </c>
      <c r="F454" s="16" t="str">
        <f>"ISC17"</f>
        <v>ISC17</v>
      </c>
      <c r="G454" s="17" t="str">
        <f>"BULK ORG Sweet Blend Intermediary Sauce (100% VC)"</f>
        <v>BULK ORG Sweet Blend Intermediary Sauce (100% VC)</v>
      </c>
      <c r="H454" s="18" t="str">
        <f t="shared" si="63"/>
        <v>OZ</v>
      </c>
      <c r="I454" s="19">
        <v>4</v>
      </c>
      <c r="J454" s="20">
        <v>4</v>
      </c>
    </row>
    <row r="455" spans="1:10" ht="15.75" thickBot="1" x14ac:dyDescent="0.3">
      <c r="A455" t="s">
        <v>31</v>
      </c>
      <c r="B455" s="15" t="str">
        <f>"""Manzana NAV"",""MANZANA"",""99000772"",""44"","" "",""22"",""False"",""43"",""0.00000000000000000000"",""12"",""BULK ORG Sweet Blend Intermediary Sauce (100% VC)"",""50220"",""False"",""29"","""",""50210"",""True"",""18"","""",""11"",""ISC17"",""2"",""40000"",""1"",""ISCU020"",""14"",""4.00000000000000000"&amp;"000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40000","1","ISCU020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55" s="15"/>
      <c r="D455" s="16" t="str">
        <f>"ISCU020"</f>
        <v>ISCU020</v>
      </c>
      <c r="E455" s="16">
        <v>40000</v>
      </c>
      <c r="F455" s="16" t="str">
        <f>"ISC17"</f>
        <v>ISC17</v>
      </c>
      <c r="G455" s="17" t="str">
        <f>"BULK ORG Sweet Blend Intermediary Sauce (100% VC)"</f>
        <v>BULK ORG Sweet Blend Intermediary Sauce (100% VC)</v>
      </c>
      <c r="H455" s="18" t="str">
        <f t="shared" si="63"/>
        <v>OZ</v>
      </c>
      <c r="I455" s="19">
        <v>4</v>
      </c>
      <c r="J455" s="20">
        <v>4</v>
      </c>
    </row>
    <row r="456" spans="1:10" ht="15.75" thickBot="1" x14ac:dyDescent="0.3">
      <c r="A456" t="s">
        <v>31</v>
      </c>
      <c r="B456" s="15" t="str">
        <f>"""Manzana NAV"",""MANZANA"",""99000772"",""44"","" "",""22"",""False"",""43"",""0.00000000000000000000"",""12"",""BULK ORG Sweet GRAV Intermediary Sauce (100% VC)"",""50220"",""False"",""29"","""",""50210"",""True"",""18"","""",""11"",""ISC19"",""2"",""30000"",""1"",""ISJ006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GRAV Intermediary Sauce (100% VC)","50220","False","29","","50210","True","18","","11","ISC19","2","30000","1","ISJ006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56" s="15"/>
      <c r="D456" s="16" t="str">
        <f>"ISJ006"</f>
        <v>ISJ006</v>
      </c>
      <c r="E456" s="16">
        <v>30000</v>
      </c>
      <c r="F456" s="16" t="str">
        <f>"ISC19"</f>
        <v>ISC19</v>
      </c>
      <c r="G456" s="17" t="str">
        <f>"BULK ORG Sweet GRAV Intermediary Sauce (100% VC)"</f>
        <v>BULK ORG Sweet GRAV Intermediary Sauce (100% VC)</v>
      </c>
      <c r="H456" s="18" t="str">
        <f t="shared" si="63"/>
        <v>OZ</v>
      </c>
      <c r="I456" s="19">
        <v>24</v>
      </c>
      <c r="J456" s="20">
        <v>24</v>
      </c>
    </row>
    <row r="457" spans="1:10" ht="15.75" thickBot="1" x14ac:dyDescent="0.3">
      <c r="A457" t="s">
        <v>31</v>
      </c>
      <c r="B457" s="15" t="str">
        <f>"""Manzana NAV"",""MANZANA"",""99000772"",""44"","" "",""22"",""False"",""43"",""0.00000000000000000000"",""12"",""CARTON DIVIDER for 6/64oz Juice case"",""50220"",""False"",""29"","""",""50210"",""False"",""18"","""",""11"",""CASE022"",""2"",""10000"",""1"",""FJ0175"",""14"",""1.00000000000000000000"",""45"","""&amp;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DIVIDER for 6/64oz Juice case","50220","False","29","","50210","False","18","","11","CASE022","2","10000","1","FJ0175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57" s="15"/>
      <c r="D457" s="16" t="str">
        <f>"FJ0175"</f>
        <v>FJ0175</v>
      </c>
      <c r="E457" s="16">
        <v>10000</v>
      </c>
      <c r="F457" s="16" t="str">
        <f>"CASE022"</f>
        <v>CASE022</v>
      </c>
      <c r="G457" s="17" t="str">
        <f>"CARTON DIVIDER for 6/64oz Juice case"</f>
        <v>CARTON DIVIDER for 6/64oz Juice case</v>
      </c>
      <c r="H457" s="18" t="str">
        <f t="shared" ref="H457:H520" si="64">"CARTON"</f>
        <v>CARTON</v>
      </c>
      <c r="I457" s="19">
        <v>1</v>
      </c>
      <c r="J457" s="20">
        <v>1</v>
      </c>
    </row>
    <row r="458" spans="1:10" ht="15.75" thickBot="1" x14ac:dyDescent="0.3">
      <c r="A458" t="s">
        <v>31</v>
      </c>
      <c r="B458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0001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0001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58" s="15"/>
      <c r="D458" s="16" t="str">
        <f>"FS0001"</f>
        <v>FS0001</v>
      </c>
      <c r="E458" s="16">
        <v>5000</v>
      </c>
      <c r="F458" s="16" t="str">
        <f t="shared" ref="F458:F521" si="65">"CASE016"</f>
        <v>CASE016</v>
      </c>
      <c r="G458" s="17" t="str">
        <f t="shared" ref="G458:G521" si="66">"Carton Tray for 12/24oz Applesauce jars"</f>
        <v>Carton Tray for 12/24oz Applesauce jars</v>
      </c>
      <c r="H458" s="18" t="str">
        <f t="shared" si="64"/>
        <v>CARTON</v>
      </c>
      <c r="I458" s="19">
        <v>1</v>
      </c>
      <c r="J458" s="20">
        <v>1</v>
      </c>
    </row>
    <row r="459" spans="1:10" ht="15.75" thickBot="1" x14ac:dyDescent="0.3">
      <c r="A459" t="s">
        <v>31</v>
      </c>
      <c r="B459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0003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0003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59" s="15"/>
      <c r="D459" s="16" t="str">
        <f>"FS0003"</f>
        <v>FS0003</v>
      </c>
      <c r="E459" s="16">
        <v>5000</v>
      </c>
      <c r="F459" s="16" t="str">
        <f t="shared" si="65"/>
        <v>CASE016</v>
      </c>
      <c r="G459" s="17" t="str">
        <f t="shared" si="66"/>
        <v>Carton Tray for 12/24oz Applesauce jars</v>
      </c>
      <c r="H459" s="18" t="str">
        <f t="shared" si="64"/>
        <v>CARTON</v>
      </c>
      <c r="I459" s="19">
        <v>1</v>
      </c>
      <c r="J459" s="20">
        <v>1</v>
      </c>
    </row>
    <row r="460" spans="1:10" ht="15.75" thickBot="1" x14ac:dyDescent="0.3">
      <c r="A460" t="s">
        <v>31</v>
      </c>
      <c r="B460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0126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0" s="15"/>
      <c r="D460" s="16" t="str">
        <f>"FS0126"</f>
        <v>FS0126</v>
      </c>
      <c r="E460" s="16">
        <v>5000</v>
      </c>
      <c r="F460" s="16" t="str">
        <f t="shared" si="65"/>
        <v>CASE016</v>
      </c>
      <c r="G460" s="17" t="str">
        <f t="shared" si="66"/>
        <v>Carton Tray for 12/24oz Applesauce jars</v>
      </c>
      <c r="H460" s="18" t="str">
        <f t="shared" si="64"/>
        <v>CARTON</v>
      </c>
      <c r="I460" s="19">
        <v>1</v>
      </c>
      <c r="J460" s="20">
        <v>1</v>
      </c>
    </row>
    <row r="461" spans="1:10" ht="15.75" thickBot="1" x14ac:dyDescent="0.3">
      <c r="A461" t="s">
        <v>31</v>
      </c>
      <c r="B461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0131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0131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1" s="15"/>
      <c r="D461" s="16" t="str">
        <f>"FS0131"</f>
        <v>FS0131</v>
      </c>
      <c r="E461" s="16">
        <v>5000</v>
      </c>
      <c r="F461" s="16" t="str">
        <f t="shared" si="65"/>
        <v>CASE016</v>
      </c>
      <c r="G461" s="17" t="str">
        <f t="shared" si="66"/>
        <v>Carton Tray for 12/24oz Applesauce jars</v>
      </c>
      <c r="H461" s="18" t="str">
        <f t="shared" si="64"/>
        <v>CARTON</v>
      </c>
      <c r="I461" s="19">
        <v>1</v>
      </c>
      <c r="J461" s="20">
        <v>1</v>
      </c>
    </row>
    <row r="462" spans="1:10" ht="15.75" thickBot="1" x14ac:dyDescent="0.3">
      <c r="A462" t="s">
        <v>31</v>
      </c>
      <c r="B462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0147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0147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2" s="15"/>
      <c r="D462" s="16" t="str">
        <f>"FS0147"</f>
        <v>FS0147</v>
      </c>
      <c r="E462" s="16">
        <v>5000</v>
      </c>
      <c r="F462" s="16" t="str">
        <f t="shared" si="65"/>
        <v>CASE016</v>
      </c>
      <c r="G462" s="17" t="str">
        <f t="shared" si="66"/>
        <v>Carton Tray for 12/24oz Applesauce jars</v>
      </c>
      <c r="H462" s="18" t="str">
        <f t="shared" si="64"/>
        <v>CARTON</v>
      </c>
      <c r="I462" s="19">
        <v>1</v>
      </c>
      <c r="J462" s="20">
        <v>1</v>
      </c>
    </row>
    <row r="463" spans="1:10" ht="15.75" thickBot="1" x14ac:dyDescent="0.3">
      <c r="A463" t="s">
        <v>31</v>
      </c>
      <c r="B463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0165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0165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3" s="15"/>
      <c r="D463" s="16" t="str">
        <f>"FS0165"</f>
        <v>FS0165</v>
      </c>
      <c r="E463" s="16">
        <v>5000</v>
      </c>
      <c r="F463" s="16" t="str">
        <f t="shared" si="65"/>
        <v>CASE016</v>
      </c>
      <c r="G463" s="17" t="str">
        <f t="shared" si="66"/>
        <v>Carton Tray for 12/24oz Applesauce jars</v>
      </c>
      <c r="H463" s="18" t="str">
        <f t="shared" si="64"/>
        <v>CARTON</v>
      </c>
      <c r="I463" s="19">
        <v>1</v>
      </c>
      <c r="J463" s="20">
        <v>1</v>
      </c>
    </row>
    <row r="464" spans="1:10" ht="15.75" thickBot="1" x14ac:dyDescent="0.3">
      <c r="A464" t="s">
        <v>31</v>
      </c>
      <c r="B464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0166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0166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4" s="15"/>
      <c r="D464" s="16" t="str">
        <f>"FS0166"</f>
        <v>FS0166</v>
      </c>
      <c r="E464" s="16">
        <v>5000</v>
      </c>
      <c r="F464" s="16" t="str">
        <f t="shared" si="65"/>
        <v>CASE016</v>
      </c>
      <c r="G464" s="17" t="str">
        <f t="shared" si="66"/>
        <v>Carton Tray for 12/24oz Applesauce jars</v>
      </c>
      <c r="H464" s="18" t="str">
        <f t="shared" si="64"/>
        <v>CARTON</v>
      </c>
      <c r="I464" s="19">
        <v>1</v>
      </c>
      <c r="J464" s="20">
        <v>1</v>
      </c>
    </row>
    <row r="465" spans="1:10" ht="15.75" thickBot="1" x14ac:dyDescent="0.3">
      <c r="A465" t="s">
        <v>31</v>
      </c>
      <c r="B465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0176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0176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5" s="15"/>
      <c r="D465" s="16" t="str">
        <f>"FS0176"</f>
        <v>FS0176</v>
      </c>
      <c r="E465" s="16">
        <v>5000</v>
      </c>
      <c r="F465" s="16" t="str">
        <f t="shared" si="65"/>
        <v>CASE016</v>
      </c>
      <c r="G465" s="17" t="str">
        <f t="shared" si="66"/>
        <v>Carton Tray for 12/24oz Applesauce jars</v>
      </c>
      <c r="H465" s="18" t="str">
        <f t="shared" si="64"/>
        <v>CARTON</v>
      </c>
      <c r="I465" s="19">
        <v>1</v>
      </c>
      <c r="J465" s="20">
        <v>1</v>
      </c>
    </row>
    <row r="466" spans="1:10" ht="15.75" thickBot="1" x14ac:dyDescent="0.3">
      <c r="A466" t="s">
        <v>31</v>
      </c>
      <c r="B466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0177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0177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6" s="15"/>
      <c r="D466" s="16" t="str">
        <f>"FS0177"</f>
        <v>FS0177</v>
      </c>
      <c r="E466" s="16">
        <v>5000</v>
      </c>
      <c r="F466" s="16" t="str">
        <f t="shared" si="65"/>
        <v>CASE016</v>
      </c>
      <c r="G466" s="17" t="str">
        <f t="shared" si="66"/>
        <v>Carton Tray for 12/24oz Applesauce jars</v>
      </c>
      <c r="H466" s="18" t="str">
        <f t="shared" si="64"/>
        <v>CARTON</v>
      </c>
      <c r="I466" s="19">
        <v>1</v>
      </c>
      <c r="J466" s="20">
        <v>1</v>
      </c>
    </row>
    <row r="467" spans="1:10" ht="15.75" thickBot="1" x14ac:dyDescent="0.3">
      <c r="A467" t="s">
        <v>31</v>
      </c>
      <c r="B467" s="15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0199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0199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7" s="15"/>
      <c r="D467" s="16" t="str">
        <f>"FS0199"</f>
        <v>FS0199</v>
      </c>
      <c r="E467" s="16">
        <v>5000</v>
      </c>
      <c r="F467" s="16" t="str">
        <f t="shared" si="65"/>
        <v>CASE016</v>
      </c>
      <c r="G467" s="17" t="str">
        <f t="shared" si="66"/>
        <v>Carton Tray for 12/24oz Applesauce jars</v>
      </c>
      <c r="H467" s="18" t="str">
        <f t="shared" si="64"/>
        <v>CARTON</v>
      </c>
      <c r="I467" s="19">
        <v>1</v>
      </c>
      <c r="J467" s="20">
        <v>1</v>
      </c>
    </row>
    <row r="468" spans="1:10" ht="15.75" thickBot="1" x14ac:dyDescent="0.3">
      <c r="A468" t="s">
        <v>31</v>
      </c>
      <c r="B46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0005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8" s="15"/>
      <c r="D468" s="16" t="str">
        <f>"FS0005"</f>
        <v>FS0005</v>
      </c>
      <c r="E468" s="16">
        <v>10000</v>
      </c>
      <c r="F468" s="16" t="str">
        <f t="shared" si="65"/>
        <v>CASE016</v>
      </c>
      <c r="G468" s="17" t="str">
        <f t="shared" si="66"/>
        <v>Carton Tray for 12/24oz Applesauce jars</v>
      </c>
      <c r="H468" s="18" t="str">
        <f t="shared" si="64"/>
        <v>CARTON</v>
      </c>
      <c r="I468" s="19">
        <v>1</v>
      </c>
      <c r="J468" s="20">
        <v>1</v>
      </c>
    </row>
    <row r="469" spans="1:10" ht="15.75" thickBot="1" x14ac:dyDescent="0.3">
      <c r="A469" t="s">
        <v>31</v>
      </c>
      <c r="B46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0006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0006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9" s="15"/>
      <c r="D469" s="16" t="str">
        <f>"FS0006"</f>
        <v>FS0006</v>
      </c>
      <c r="E469" s="16">
        <v>10000</v>
      </c>
      <c r="F469" s="16" t="str">
        <f t="shared" si="65"/>
        <v>CASE016</v>
      </c>
      <c r="G469" s="17" t="str">
        <f t="shared" si="66"/>
        <v>Carton Tray for 12/24oz Applesauce jars</v>
      </c>
      <c r="H469" s="18" t="str">
        <f t="shared" si="64"/>
        <v>CARTON</v>
      </c>
      <c r="I469" s="19">
        <v>1</v>
      </c>
      <c r="J469" s="20">
        <v>1</v>
      </c>
    </row>
    <row r="470" spans="1:10" ht="15.75" thickBot="1" x14ac:dyDescent="0.3">
      <c r="A470" t="s">
        <v>31</v>
      </c>
      <c r="B47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0008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0" s="15"/>
      <c r="D470" s="16" t="str">
        <f>"FS0008"</f>
        <v>FS0008</v>
      </c>
      <c r="E470" s="16">
        <v>10000</v>
      </c>
      <c r="F470" s="16" t="str">
        <f t="shared" si="65"/>
        <v>CASE016</v>
      </c>
      <c r="G470" s="17" t="str">
        <f t="shared" si="66"/>
        <v>Carton Tray for 12/24oz Applesauce jars</v>
      </c>
      <c r="H470" s="18" t="str">
        <f t="shared" si="64"/>
        <v>CARTON</v>
      </c>
      <c r="I470" s="19">
        <v>1</v>
      </c>
      <c r="J470" s="20">
        <v>1</v>
      </c>
    </row>
    <row r="471" spans="1:10" ht="15.75" thickBot="1" x14ac:dyDescent="0.3">
      <c r="A471" t="s">
        <v>31</v>
      </c>
      <c r="B47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0010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1" s="15"/>
      <c r="D471" s="16" t="str">
        <f>"FS0010"</f>
        <v>FS0010</v>
      </c>
      <c r="E471" s="16">
        <v>10000</v>
      </c>
      <c r="F471" s="16" t="str">
        <f t="shared" si="65"/>
        <v>CASE016</v>
      </c>
      <c r="G471" s="17" t="str">
        <f t="shared" si="66"/>
        <v>Carton Tray for 12/24oz Applesauce jars</v>
      </c>
      <c r="H471" s="18" t="str">
        <f t="shared" si="64"/>
        <v>CARTON</v>
      </c>
      <c r="I471" s="19">
        <v>1</v>
      </c>
      <c r="J471" s="20">
        <v>1</v>
      </c>
    </row>
    <row r="472" spans="1:10" ht="15.75" thickBot="1" x14ac:dyDescent="0.3">
      <c r="A472" t="s">
        <v>31</v>
      </c>
      <c r="B47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0012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2" s="15"/>
      <c r="D472" s="16" t="str">
        <f>"FS0012"</f>
        <v>FS0012</v>
      </c>
      <c r="E472" s="16">
        <v>10000</v>
      </c>
      <c r="F472" s="16" t="str">
        <f t="shared" si="65"/>
        <v>CASE016</v>
      </c>
      <c r="G472" s="17" t="str">
        <f t="shared" si="66"/>
        <v>Carton Tray for 12/24oz Applesauce jars</v>
      </c>
      <c r="H472" s="18" t="str">
        <f t="shared" si="64"/>
        <v>CARTON</v>
      </c>
      <c r="I472" s="19">
        <v>1</v>
      </c>
      <c r="J472" s="20">
        <v>1</v>
      </c>
    </row>
    <row r="473" spans="1:10" ht="15.75" thickBot="1" x14ac:dyDescent="0.3">
      <c r="A473" t="s">
        <v>31</v>
      </c>
      <c r="B47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3" s="15"/>
      <c r="D473" s="16" t="str">
        <f>"FS0020"</f>
        <v>FS0020</v>
      </c>
      <c r="E473" s="16">
        <v>10000</v>
      </c>
      <c r="F473" s="16" t="str">
        <f t="shared" si="65"/>
        <v>CASE016</v>
      </c>
      <c r="G473" s="17" t="str">
        <f t="shared" si="66"/>
        <v>Carton Tray for 12/24oz Applesauce jars</v>
      </c>
      <c r="H473" s="18" t="str">
        <f t="shared" si="64"/>
        <v>CARTON</v>
      </c>
      <c r="I473" s="19">
        <v>1</v>
      </c>
      <c r="J473" s="20">
        <v>1</v>
      </c>
    </row>
    <row r="474" spans="1:10" ht="15.75" thickBot="1" x14ac:dyDescent="0.3">
      <c r="A474" t="s">
        <v>31</v>
      </c>
      <c r="B47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4" s="15"/>
      <c r="D474" s="16" t="str">
        <f>"FS0021"</f>
        <v>FS0021</v>
      </c>
      <c r="E474" s="16">
        <v>10000</v>
      </c>
      <c r="F474" s="16" t="str">
        <f t="shared" si="65"/>
        <v>CASE016</v>
      </c>
      <c r="G474" s="17" t="str">
        <f t="shared" si="66"/>
        <v>Carton Tray for 12/24oz Applesauce jars</v>
      </c>
      <c r="H474" s="18" t="str">
        <f t="shared" si="64"/>
        <v>CARTON</v>
      </c>
      <c r="I474" s="19">
        <v>1</v>
      </c>
      <c r="J474" s="20">
        <v>1</v>
      </c>
    </row>
    <row r="475" spans="1:10" ht="15.75" thickBot="1" x14ac:dyDescent="0.3">
      <c r="A475" t="s">
        <v>31</v>
      </c>
      <c r="B47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5" s="15"/>
      <c r="D475" s="16" t="str">
        <f>"FS0022"</f>
        <v>FS0022</v>
      </c>
      <c r="E475" s="16">
        <v>10000</v>
      </c>
      <c r="F475" s="16" t="str">
        <f t="shared" si="65"/>
        <v>CASE016</v>
      </c>
      <c r="G475" s="17" t="str">
        <f t="shared" si="66"/>
        <v>Carton Tray for 12/24oz Applesauce jars</v>
      </c>
      <c r="H475" s="18" t="str">
        <f t="shared" si="64"/>
        <v>CARTON</v>
      </c>
      <c r="I475" s="19">
        <v>1</v>
      </c>
      <c r="J475" s="20">
        <v>1</v>
      </c>
    </row>
    <row r="476" spans="1:10" ht="15.75" thickBot="1" x14ac:dyDescent="0.3">
      <c r="A476" t="s">
        <v>31</v>
      </c>
      <c r="B47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6" s="15"/>
      <c r="D476" s="16" t="str">
        <f>"FS0023"</f>
        <v>FS0023</v>
      </c>
      <c r="E476" s="16">
        <v>10000</v>
      </c>
      <c r="F476" s="16" t="str">
        <f t="shared" si="65"/>
        <v>CASE016</v>
      </c>
      <c r="G476" s="17" t="str">
        <f t="shared" si="66"/>
        <v>Carton Tray for 12/24oz Applesauce jars</v>
      </c>
      <c r="H476" s="18" t="str">
        <f t="shared" si="64"/>
        <v>CARTON</v>
      </c>
      <c r="I476" s="19">
        <v>1</v>
      </c>
      <c r="J476" s="20">
        <v>1</v>
      </c>
    </row>
    <row r="477" spans="1:10" ht="15.75" thickBot="1" x14ac:dyDescent="0.3">
      <c r="A477" t="s">
        <v>31</v>
      </c>
      <c r="B47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7" s="15"/>
      <c r="D477" s="16" t="str">
        <f>"FS0024"</f>
        <v>FS0024</v>
      </c>
      <c r="E477" s="16">
        <v>10000</v>
      </c>
      <c r="F477" s="16" t="str">
        <f t="shared" si="65"/>
        <v>CASE016</v>
      </c>
      <c r="G477" s="17" t="str">
        <f t="shared" si="66"/>
        <v>Carton Tray for 12/24oz Applesauce jars</v>
      </c>
      <c r="H477" s="18" t="str">
        <f t="shared" si="64"/>
        <v>CARTON</v>
      </c>
      <c r="I477" s="19">
        <v>1</v>
      </c>
      <c r="J477" s="20">
        <v>1</v>
      </c>
    </row>
    <row r="478" spans="1:10" ht="15.75" thickBot="1" x14ac:dyDescent="0.3">
      <c r="A478" t="s">
        <v>31</v>
      </c>
      <c r="B47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8" s="15"/>
      <c r="D478" s="16" t="str">
        <f>"FS0025"</f>
        <v>FS0025</v>
      </c>
      <c r="E478" s="16">
        <v>10000</v>
      </c>
      <c r="F478" s="16" t="str">
        <f t="shared" si="65"/>
        <v>CASE016</v>
      </c>
      <c r="G478" s="17" t="str">
        <f t="shared" si="66"/>
        <v>Carton Tray for 12/24oz Applesauce jars</v>
      </c>
      <c r="H478" s="18" t="str">
        <f t="shared" si="64"/>
        <v>CARTON</v>
      </c>
      <c r="I478" s="19">
        <v>1</v>
      </c>
      <c r="J478" s="20">
        <v>1</v>
      </c>
    </row>
    <row r="479" spans="1:10" ht="15.75" thickBot="1" x14ac:dyDescent="0.3">
      <c r="A479" t="s">
        <v>31</v>
      </c>
      <c r="B47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9" s="15"/>
      <c r="D479" s="16" t="str">
        <f>"FS0026"</f>
        <v>FS0026</v>
      </c>
      <c r="E479" s="16">
        <v>10000</v>
      </c>
      <c r="F479" s="16" t="str">
        <f t="shared" si="65"/>
        <v>CASE016</v>
      </c>
      <c r="G479" s="17" t="str">
        <f t="shared" si="66"/>
        <v>Carton Tray for 12/24oz Applesauce jars</v>
      </c>
      <c r="H479" s="18" t="str">
        <f t="shared" si="64"/>
        <v>CARTON</v>
      </c>
      <c r="I479" s="19">
        <v>1</v>
      </c>
      <c r="J479" s="20">
        <v>1</v>
      </c>
    </row>
    <row r="480" spans="1:10" ht="15.75" thickBot="1" x14ac:dyDescent="0.3">
      <c r="A480" t="s">
        <v>31</v>
      </c>
      <c r="B48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0" s="15"/>
      <c r="D480" s="16" t="str">
        <f>"FS0027"</f>
        <v>FS0027</v>
      </c>
      <c r="E480" s="16">
        <v>10000</v>
      </c>
      <c r="F480" s="16" t="str">
        <f t="shared" si="65"/>
        <v>CASE016</v>
      </c>
      <c r="G480" s="17" t="str">
        <f t="shared" si="66"/>
        <v>Carton Tray for 12/24oz Applesauce jars</v>
      </c>
      <c r="H480" s="18" t="str">
        <f t="shared" si="64"/>
        <v>CARTON</v>
      </c>
      <c r="I480" s="19">
        <v>1</v>
      </c>
      <c r="J480" s="20">
        <v>1</v>
      </c>
    </row>
    <row r="481" spans="1:10" ht="15.75" thickBot="1" x14ac:dyDescent="0.3">
      <c r="A481" t="s">
        <v>31</v>
      </c>
      <c r="B48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1" s="15"/>
      <c r="D481" s="16" t="str">
        <f>"FS0028"</f>
        <v>FS0028</v>
      </c>
      <c r="E481" s="16">
        <v>10000</v>
      </c>
      <c r="F481" s="16" t="str">
        <f t="shared" si="65"/>
        <v>CASE016</v>
      </c>
      <c r="G481" s="17" t="str">
        <f t="shared" si="66"/>
        <v>Carton Tray for 12/24oz Applesauce jars</v>
      </c>
      <c r="H481" s="18" t="str">
        <f t="shared" si="64"/>
        <v>CARTON</v>
      </c>
      <c r="I481" s="19">
        <v>1</v>
      </c>
      <c r="J481" s="20">
        <v>1</v>
      </c>
    </row>
    <row r="482" spans="1:10" ht="15.75" thickBot="1" x14ac:dyDescent="0.3">
      <c r="A482" t="s">
        <v>31</v>
      </c>
      <c r="B48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2" s="15"/>
      <c r="D482" s="16" t="str">
        <f>"FS0029"</f>
        <v>FS0029</v>
      </c>
      <c r="E482" s="16">
        <v>10000</v>
      </c>
      <c r="F482" s="16" t="str">
        <f t="shared" si="65"/>
        <v>CASE016</v>
      </c>
      <c r="G482" s="17" t="str">
        <f t="shared" si="66"/>
        <v>Carton Tray for 12/24oz Applesauce jars</v>
      </c>
      <c r="H482" s="18" t="str">
        <f t="shared" si="64"/>
        <v>CARTON</v>
      </c>
      <c r="I482" s="19">
        <v>1</v>
      </c>
      <c r="J482" s="20">
        <v>1</v>
      </c>
    </row>
    <row r="483" spans="1:10" ht="15.75" thickBot="1" x14ac:dyDescent="0.3">
      <c r="A483" t="s">
        <v>31</v>
      </c>
      <c r="B48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3" s="15"/>
      <c r="D483" s="16" t="str">
        <f>"FS0030"</f>
        <v>FS0030</v>
      </c>
      <c r="E483" s="16">
        <v>10000</v>
      </c>
      <c r="F483" s="16" t="str">
        <f t="shared" si="65"/>
        <v>CASE016</v>
      </c>
      <c r="G483" s="17" t="str">
        <f t="shared" si="66"/>
        <v>Carton Tray for 12/24oz Applesauce jars</v>
      </c>
      <c r="H483" s="18" t="str">
        <f t="shared" si="64"/>
        <v>CARTON</v>
      </c>
      <c r="I483" s="19">
        <v>1</v>
      </c>
      <c r="J483" s="20">
        <v>1</v>
      </c>
    </row>
    <row r="484" spans="1:10" ht="15.75" thickBot="1" x14ac:dyDescent="0.3">
      <c r="A484" t="s">
        <v>31</v>
      </c>
      <c r="B48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4" s="15"/>
      <c r="D484" s="16" t="str">
        <f>"FS0031"</f>
        <v>FS0031</v>
      </c>
      <c r="E484" s="16">
        <v>10000</v>
      </c>
      <c r="F484" s="16" t="str">
        <f t="shared" si="65"/>
        <v>CASE016</v>
      </c>
      <c r="G484" s="17" t="str">
        <f t="shared" si="66"/>
        <v>Carton Tray for 12/24oz Applesauce jars</v>
      </c>
      <c r="H484" s="18" t="str">
        <f t="shared" si="64"/>
        <v>CARTON</v>
      </c>
      <c r="I484" s="19">
        <v>1</v>
      </c>
      <c r="J484" s="20">
        <v>1</v>
      </c>
    </row>
    <row r="485" spans="1:10" ht="15.75" thickBot="1" x14ac:dyDescent="0.3">
      <c r="A485" t="s">
        <v>31</v>
      </c>
      <c r="B48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5" s="15"/>
      <c r="D485" s="16" t="str">
        <f>"FS0032"</f>
        <v>FS0032</v>
      </c>
      <c r="E485" s="16">
        <v>10000</v>
      </c>
      <c r="F485" s="16" t="str">
        <f t="shared" si="65"/>
        <v>CASE016</v>
      </c>
      <c r="G485" s="17" t="str">
        <f t="shared" si="66"/>
        <v>Carton Tray for 12/24oz Applesauce jars</v>
      </c>
      <c r="H485" s="18" t="str">
        <f t="shared" si="64"/>
        <v>CARTON</v>
      </c>
      <c r="I485" s="19">
        <v>1</v>
      </c>
      <c r="J485" s="20">
        <v>1</v>
      </c>
    </row>
    <row r="486" spans="1:10" ht="15.75" thickBot="1" x14ac:dyDescent="0.3">
      <c r="A486" t="s">
        <v>31</v>
      </c>
      <c r="B48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6" s="15"/>
      <c r="D486" s="16" t="str">
        <f>"FS0033"</f>
        <v>FS0033</v>
      </c>
      <c r="E486" s="16">
        <v>10000</v>
      </c>
      <c r="F486" s="16" t="str">
        <f t="shared" si="65"/>
        <v>CASE016</v>
      </c>
      <c r="G486" s="17" t="str">
        <f t="shared" si="66"/>
        <v>Carton Tray for 12/24oz Applesauce jars</v>
      </c>
      <c r="H486" s="18" t="str">
        <f t="shared" si="64"/>
        <v>CARTON</v>
      </c>
      <c r="I486" s="19">
        <v>1</v>
      </c>
      <c r="J486" s="20">
        <v>1</v>
      </c>
    </row>
    <row r="487" spans="1:10" ht="15.75" thickBot="1" x14ac:dyDescent="0.3">
      <c r="A487" t="s">
        <v>31</v>
      </c>
      <c r="B48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7" s="15"/>
      <c r="D487" s="16" t="str">
        <f>"FS0034"</f>
        <v>FS0034</v>
      </c>
      <c r="E487" s="16">
        <v>10000</v>
      </c>
      <c r="F487" s="16" t="str">
        <f t="shared" si="65"/>
        <v>CASE016</v>
      </c>
      <c r="G487" s="17" t="str">
        <f t="shared" si="66"/>
        <v>Carton Tray for 12/24oz Applesauce jars</v>
      </c>
      <c r="H487" s="18" t="str">
        <f t="shared" si="64"/>
        <v>CARTON</v>
      </c>
      <c r="I487" s="19">
        <v>1</v>
      </c>
      <c r="J487" s="20">
        <v>1</v>
      </c>
    </row>
    <row r="488" spans="1:10" ht="15.75" thickBot="1" x14ac:dyDescent="0.3">
      <c r="A488" t="s">
        <v>31</v>
      </c>
      <c r="B48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8" s="15"/>
      <c r="D488" s="16" t="str">
        <f>"FS0035"</f>
        <v>FS0035</v>
      </c>
      <c r="E488" s="16">
        <v>10000</v>
      </c>
      <c r="F488" s="16" t="str">
        <f t="shared" si="65"/>
        <v>CASE016</v>
      </c>
      <c r="G488" s="17" t="str">
        <f t="shared" si="66"/>
        <v>Carton Tray for 12/24oz Applesauce jars</v>
      </c>
      <c r="H488" s="18" t="str">
        <f t="shared" si="64"/>
        <v>CARTON</v>
      </c>
      <c r="I488" s="19">
        <v>1</v>
      </c>
      <c r="J488" s="20">
        <v>1</v>
      </c>
    </row>
    <row r="489" spans="1:10" ht="15.75" thickBot="1" x14ac:dyDescent="0.3">
      <c r="A489" t="s">
        <v>31</v>
      </c>
      <c r="B48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9" s="15"/>
      <c r="D489" s="16" t="str">
        <f>"FS0037"</f>
        <v>FS0037</v>
      </c>
      <c r="E489" s="16">
        <v>10000</v>
      </c>
      <c r="F489" s="16" t="str">
        <f t="shared" si="65"/>
        <v>CASE016</v>
      </c>
      <c r="G489" s="17" t="str">
        <f t="shared" si="66"/>
        <v>Carton Tray for 12/24oz Applesauce jars</v>
      </c>
      <c r="H489" s="18" t="str">
        <f t="shared" si="64"/>
        <v>CARTON</v>
      </c>
      <c r="I489" s="19">
        <v>1</v>
      </c>
      <c r="J489" s="20">
        <v>1</v>
      </c>
    </row>
    <row r="490" spans="1:10" ht="15.75" thickBot="1" x14ac:dyDescent="0.3">
      <c r="A490" t="s">
        <v>31</v>
      </c>
      <c r="B49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0" s="15"/>
      <c r="D490" s="16" t="str">
        <f>"FS0038"</f>
        <v>FS0038</v>
      </c>
      <c r="E490" s="16">
        <v>10000</v>
      </c>
      <c r="F490" s="16" t="str">
        <f t="shared" si="65"/>
        <v>CASE016</v>
      </c>
      <c r="G490" s="17" t="str">
        <f t="shared" si="66"/>
        <v>Carton Tray for 12/24oz Applesauce jars</v>
      </c>
      <c r="H490" s="18" t="str">
        <f t="shared" si="64"/>
        <v>CARTON</v>
      </c>
      <c r="I490" s="19">
        <v>1</v>
      </c>
      <c r="J490" s="20">
        <v>1</v>
      </c>
    </row>
    <row r="491" spans="1:10" ht="15.75" thickBot="1" x14ac:dyDescent="0.3">
      <c r="A491" t="s">
        <v>31</v>
      </c>
      <c r="B49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1" s="15"/>
      <c r="D491" s="16" t="str">
        <f>"FS0040"</f>
        <v>FS0040</v>
      </c>
      <c r="E491" s="16">
        <v>10000</v>
      </c>
      <c r="F491" s="16" t="str">
        <f t="shared" si="65"/>
        <v>CASE016</v>
      </c>
      <c r="G491" s="17" t="str">
        <f t="shared" si="66"/>
        <v>Carton Tray for 12/24oz Applesauce jars</v>
      </c>
      <c r="H491" s="18" t="str">
        <f t="shared" si="64"/>
        <v>CARTON</v>
      </c>
      <c r="I491" s="19">
        <v>1</v>
      </c>
      <c r="J491" s="20">
        <v>1</v>
      </c>
    </row>
    <row r="492" spans="1:10" ht="15.75" thickBot="1" x14ac:dyDescent="0.3">
      <c r="A492" t="s">
        <v>31</v>
      </c>
      <c r="B49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2" s="15"/>
      <c r="D492" s="16" t="str">
        <f>"FS0044"</f>
        <v>FS0044</v>
      </c>
      <c r="E492" s="16">
        <v>10000</v>
      </c>
      <c r="F492" s="16" t="str">
        <f t="shared" si="65"/>
        <v>CASE016</v>
      </c>
      <c r="G492" s="17" t="str">
        <f t="shared" si="66"/>
        <v>Carton Tray for 12/24oz Applesauce jars</v>
      </c>
      <c r="H492" s="18" t="str">
        <f t="shared" si="64"/>
        <v>CARTON</v>
      </c>
      <c r="I492" s="19">
        <v>1</v>
      </c>
      <c r="J492" s="20">
        <v>1</v>
      </c>
    </row>
    <row r="493" spans="1:10" ht="15.75" thickBot="1" x14ac:dyDescent="0.3">
      <c r="A493" t="s">
        <v>31</v>
      </c>
      <c r="B49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3" s="15"/>
      <c r="D493" s="16" t="str">
        <f>"FS0045"</f>
        <v>FS0045</v>
      </c>
      <c r="E493" s="16">
        <v>10000</v>
      </c>
      <c r="F493" s="16" t="str">
        <f t="shared" si="65"/>
        <v>CASE016</v>
      </c>
      <c r="G493" s="17" t="str">
        <f t="shared" si="66"/>
        <v>Carton Tray for 12/24oz Applesauce jars</v>
      </c>
      <c r="H493" s="18" t="str">
        <f t="shared" si="64"/>
        <v>CARTON</v>
      </c>
      <c r="I493" s="19">
        <v>1</v>
      </c>
      <c r="J493" s="20">
        <v>1</v>
      </c>
    </row>
    <row r="494" spans="1:10" ht="15.75" thickBot="1" x14ac:dyDescent="0.3">
      <c r="A494" t="s">
        <v>31</v>
      </c>
      <c r="B49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4" s="15"/>
      <c r="D494" s="16" t="str">
        <f>"FS0046"</f>
        <v>FS0046</v>
      </c>
      <c r="E494" s="16">
        <v>10000</v>
      </c>
      <c r="F494" s="16" t="str">
        <f t="shared" si="65"/>
        <v>CASE016</v>
      </c>
      <c r="G494" s="17" t="str">
        <f t="shared" si="66"/>
        <v>Carton Tray for 12/24oz Applesauce jars</v>
      </c>
      <c r="H494" s="18" t="str">
        <f t="shared" si="64"/>
        <v>CARTON</v>
      </c>
      <c r="I494" s="19">
        <v>1</v>
      </c>
      <c r="J494" s="20">
        <v>1</v>
      </c>
    </row>
    <row r="495" spans="1:10" ht="15.75" thickBot="1" x14ac:dyDescent="0.3">
      <c r="A495" t="s">
        <v>31</v>
      </c>
      <c r="B49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5" s="15"/>
      <c r="D495" s="16" t="str">
        <f>"FS0048"</f>
        <v>FS0048</v>
      </c>
      <c r="E495" s="16">
        <v>10000</v>
      </c>
      <c r="F495" s="16" t="str">
        <f t="shared" si="65"/>
        <v>CASE016</v>
      </c>
      <c r="G495" s="17" t="str">
        <f t="shared" si="66"/>
        <v>Carton Tray for 12/24oz Applesauce jars</v>
      </c>
      <c r="H495" s="18" t="str">
        <f t="shared" si="64"/>
        <v>CARTON</v>
      </c>
      <c r="I495" s="19">
        <v>1</v>
      </c>
      <c r="J495" s="20">
        <v>1</v>
      </c>
    </row>
    <row r="496" spans="1:10" ht="15.75" thickBot="1" x14ac:dyDescent="0.3">
      <c r="A496" t="s">
        <v>31</v>
      </c>
      <c r="B49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6" s="15"/>
      <c r="D496" s="16" t="str">
        <f>"FS0049"</f>
        <v>FS0049</v>
      </c>
      <c r="E496" s="16">
        <v>10000</v>
      </c>
      <c r="F496" s="16" t="str">
        <f t="shared" si="65"/>
        <v>CASE016</v>
      </c>
      <c r="G496" s="17" t="str">
        <f t="shared" si="66"/>
        <v>Carton Tray for 12/24oz Applesauce jars</v>
      </c>
      <c r="H496" s="18" t="str">
        <f t="shared" si="64"/>
        <v>CARTON</v>
      </c>
      <c r="I496" s="19">
        <v>1</v>
      </c>
      <c r="J496" s="20">
        <v>1</v>
      </c>
    </row>
    <row r="497" spans="1:10" ht="15.75" thickBot="1" x14ac:dyDescent="0.3">
      <c r="A497" t="s">
        <v>31</v>
      </c>
      <c r="B49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7" s="15"/>
      <c r="D497" s="16" t="str">
        <f>"FS0053"</f>
        <v>FS0053</v>
      </c>
      <c r="E497" s="16">
        <v>10000</v>
      </c>
      <c r="F497" s="16" t="str">
        <f t="shared" si="65"/>
        <v>CASE016</v>
      </c>
      <c r="G497" s="17" t="str">
        <f t="shared" si="66"/>
        <v>Carton Tray for 12/24oz Applesauce jars</v>
      </c>
      <c r="H497" s="18" t="str">
        <f t="shared" si="64"/>
        <v>CARTON</v>
      </c>
      <c r="I497" s="19">
        <v>1</v>
      </c>
      <c r="J497" s="20">
        <v>1</v>
      </c>
    </row>
    <row r="498" spans="1:10" ht="15.75" thickBot="1" x14ac:dyDescent="0.3">
      <c r="A498" t="s">
        <v>31</v>
      </c>
      <c r="B49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8" s="15"/>
      <c r="D498" s="16" t="str">
        <f>"FS0054"</f>
        <v>FS0054</v>
      </c>
      <c r="E498" s="16">
        <v>10000</v>
      </c>
      <c r="F498" s="16" t="str">
        <f t="shared" si="65"/>
        <v>CASE016</v>
      </c>
      <c r="G498" s="17" t="str">
        <f t="shared" si="66"/>
        <v>Carton Tray for 12/24oz Applesauce jars</v>
      </c>
      <c r="H498" s="18" t="str">
        <f t="shared" si="64"/>
        <v>CARTON</v>
      </c>
      <c r="I498" s="19">
        <v>1</v>
      </c>
      <c r="J498" s="20">
        <v>1</v>
      </c>
    </row>
    <row r="499" spans="1:10" ht="15.75" thickBot="1" x14ac:dyDescent="0.3">
      <c r="A499" t="s">
        <v>31</v>
      </c>
      <c r="B49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9" s="15"/>
      <c r="D499" s="16" t="str">
        <f>"FS0055"</f>
        <v>FS0055</v>
      </c>
      <c r="E499" s="16">
        <v>10000</v>
      </c>
      <c r="F499" s="16" t="str">
        <f t="shared" si="65"/>
        <v>CASE016</v>
      </c>
      <c r="G499" s="17" t="str">
        <f t="shared" si="66"/>
        <v>Carton Tray for 12/24oz Applesauce jars</v>
      </c>
      <c r="H499" s="18" t="str">
        <f t="shared" si="64"/>
        <v>CARTON</v>
      </c>
      <c r="I499" s="19">
        <v>1</v>
      </c>
      <c r="J499" s="20">
        <v>1</v>
      </c>
    </row>
    <row r="500" spans="1:10" ht="15.75" thickBot="1" x14ac:dyDescent="0.3">
      <c r="A500" t="s">
        <v>31</v>
      </c>
      <c r="B50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0" s="15"/>
      <c r="D500" s="16" t="str">
        <f>"FS0056"</f>
        <v>FS0056</v>
      </c>
      <c r="E500" s="16">
        <v>10000</v>
      </c>
      <c r="F500" s="16" t="str">
        <f t="shared" si="65"/>
        <v>CASE016</v>
      </c>
      <c r="G500" s="17" t="str">
        <f t="shared" si="66"/>
        <v>Carton Tray for 12/24oz Applesauce jars</v>
      </c>
      <c r="H500" s="18" t="str">
        <f t="shared" si="64"/>
        <v>CARTON</v>
      </c>
      <c r="I500" s="19">
        <v>1</v>
      </c>
      <c r="J500" s="20">
        <v>1</v>
      </c>
    </row>
    <row r="501" spans="1:10" ht="15.75" thickBot="1" x14ac:dyDescent="0.3">
      <c r="A501" t="s">
        <v>31</v>
      </c>
      <c r="B50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1" s="15"/>
      <c r="D501" s="16" t="str">
        <f>"FS0057"</f>
        <v>FS0057</v>
      </c>
      <c r="E501" s="16">
        <v>10000</v>
      </c>
      <c r="F501" s="16" t="str">
        <f t="shared" si="65"/>
        <v>CASE016</v>
      </c>
      <c r="G501" s="17" t="str">
        <f t="shared" si="66"/>
        <v>Carton Tray for 12/24oz Applesauce jars</v>
      </c>
      <c r="H501" s="18" t="str">
        <f t="shared" si="64"/>
        <v>CARTON</v>
      </c>
      <c r="I501" s="19">
        <v>1</v>
      </c>
      <c r="J501" s="20">
        <v>1</v>
      </c>
    </row>
    <row r="502" spans="1:10" ht="15.75" thickBot="1" x14ac:dyDescent="0.3">
      <c r="A502" t="s">
        <v>31</v>
      </c>
      <c r="B50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2" s="15"/>
      <c r="D502" s="16" t="str">
        <f>"FS0058"</f>
        <v>FS0058</v>
      </c>
      <c r="E502" s="16">
        <v>10000</v>
      </c>
      <c r="F502" s="16" t="str">
        <f t="shared" si="65"/>
        <v>CASE016</v>
      </c>
      <c r="G502" s="17" t="str">
        <f t="shared" si="66"/>
        <v>Carton Tray for 12/24oz Applesauce jars</v>
      </c>
      <c r="H502" s="18" t="str">
        <f t="shared" si="64"/>
        <v>CARTON</v>
      </c>
      <c r="I502" s="19">
        <v>1</v>
      </c>
      <c r="J502" s="20">
        <v>1</v>
      </c>
    </row>
    <row r="503" spans="1:10" ht="15.75" thickBot="1" x14ac:dyDescent="0.3">
      <c r="A503" t="s">
        <v>31</v>
      </c>
      <c r="B50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3" s="15"/>
      <c r="D503" s="16" t="str">
        <f>"FS0059"</f>
        <v>FS0059</v>
      </c>
      <c r="E503" s="16">
        <v>10000</v>
      </c>
      <c r="F503" s="16" t="str">
        <f t="shared" si="65"/>
        <v>CASE016</v>
      </c>
      <c r="G503" s="17" t="str">
        <f t="shared" si="66"/>
        <v>Carton Tray for 12/24oz Applesauce jars</v>
      </c>
      <c r="H503" s="18" t="str">
        <f t="shared" si="64"/>
        <v>CARTON</v>
      </c>
      <c r="I503" s="19">
        <v>1</v>
      </c>
      <c r="J503" s="20">
        <v>1</v>
      </c>
    </row>
    <row r="504" spans="1:10" ht="15.75" thickBot="1" x14ac:dyDescent="0.3">
      <c r="A504" t="s">
        <v>31</v>
      </c>
      <c r="B50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4" s="15"/>
      <c r="D504" s="16" t="str">
        <f>"FS0060"</f>
        <v>FS0060</v>
      </c>
      <c r="E504" s="16">
        <v>10000</v>
      </c>
      <c r="F504" s="16" t="str">
        <f t="shared" si="65"/>
        <v>CASE016</v>
      </c>
      <c r="G504" s="17" t="str">
        <f t="shared" si="66"/>
        <v>Carton Tray for 12/24oz Applesauce jars</v>
      </c>
      <c r="H504" s="18" t="str">
        <f t="shared" si="64"/>
        <v>CARTON</v>
      </c>
      <c r="I504" s="19">
        <v>1</v>
      </c>
      <c r="J504" s="20">
        <v>1</v>
      </c>
    </row>
    <row r="505" spans="1:10" ht="15.75" thickBot="1" x14ac:dyDescent="0.3">
      <c r="A505" t="s">
        <v>31</v>
      </c>
      <c r="B50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5" s="15"/>
      <c r="D505" s="16" t="str">
        <f>"FS0061"</f>
        <v>FS0061</v>
      </c>
      <c r="E505" s="16">
        <v>10000</v>
      </c>
      <c r="F505" s="16" t="str">
        <f t="shared" si="65"/>
        <v>CASE016</v>
      </c>
      <c r="G505" s="17" t="str">
        <f t="shared" si="66"/>
        <v>Carton Tray for 12/24oz Applesauce jars</v>
      </c>
      <c r="H505" s="18" t="str">
        <f t="shared" si="64"/>
        <v>CARTON</v>
      </c>
      <c r="I505" s="19">
        <v>1</v>
      </c>
      <c r="J505" s="20">
        <v>1</v>
      </c>
    </row>
    <row r="506" spans="1:10" ht="15.75" thickBot="1" x14ac:dyDescent="0.3">
      <c r="A506" t="s">
        <v>31</v>
      </c>
      <c r="B50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6" s="15"/>
      <c r="D506" s="16" t="str">
        <f>"FS0062"</f>
        <v>FS0062</v>
      </c>
      <c r="E506" s="16">
        <v>10000</v>
      </c>
      <c r="F506" s="16" t="str">
        <f t="shared" si="65"/>
        <v>CASE016</v>
      </c>
      <c r="G506" s="17" t="str">
        <f t="shared" si="66"/>
        <v>Carton Tray for 12/24oz Applesauce jars</v>
      </c>
      <c r="H506" s="18" t="str">
        <f t="shared" si="64"/>
        <v>CARTON</v>
      </c>
      <c r="I506" s="19">
        <v>1</v>
      </c>
      <c r="J506" s="20">
        <v>1</v>
      </c>
    </row>
    <row r="507" spans="1:10" ht="15.75" thickBot="1" x14ac:dyDescent="0.3">
      <c r="A507" t="s">
        <v>31</v>
      </c>
      <c r="B50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7" s="15"/>
      <c r="D507" s="16" t="str">
        <f>"FS0063"</f>
        <v>FS0063</v>
      </c>
      <c r="E507" s="16">
        <v>10000</v>
      </c>
      <c r="F507" s="16" t="str">
        <f t="shared" si="65"/>
        <v>CASE016</v>
      </c>
      <c r="G507" s="17" t="str">
        <f t="shared" si="66"/>
        <v>Carton Tray for 12/24oz Applesauce jars</v>
      </c>
      <c r="H507" s="18" t="str">
        <f t="shared" si="64"/>
        <v>CARTON</v>
      </c>
      <c r="I507" s="19">
        <v>1</v>
      </c>
      <c r="J507" s="20">
        <v>1</v>
      </c>
    </row>
    <row r="508" spans="1:10" ht="15.75" thickBot="1" x14ac:dyDescent="0.3">
      <c r="A508" t="s">
        <v>31</v>
      </c>
      <c r="B50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8" s="15"/>
      <c r="D508" s="16" t="str">
        <f>"FS0064"</f>
        <v>FS0064</v>
      </c>
      <c r="E508" s="16">
        <v>10000</v>
      </c>
      <c r="F508" s="16" t="str">
        <f t="shared" si="65"/>
        <v>CASE016</v>
      </c>
      <c r="G508" s="17" t="str">
        <f t="shared" si="66"/>
        <v>Carton Tray for 12/24oz Applesauce jars</v>
      </c>
      <c r="H508" s="18" t="str">
        <f t="shared" si="64"/>
        <v>CARTON</v>
      </c>
      <c r="I508" s="19">
        <v>1</v>
      </c>
      <c r="J508" s="20">
        <v>1</v>
      </c>
    </row>
    <row r="509" spans="1:10" ht="15.75" thickBot="1" x14ac:dyDescent="0.3">
      <c r="A509" t="s">
        <v>31</v>
      </c>
      <c r="B50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0064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0064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9" s="15"/>
      <c r="D509" s="16" t="str">
        <f>"FS0064B"</f>
        <v>FS0064B</v>
      </c>
      <c r="E509" s="16">
        <v>10000</v>
      </c>
      <c r="F509" s="16" t="str">
        <f t="shared" si="65"/>
        <v>CASE016</v>
      </c>
      <c r="G509" s="17" t="str">
        <f t="shared" si="66"/>
        <v>Carton Tray for 12/24oz Applesauce jars</v>
      </c>
      <c r="H509" s="18" t="str">
        <f t="shared" si="64"/>
        <v>CARTON</v>
      </c>
      <c r="I509" s="19">
        <v>1</v>
      </c>
      <c r="J509" s="20">
        <v>1</v>
      </c>
    </row>
    <row r="510" spans="1:10" ht="15.75" thickBot="1" x14ac:dyDescent="0.3">
      <c r="A510" t="s">
        <v>31</v>
      </c>
      <c r="B51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0" s="15"/>
      <c r="D510" s="16" t="str">
        <f>"FS0065"</f>
        <v>FS0065</v>
      </c>
      <c r="E510" s="16">
        <v>10000</v>
      </c>
      <c r="F510" s="16" t="str">
        <f t="shared" si="65"/>
        <v>CASE016</v>
      </c>
      <c r="G510" s="17" t="str">
        <f t="shared" si="66"/>
        <v>Carton Tray for 12/24oz Applesauce jars</v>
      </c>
      <c r="H510" s="18" t="str">
        <f t="shared" si="64"/>
        <v>CARTON</v>
      </c>
      <c r="I510" s="19">
        <v>1</v>
      </c>
      <c r="J510" s="20">
        <v>1</v>
      </c>
    </row>
    <row r="511" spans="1:10" ht="15.75" thickBot="1" x14ac:dyDescent="0.3">
      <c r="A511" t="s">
        <v>31</v>
      </c>
      <c r="B51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0065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0065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1" s="15"/>
      <c r="D511" s="16" t="str">
        <f>"FS0065B"</f>
        <v>FS0065B</v>
      </c>
      <c r="E511" s="16">
        <v>10000</v>
      </c>
      <c r="F511" s="16" t="str">
        <f t="shared" si="65"/>
        <v>CASE016</v>
      </c>
      <c r="G511" s="17" t="str">
        <f t="shared" si="66"/>
        <v>Carton Tray for 12/24oz Applesauce jars</v>
      </c>
      <c r="H511" s="18" t="str">
        <f t="shared" si="64"/>
        <v>CARTON</v>
      </c>
      <c r="I511" s="19">
        <v>1</v>
      </c>
      <c r="J511" s="20">
        <v>1</v>
      </c>
    </row>
    <row r="512" spans="1:10" ht="15.75" thickBot="1" x14ac:dyDescent="0.3">
      <c r="A512" t="s">
        <v>31</v>
      </c>
      <c r="B51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2" s="15"/>
      <c r="D512" s="16" t="str">
        <f>"FS0066"</f>
        <v>FS0066</v>
      </c>
      <c r="E512" s="16">
        <v>10000</v>
      </c>
      <c r="F512" s="16" t="str">
        <f t="shared" si="65"/>
        <v>CASE016</v>
      </c>
      <c r="G512" s="17" t="str">
        <f t="shared" si="66"/>
        <v>Carton Tray for 12/24oz Applesauce jars</v>
      </c>
      <c r="H512" s="18" t="str">
        <f t="shared" si="64"/>
        <v>CARTON</v>
      </c>
      <c r="I512" s="19">
        <v>1</v>
      </c>
      <c r="J512" s="20">
        <v>1</v>
      </c>
    </row>
    <row r="513" spans="1:10" ht="15.75" thickBot="1" x14ac:dyDescent="0.3">
      <c r="A513" t="s">
        <v>31</v>
      </c>
      <c r="B51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0066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0066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3" s="15"/>
      <c r="D513" s="16" t="str">
        <f>"FS0066B"</f>
        <v>FS0066B</v>
      </c>
      <c r="E513" s="16">
        <v>10000</v>
      </c>
      <c r="F513" s="16" t="str">
        <f t="shared" si="65"/>
        <v>CASE016</v>
      </c>
      <c r="G513" s="17" t="str">
        <f t="shared" si="66"/>
        <v>Carton Tray for 12/24oz Applesauce jars</v>
      </c>
      <c r="H513" s="18" t="str">
        <f t="shared" si="64"/>
        <v>CARTON</v>
      </c>
      <c r="I513" s="19">
        <v>1</v>
      </c>
      <c r="J513" s="20">
        <v>1</v>
      </c>
    </row>
    <row r="514" spans="1:10" ht="15.75" thickBot="1" x14ac:dyDescent="0.3">
      <c r="A514" t="s">
        <v>31</v>
      </c>
      <c r="B51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4" s="15"/>
      <c r="D514" s="16" t="str">
        <f>"FS0067"</f>
        <v>FS0067</v>
      </c>
      <c r="E514" s="16">
        <v>10000</v>
      </c>
      <c r="F514" s="16" t="str">
        <f t="shared" si="65"/>
        <v>CASE016</v>
      </c>
      <c r="G514" s="17" t="str">
        <f t="shared" si="66"/>
        <v>Carton Tray for 12/24oz Applesauce jars</v>
      </c>
      <c r="H514" s="18" t="str">
        <f t="shared" si="64"/>
        <v>CARTON</v>
      </c>
      <c r="I514" s="19">
        <v>1</v>
      </c>
      <c r="J514" s="20">
        <v>1</v>
      </c>
    </row>
    <row r="515" spans="1:10" ht="15.75" thickBot="1" x14ac:dyDescent="0.3">
      <c r="A515" t="s">
        <v>31</v>
      </c>
      <c r="B51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0067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0067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5" s="15"/>
      <c r="D515" s="16" t="str">
        <f>"FS0067B"</f>
        <v>FS0067B</v>
      </c>
      <c r="E515" s="16">
        <v>10000</v>
      </c>
      <c r="F515" s="16" t="str">
        <f t="shared" si="65"/>
        <v>CASE016</v>
      </c>
      <c r="G515" s="17" t="str">
        <f t="shared" si="66"/>
        <v>Carton Tray for 12/24oz Applesauce jars</v>
      </c>
      <c r="H515" s="18" t="str">
        <f t="shared" si="64"/>
        <v>CARTON</v>
      </c>
      <c r="I515" s="19">
        <v>1</v>
      </c>
      <c r="J515" s="20">
        <v>1</v>
      </c>
    </row>
    <row r="516" spans="1:10" ht="15.75" thickBot="1" x14ac:dyDescent="0.3">
      <c r="A516" t="s">
        <v>31</v>
      </c>
      <c r="B51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6" s="15"/>
      <c r="D516" s="16" t="str">
        <f>"FS0068"</f>
        <v>FS0068</v>
      </c>
      <c r="E516" s="16">
        <v>10000</v>
      </c>
      <c r="F516" s="16" t="str">
        <f t="shared" si="65"/>
        <v>CASE016</v>
      </c>
      <c r="G516" s="17" t="str">
        <f t="shared" si="66"/>
        <v>Carton Tray for 12/24oz Applesauce jars</v>
      </c>
      <c r="H516" s="18" t="str">
        <f t="shared" si="64"/>
        <v>CARTON</v>
      </c>
      <c r="I516" s="19">
        <v>1</v>
      </c>
      <c r="J516" s="20">
        <v>1</v>
      </c>
    </row>
    <row r="517" spans="1:10" ht="15.75" thickBot="1" x14ac:dyDescent="0.3">
      <c r="A517" t="s">
        <v>31</v>
      </c>
      <c r="B51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0068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0068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7" s="15"/>
      <c r="D517" s="16" t="str">
        <f>"FS0068B"</f>
        <v>FS0068B</v>
      </c>
      <c r="E517" s="16">
        <v>10000</v>
      </c>
      <c r="F517" s="16" t="str">
        <f t="shared" si="65"/>
        <v>CASE016</v>
      </c>
      <c r="G517" s="17" t="str">
        <f t="shared" si="66"/>
        <v>Carton Tray for 12/24oz Applesauce jars</v>
      </c>
      <c r="H517" s="18" t="str">
        <f t="shared" si="64"/>
        <v>CARTON</v>
      </c>
      <c r="I517" s="19">
        <v>1</v>
      </c>
      <c r="J517" s="20">
        <v>1</v>
      </c>
    </row>
    <row r="518" spans="1:10" ht="15.75" thickBot="1" x14ac:dyDescent="0.3">
      <c r="A518" t="s">
        <v>31</v>
      </c>
      <c r="B51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8" s="15"/>
      <c r="D518" s="16" t="str">
        <f>"FS0069"</f>
        <v>FS0069</v>
      </c>
      <c r="E518" s="16">
        <v>10000</v>
      </c>
      <c r="F518" s="16" t="str">
        <f t="shared" si="65"/>
        <v>CASE016</v>
      </c>
      <c r="G518" s="17" t="str">
        <f t="shared" si="66"/>
        <v>Carton Tray for 12/24oz Applesauce jars</v>
      </c>
      <c r="H518" s="18" t="str">
        <f t="shared" si="64"/>
        <v>CARTON</v>
      </c>
      <c r="I518" s="19">
        <v>1</v>
      </c>
      <c r="J518" s="20">
        <v>1</v>
      </c>
    </row>
    <row r="519" spans="1:10" ht="15.75" thickBot="1" x14ac:dyDescent="0.3">
      <c r="A519" t="s">
        <v>31</v>
      </c>
      <c r="B51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0069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0069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9" s="15"/>
      <c r="D519" s="16" t="str">
        <f>"FS0069B"</f>
        <v>FS0069B</v>
      </c>
      <c r="E519" s="16">
        <v>10000</v>
      </c>
      <c r="F519" s="16" t="str">
        <f t="shared" si="65"/>
        <v>CASE016</v>
      </c>
      <c r="G519" s="17" t="str">
        <f t="shared" si="66"/>
        <v>Carton Tray for 12/24oz Applesauce jars</v>
      </c>
      <c r="H519" s="18" t="str">
        <f t="shared" si="64"/>
        <v>CARTON</v>
      </c>
      <c r="I519" s="19">
        <v>1</v>
      </c>
      <c r="J519" s="20">
        <v>1</v>
      </c>
    </row>
    <row r="520" spans="1:10" ht="15.75" thickBot="1" x14ac:dyDescent="0.3">
      <c r="A520" t="s">
        <v>31</v>
      </c>
      <c r="B52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0" s="15"/>
      <c r="D520" s="16" t="str">
        <f>"FS0070"</f>
        <v>FS0070</v>
      </c>
      <c r="E520" s="16">
        <v>10000</v>
      </c>
      <c r="F520" s="16" t="str">
        <f t="shared" si="65"/>
        <v>CASE016</v>
      </c>
      <c r="G520" s="17" t="str">
        <f t="shared" si="66"/>
        <v>Carton Tray for 12/24oz Applesauce jars</v>
      </c>
      <c r="H520" s="18" t="str">
        <f t="shared" si="64"/>
        <v>CARTON</v>
      </c>
      <c r="I520" s="19">
        <v>1</v>
      </c>
      <c r="J520" s="20">
        <v>1</v>
      </c>
    </row>
    <row r="521" spans="1:10" ht="15.75" thickBot="1" x14ac:dyDescent="0.3">
      <c r="A521" t="s">
        <v>31</v>
      </c>
      <c r="B52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1" s="15"/>
      <c r="D521" s="16" t="str">
        <f>"FS0071"</f>
        <v>FS0071</v>
      </c>
      <c r="E521" s="16">
        <v>10000</v>
      </c>
      <c r="F521" s="16" t="str">
        <f t="shared" si="65"/>
        <v>CASE016</v>
      </c>
      <c r="G521" s="17" t="str">
        <f t="shared" si="66"/>
        <v>Carton Tray for 12/24oz Applesauce jars</v>
      </c>
      <c r="H521" s="18" t="str">
        <f t="shared" ref="H521:H584" si="67">"CARTON"</f>
        <v>CARTON</v>
      </c>
      <c r="I521" s="19">
        <v>1</v>
      </c>
      <c r="J521" s="20">
        <v>1</v>
      </c>
    </row>
    <row r="522" spans="1:10" ht="15.75" thickBot="1" x14ac:dyDescent="0.3">
      <c r="A522" t="s">
        <v>31</v>
      </c>
      <c r="B52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2" s="15"/>
      <c r="D522" s="16" t="str">
        <f>"FS0072"</f>
        <v>FS0072</v>
      </c>
      <c r="E522" s="16">
        <v>10000</v>
      </c>
      <c r="F522" s="16" t="str">
        <f t="shared" ref="F522:F575" si="68">"CASE016"</f>
        <v>CASE016</v>
      </c>
      <c r="G522" s="17" t="str">
        <f t="shared" ref="G522:G573" si="69">"Carton Tray for 12/24oz Applesauce jars"</f>
        <v>Carton Tray for 12/24oz Applesauce jars</v>
      </c>
      <c r="H522" s="18" t="str">
        <f t="shared" si="67"/>
        <v>CARTON</v>
      </c>
      <c r="I522" s="19">
        <v>1</v>
      </c>
      <c r="J522" s="20">
        <v>1</v>
      </c>
    </row>
    <row r="523" spans="1:10" ht="15.75" thickBot="1" x14ac:dyDescent="0.3">
      <c r="A523" t="s">
        <v>31</v>
      </c>
      <c r="B52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0072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0072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3" s="15"/>
      <c r="D523" s="16" t="str">
        <f>"FS0072B"</f>
        <v>FS0072B</v>
      </c>
      <c r="E523" s="16">
        <v>10000</v>
      </c>
      <c r="F523" s="16" t="str">
        <f t="shared" si="68"/>
        <v>CASE016</v>
      </c>
      <c r="G523" s="17" t="str">
        <f t="shared" si="69"/>
        <v>Carton Tray for 12/24oz Applesauce jars</v>
      </c>
      <c r="H523" s="18" t="str">
        <f t="shared" si="67"/>
        <v>CARTON</v>
      </c>
      <c r="I523" s="19">
        <v>1</v>
      </c>
      <c r="J523" s="20">
        <v>1</v>
      </c>
    </row>
    <row r="524" spans="1:10" ht="15.75" thickBot="1" x14ac:dyDescent="0.3">
      <c r="A524" t="s">
        <v>31</v>
      </c>
      <c r="B52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4" s="15"/>
      <c r="D524" s="16" t="str">
        <f>"FS0073"</f>
        <v>FS0073</v>
      </c>
      <c r="E524" s="16">
        <v>10000</v>
      </c>
      <c r="F524" s="16" t="str">
        <f t="shared" si="68"/>
        <v>CASE016</v>
      </c>
      <c r="G524" s="17" t="str">
        <f t="shared" si="69"/>
        <v>Carton Tray for 12/24oz Applesauce jars</v>
      </c>
      <c r="H524" s="18" t="str">
        <f t="shared" si="67"/>
        <v>CARTON</v>
      </c>
      <c r="I524" s="19">
        <v>1</v>
      </c>
      <c r="J524" s="20">
        <v>1</v>
      </c>
    </row>
    <row r="525" spans="1:10" ht="15.75" thickBot="1" x14ac:dyDescent="0.3">
      <c r="A525" t="s">
        <v>31</v>
      </c>
      <c r="B52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0073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0073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5" s="15"/>
      <c r="D525" s="16" t="str">
        <f>"FS0073B"</f>
        <v>FS0073B</v>
      </c>
      <c r="E525" s="16">
        <v>10000</v>
      </c>
      <c r="F525" s="16" t="str">
        <f t="shared" si="68"/>
        <v>CASE016</v>
      </c>
      <c r="G525" s="17" t="str">
        <f t="shared" si="69"/>
        <v>Carton Tray for 12/24oz Applesauce jars</v>
      </c>
      <c r="H525" s="18" t="str">
        <f t="shared" si="67"/>
        <v>CARTON</v>
      </c>
      <c r="I525" s="19">
        <v>1</v>
      </c>
      <c r="J525" s="20">
        <v>1</v>
      </c>
    </row>
    <row r="526" spans="1:10" ht="15.75" thickBot="1" x14ac:dyDescent="0.3">
      <c r="A526" t="s">
        <v>31</v>
      </c>
      <c r="B52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6" s="15"/>
      <c r="D526" s="16" t="str">
        <f>"FS0074"</f>
        <v>FS0074</v>
      </c>
      <c r="E526" s="16">
        <v>10000</v>
      </c>
      <c r="F526" s="16" t="str">
        <f t="shared" si="68"/>
        <v>CASE016</v>
      </c>
      <c r="G526" s="17" t="str">
        <f t="shared" si="69"/>
        <v>Carton Tray for 12/24oz Applesauce jars</v>
      </c>
      <c r="H526" s="18" t="str">
        <f t="shared" si="67"/>
        <v>CARTON</v>
      </c>
      <c r="I526" s="19">
        <v>1</v>
      </c>
      <c r="J526" s="20">
        <v>1</v>
      </c>
    </row>
    <row r="527" spans="1:10" ht="15.75" thickBot="1" x14ac:dyDescent="0.3">
      <c r="A527" t="s">
        <v>31</v>
      </c>
      <c r="B52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7" s="15"/>
      <c r="D527" s="16" t="str">
        <f>"FS0113"</f>
        <v>FS0113</v>
      </c>
      <c r="E527" s="16">
        <v>10000</v>
      </c>
      <c r="F527" s="16" t="str">
        <f t="shared" si="68"/>
        <v>CASE016</v>
      </c>
      <c r="G527" s="17" t="str">
        <f t="shared" si="69"/>
        <v>Carton Tray for 12/24oz Applesauce jars</v>
      </c>
      <c r="H527" s="18" t="str">
        <f t="shared" si="67"/>
        <v>CARTON</v>
      </c>
      <c r="I527" s="19">
        <v>1</v>
      </c>
      <c r="J527" s="20">
        <v>1</v>
      </c>
    </row>
    <row r="528" spans="1:10" ht="15.75" thickBot="1" x14ac:dyDescent="0.3">
      <c r="A528" t="s">
        <v>31</v>
      </c>
      <c r="B52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0113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0113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8" s="15"/>
      <c r="D528" s="16" t="str">
        <f>"FS0113B"</f>
        <v>FS0113B</v>
      </c>
      <c r="E528" s="16">
        <v>10000</v>
      </c>
      <c r="F528" s="16" t="str">
        <f t="shared" si="68"/>
        <v>CASE016</v>
      </c>
      <c r="G528" s="17" t="str">
        <f t="shared" si="69"/>
        <v>Carton Tray for 12/24oz Applesauce jars</v>
      </c>
      <c r="H528" s="18" t="str">
        <f t="shared" si="67"/>
        <v>CARTON</v>
      </c>
      <c r="I528" s="19">
        <v>1</v>
      </c>
      <c r="J528" s="20">
        <v>1</v>
      </c>
    </row>
    <row r="529" spans="1:10" ht="15.75" thickBot="1" x14ac:dyDescent="0.3">
      <c r="A529" t="s">
        <v>31</v>
      </c>
      <c r="B52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9" s="15"/>
      <c r="D529" s="16" t="str">
        <f>"FS0116"</f>
        <v>FS0116</v>
      </c>
      <c r="E529" s="16">
        <v>10000</v>
      </c>
      <c r="F529" s="16" t="str">
        <f t="shared" si="68"/>
        <v>CASE016</v>
      </c>
      <c r="G529" s="17" t="str">
        <f t="shared" si="69"/>
        <v>Carton Tray for 12/24oz Applesauce jars</v>
      </c>
      <c r="H529" s="18" t="str">
        <f t="shared" si="67"/>
        <v>CARTON</v>
      </c>
      <c r="I529" s="19">
        <v>1</v>
      </c>
      <c r="J529" s="20">
        <v>1</v>
      </c>
    </row>
    <row r="530" spans="1:10" ht="15.75" thickBot="1" x14ac:dyDescent="0.3">
      <c r="A530" t="s">
        <v>31</v>
      </c>
      <c r="B53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0" s="15"/>
      <c r="D530" s="16" t="str">
        <f>"FS0117"</f>
        <v>FS0117</v>
      </c>
      <c r="E530" s="16">
        <v>10000</v>
      </c>
      <c r="F530" s="16" t="str">
        <f t="shared" si="68"/>
        <v>CASE016</v>
      </c>
      <c r="G530" s="17" t="str">
        <f t="shared" si="69"/>
        <v>Carton Tray for 12/24oz Applesauce jars</v>
      </c>
      <c r="H530" s="18" t="str">
        <f t="shared" si="67"/>
        <v>CARTON</v>
      </c>
      <c r="I530" s="19">
        <v>1</v>
      </c>
      <c r="J530" s="20">
        <v>1</v>
      </c>
    </row>
    <row r="531" spans="1:10" ht="15.75" thickBot="1" x14ac:dyDescent="0.3">
      <c r="A531" t="s">
        <v>31</v>
      </c>
      <c r="B53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1" s="15"/>
      <c r="D531" s="16" t="str">
        <f>"FS0119"</f>
        <v>FS0119</v>
      </c>
      <c r="E531" s="16">
        <v>10000</v>
      </c>
      <c r="F531" s="16" t="str">
        <f t="shared" si="68"/>
        <v>CASE016</v>
      </c>
      <c r="G531" s="17" t="str">
        <f t="shared" si="69"/>
        <v>Carton Tray for 12/24oz Applesauce jars</v>
      </c>
      <c r="H531" s="18" t="str">
        <f t="shared" si="67"/>
        <v>CARTON</v>
      </c>
      <c r="I531" s="19">
        <v>1</v>
      </c>
      <c r="J531" s="20">
        <v>1</v>
      </c>
    </row>
    <row r="532" spans="1:10" ht="15.75" thickBot="1" x14ac:dyDescent="0.3">
      <c r="A532" t="s">
        <v>31</v>
      </c>
      <c r="B53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0120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2" s="15"/>
      <c r="D532" s="16" t="str">
        <f>"FS0120"</f>
        <v>FS0120</v>
      </c>
      <c r="E532" s="16">
        <v>10000</v>
      </c>
      <c r="F532" s="16" t="str">
        <f t="shared" si="68"/>
        <v>CASE016</v>
      </c>
      <c r="G532" s="17" t="str">
        <f t="shared" si="69"/>
        <v>Carton Tray for 12/24oz Applesauce jars</v>
      </c>
      <c r="H532" s="18" t="str">
        <f t="shared" si="67"/>
        <v>CARTON</v>
      </c>
      <c r="I532" s="19">
        <v>1</v>
      </c>
      <c r="J532" s="20">
        <v>1</v>
      </c>
    </row>
    <row r="533" spans="1:10" ht="15.75" thickBot="1" x14ac:dyDescent="0.3">
      <c r="A533" t="s">
        <v>31</v>
      </c>
      <c r="B53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0121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0121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3" s="15"/>
      <c r="D533" s="16" t="str">
        <f>"FS0121"</f>
        <v>FS0121</v>
      </c>
      <c r="E533" s="16">
        <v>10000</v>
      </c>
      <c r="F533" s="16" t="str">
        <f t="shared" si="68"/>
        <v>CASE016</v>
      </c>
      <c r="G533" s="17" t="str">
        <f t="shared" si="69"/>
        <v>Carton Tray for 12/24oz Applesauce jars</v>
      </c>
      <c r="H533" s="18" t="str">
        <f t="shared" si="67"/>
        <v>CARTON</v>
      </c>
      <c r="I533" s="19">
        <v>1</v>
      </c>
      <c r="J533" s="20">
        <v>1</v>
      </c>
    </row>
    <row r="534" spans="1:10" ht="15.75" thickBot="1" x14ac:dyDescent="0.3">
      <c r="A534" t="s">
        <v>31</v>
      </c>
      <c r="B53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0122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0122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4" s="15"/>
      <c r="D534" s="16" t="str">
        <f>"FS0122"</f>
        <v>FS0122</v>
      </c>
      <c r="E534" s="16">
        <v>10000</v>
      </c>
      <c r="F534" s="16" t="str">
        <f t="shared" si="68"/>
        <v>CASE016</v>
      </c>
      <c r="G534" s="17" t="str">
        <f t="shared" si="69"/>
        <v>Carton Tray for 12/24oz Applesauce jars</v>
      </c>
      <c r="H534" s="18" t="str">
        <f t="shared" si="67"/>
        <v>CARTON</v>
      </c>
      <c r="I534" s="19">
        <v>1</v>
      </c>
      <c r="J534" s="20">
        <v>1</v>
      </c>
    </row>
    <row r="535" spans="1:10" ht="15.75" thickBot="1" x14ac:dyDescent="0.3">
      <c r="A535" t="s">
        <v>31</v>
      </c>
      <c r="B53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0148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0148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5" s="15"/>
      <c r="D535" s="16" t="str">
        <f>"FS0148"</f>
        <v>FS0148</v>
      </c>
      <c r="E535" s="16">
        <v>10000</v>
      </c>
      <c r="F535" s="16" t="str">
        <f t="shared" si="68"/>
        <v>CASE016</v>
      </c>
      <c r="G535" s="17" t="str">
        <f t="shared" si="69"/>
        <v>Carton Tray for 12/24oz Applesauce jars</v>
      </c>
      <c r="H535" s="18" t="str">
        <f t="shared" si="67"/>
        <v>CARTON</v>
      </c>
      <c r="I535" s="19">
        <v>1</v>
      </c>
      <c r="J535" s="20">
        <v>1</v>
      </c>
    </row>
    <row r="536" spans="1:10" ht="15.75" thickBot="1" x14ac:dyDescent="0.3">
      <c r="A536" t="s">
        <v>31</v>
      </c>
      <c r="B53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0164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0164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6" s="15"/>
      <c r="D536" s="16" t="str">
        <f>"FS0164"</f>
        <v>FS0164</v>
      </c>
      <c r="E536" s="16">
        <v>10000</v>
      </c>
      <c r="F536" s="16" t="str">
        <f t="shared" si="68"/>
        <v>CASE016</v>
      </c>
      <c r="G536" s="17" t="str">
        <f t="shared" si="69"/>
        <v>Carton Tray for 12/24oz Applesauce jars</v>
      </c>
      <c r="H536" s="18" t="str">
        <f t="shared" si="67"/>
        <v>CARTON</v>
      </c>
      <c r="I536" s="19">
        <v>1</v>
      </c>
      <c r="J536" s="20">
        <v>1</v>
      </c>
    </row>
    <row r="537" spans="1:10" ht="15.75" thickBot="1" x14ac:dyDescent="0.3">
      <c r="A537" t="s">
        <v>31</v>
      </c>
      <c r="B53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0167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0167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7" s="15"/>
      <c r="D537" s="16" t="str">
        <f>"FS0167"</f>
        <v>FS0167</v>
      </c>
      <c r="E537" s="16">
        <v>10000</v>
      </c>
      <c r="F537" s="16" t="str">
        <f t="shared" si="68"/>
        <v>CASE016</v>
      </c>
      <c r="G537" s="17" t="str">
        <f t="shared" si="69"/>
        <v>Carton Tray for 12/24oz Applesauce jars</v>
      </c>
      <c r="H537" s="18" t="str">
        <f t="shared" si="67"/>
        <v>CARTON</v>
      </c>
      <c r="I537" s="19">
        <v>1</v>
      </c>
      <c r="J537" s="20">
        <v>1</v>
      </c>
    </row>
    <row r="538" spans="1:10" ht="15.75" thickBot="1" x14ac:dyDescent="0.3">
      <c r="A538" t="s">
        <v>31</v>
      </c>
      <c r="B53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0178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0178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8" s="15"/>
      <c r="D538" s="16" t="str">
        <f>"FS0178"</f>
        <v>FS0178</v>
      </c>
      <c r="E538" s="16">
        <v>10000</v>
      </c>
      <c r="F538" s="16" t="str">
        <f t="shared" si="68"/>
        <v>CASE016</v>
      </c>
      <c r="G538" s="17" t="str">
        <f t="shared" si="69"/>
        <v>Carton Tray for 12/24oz Applesauce jars</v>
      </c>
      <c r="H538" s="18" t="str">
        <f t="shared" si="67"/>
        <v>CARTON</v>
      </c>
      <c r="I538" s="19">
        <v>1</v>
      </c>
      <c r="J538" s="20">
        <v>1</v>
      </c>
    </row>
    <row r="539" spans="1:10" ht="15.75" thickBot="1" x14ac:dyDescent="0.3">
      <c r="A539" t="s">
        <v>31</v>
      </c>
      <c r="B53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0179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0179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9" s="15"/>
      <c r="D539" s="16" t="str">
        <f>"FS0179"</f>
        <v>FS0179</v>
      </c>
      <c r="E539" s="16">
        <v>10000</v>
      </c>
      <c r="F539" s="16" t="str">
        <f t="shared" si="68"/>
        <v>CASE016</v>
      </c>
      <c r="G539" s="17" t="str">
        <f t="shared" si="69"/>
        <v>Carton Tray for 12/24oz Applesauce jars</v>
      </c>
      <c r="H539" s="18" t="str">
        <f t="shared" si="67"/>
        <v>CARTON</v>
      </c>
      <c r="I539" s="19">
        <v>1</v>
      </c>
      <c r="J539" s="20">
        <v>1</v>
      </c>
    </row>
    <row r="540" spans="1:10" ht="15.75" thickBot="1" x14ac:dyDescent="0.3">
      <c r="A540" t="s">
        <v>31</v>
      </c>
      <c r="B54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0" s="15"/>
      <c r="D540" s="16" t="str">
        <f>"FS0180"</f>
        <v>FS0180</v>
      </c>
      <c r="E540" s="16">
        <v>10000</v>
      </c>
      <c r="F540" s="16" t="str">
        <f t="shared" si="68"/>
        <v>CASE016</v>
      </c>
      <c r="G540" s="17" t="str">
        <f t="shared" si="69"/>
        <v>Carton Tray for 12/24oz Applesauce jars</v>
      </c>
      <c r="H540" s="18" t="str">
        <f t="shared" si="67"/>
        <v>CARTON</v>
      </c>
      <c r="I540" s="19">
        <v>1</v>
      </c>
      <c r="J540" s="20">
        <v>1</v>
      </c>
    </row>
    <row r="541" spans="1:10" ht="15.75" thickBot="1" x14ac:dyDescent="0.3">
      <c r="A541" t="s">
        <v>31</v>
      </c>
      <c r="B54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1" s="15"/>
      <c r="D541" s="16" t="str">
        <f>"FS0183"</f>
        <v>FS0183</v>
      </c>
      <c r="E541" s="16">
        <v>10000</v>
      </c>
      <c r="F541" s="16" t="str">
        <f t="shared" si="68"/>
        <v>CASE016</v>
      </c>
      <c r="G541" s="17" t="str">
        <f t="shared" si="69"/>
        <v>Carton Tray for 12/24oz Applesauce jars</v>
      </c>
      <c r="H541" s="18" t="str">
        <f t="shared" si="67"/>
        <v>CARTON</v>
      </c>
      <c r="I541" s="19">
        <v>1</v>
      </c>
      <c r="J541" s="20">
        <v>1</v>
      </c>
    </row>
    <row r="542" spans="1:10" ht="15.75" thickBot="1" x14ac:dyDescent="0.3">
      <c r="A542" t="s">
        <v>31</v>
      </c>
      <c r="B54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2" s="15"/>
      <c r="D542" s="16" t="str">
        <f>"FS0185"</f>
        <v>FS0185</v>
      </c>
      <c r="E542" s="16">
        <v>10000</v>
      </c>
      <c r="F542" s="16" t="str">
        <f t="shared" si="68"/>
        <v>CASE016</v>
      </c>
      <c r="G542" s="17" t="str">
        <f t="shared" si="69"/>
        <v>Carton Tray for 12/24oz Applesauce jars</v>
      </c>
      <c r="H542" s="18" t="str">
        <f t="shared" si="67"/>
        <v>CARTON</v>
      </c>
      <c r="I542" s="19">
        <v>1</v>
      </c>
      <c r="J542" s="20">
        <v>1</v>
      </c>
    </row>
    <row r="543" spans="1:10" ht="15.75" thickBot="1" x14ac:dyDescent="0.3">
      <c r="A543" t="s">
        <v>31</v>
      </c>
      <c r="B54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3" s="15"/>
      <c r="D543" s="16" t="str">
        <f>"FS0188"</f>
        <v>FS0188</v>
      </c>
      <c r="E543" s="16">
        <v>10000</v>
      </c>
      <c r="F543" s="16" t="str">
        <f t="shared" si="68"/>
        <v>CASE016</v>
      </c>
      <c r="G543" s="17" t="str">
        <f t="shared" si="69"/>
        <v>Carton Tray for 12/24oz Applesauce jars</v>
      </c>
      <c r="H543" s="18" t="str">
        <f t="shared" si="67"/>
        <v>CARTON</v>
      </c>
      <c r="I543" s="19">
        <v>1</v>
      </c>
      <c r="J543" s="20">
        <v>1</v>
      </c>
    </row>
    <row r="544" spans="1:10" ht="15.75" thickBot="1" x14ac:dyDescent="0.3">
      <c r="A544" t="s">
        <v>31</v>
      </c>
      <c r="B54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4" s="15"/>
      <c r="D544" s="16" t="str">
        <f>"FS0189"</f>
        <v>FS0189</v>
      </c>
      <c r="E544" s="16">
        <v>10000</v>
      </c>
      <c r="F544" s="16" t="str">
        <f t="shared" si="68"/>
        <v>CASE016</v>
      </c>
      <c r="G544" s="17" t="str">
        <f t="shared" si="69"/>
        <v>Carton Tray for 12/24oz Applesauce jars</v>
      </c>
      <c r="H544" s="18" t="str">
        <f t="shared" si="67"/>
        <v>CARTON</v>
      </c>
      <c r="I544" s="19">
        <v>1</v>
      </c>
      <c r="J544" s="20">
        <v>1</v>
      </c>
    </row>
    <row r="545" spans="1:10" ht="15.75" thickBot="1" x14ac:dyDescent="0.3">
      <c r="A545" t="s">
        <v>31</v>
      </c>
      <c r="B545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5" s="15"/>
      <c r="D545" s="16" t="str">
        <f>"FS0190"</f>
        <v>FS0190</v>
      </c>
      <c r="E545" s="16">
        <v>10000</v>
      </c>
      <c r="F545" s="16" t="str">
        <f t="shared" si="68"/>
        <v>CASE016</v>
      </c>
      <c r="G545" s="17" t="str">
        <f t="shared" si="69"/>
        <v>Carton Tray for 12/24oz Applesauce jars</v>
      </c>
      <c r="H545" s="18" t="str">
        <f t="shared" si="67"/>
        <v>CARTON</v>
      </c>
      <c r="I545" s="19">
        <v>1</v>
      </c>
      <c r="J545" s="20">
        <v>1</v>
      </c>
    </row>
    <row r="546" spans="1:10" ht="15.75" thickBot="1" x14ac:dyDescent="0.3">
      <c r="A546" t="s">
        <v>31</v>
      </c>
      <c r="B546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6" s="15"/>
      <c r="D546" s="16" t="str">
        <f>"FS0191"</f>
        <v>FS0191</v>
      </c>
      <c r="E546" s="16">
        <v>10000</v>
      </c>
      <c r="F546" s="16" t="str">
        <f t="shared" si="68"/>
        <v>CASE016</v>
      </c>
      <c r="G546" s="17" t="str">
        <f t="shared" si="69"/>
        <v>Carton Tray for 12/24oz Applesauce jars</v>
      </c>
      <c r="H546" s="18" t="str">
        <f t="shared" si="67"/>
        <v>CARTON</v>
      </c>
      <c r="I546" s="19">
        <v>1</v>
      </c>
      <c r="J546" s="20">
        <v>1</v>
      </c>
    </row>
    <row r="547" spans="1:10" ht="15.75" thickBot="1" x14ac:dyDescent="0.3">
      <c r="A547" t="s">
        <v>31</v>
      </c>
      <c r="B547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7" s="15"/>
      <c r="D547" s="16" t="str">
        <f>"FS0192"</f>
        <v>FS0192</v>
      </c>
      <c r="E547" s="16">
        <v>10000</v>
      </c>
      <c r="F547" s="16" t="str">
        <f t="shared" si="68"/>
        <v>CASE016</v>
      </c>
      <c r="G547" s="17" t="str">
        <f t="shared" si="69"/>
        <v>Carton Tray for 12/24oz Applesauce jars</v>
      </c>
      <c r="H547" s="18" t="str">
        <f t="shared" si="67"/>
        <v>CARTON</v>
      </c>
      <c r="I547" s="19">
        <v>1</v>
      </c>
      <c r="J547" s="20">
        <v>1</v>
      </c>
    </row>
    <row r="548" spans="1:10" ht="15.75" thickBot="1" x14ac:dyDescent="0.3">
      <c r="A548" t="s">
        <v>31</v>
      </c>
      <c r="B548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8" s="15"/>
      <c r="D548" s="16" t="str">
        <f>"FS0193"</f>
        <v>FS0193</v>
      </c>
      <c r="E548" s="16">
        <v>10000</v>
      </c>
      <c r="F548" s="16" t="str">
        <f t="shared" si="68"/>
        <v>CASE016</v>
      </c>
      <c r="G548" s="17" t="str">
        <f t="shared" si="69"/>
        <v>Carton Tray for 12/24oz Applesauce jars</v>
      </c>
      <c r="H548" s="18" t="str">
        <f t="shared" si="67"/>
        <v>CARTON</v>
      </c>
      <c r="I548" s="19">
        <v>1</v>
      </c>
      <c r="J548" s="20">
        <v>1</v>
      </c>
    </row>
    <row r="549" spans="1:10" ht="15.75" thickBot="1" x14ac:dyDescent="0.3">
      <c r="A549" t="s">
        <v>31</v>
      </c>
      <c r="B549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0200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0200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9" s="15"/>
      <c r="D549" s="16" t="str">
        <f>"FS0200"</f>
        <v>FS0200</v>
      </c>
      <c r="E549" s="16">
        <v>10000</v>
      </c>
      <c r="F549" s="16" t="str">
        <f t="shared" si="68"/>
        <v>CASE016</v>
      </c>
      <c r="G549" s="17" t="str">
        <f t="shared" si="69"/>
        <v>Carton Tray for 12/24oz Applesauce jars</v>
      </c>
      <c r="H549" s="18" t="str">
        <f t="shared" si="67"/>
        <v>CARTON</v>
      </c>
      <c r="I549" s="19">
        <v>1</v>
      </c>
      <c r="J549" s="20">
        <v>1</v>
      </c>
    </row>
    <row r="550" spans="1:10" ht="15.75" thickBot="1" x14ac:dyDescent="0.3">
      <c r="A550" t="s">
        <v>31</v>
      </c>
      <c r="B550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0201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0201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0" s="15"/>
      <c r="D550" s="16" t="str">
        <f>"FS0201"</f>
        <v>FS0201</v>
      </c>
      <c r="E550" s="16">
        <v>10000</v>
      </c>
      <c r="F550" s="16" t="str">
        <f t="shared" si="68"/>
        <v>CASE016</v>
      </c>
      <c r="G550" s="17" t="str">
        <f t="shared" si="69"/>
        <v>Carton Tray for 12/24oz Applesauce jars</v>
      </c>
      <c r="H550" s="18" t="str">
        <f t="shared" si="67"/>
        <v>CARTON</v>
      </c>
      <c r="I550" s="19">
        <v>1</v>
      </c>
      <c r="J550" s="20">
        <v>1</v>
      </c>
    </row>
    <row r="551" spans="1:10" ht="15.75" thickBot="1" x14ac:dyDescent="0.3">
      <c r="A551" t="s">
        <v>31</v>
      </c>
      <c r="B551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0209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0209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1" s="15"/>
      <c r="D551" s="16" t="str">
        <f>"FS0209"</f>
        <v>FS0209</v>
      </c>
      <c r="E551" s="16">
        <v>10000</v>
      </c>
      <c r="F551" s="16" t="str">
        <f t="shared" si="68"/>
        <v>CASE016</v>
      </c>
      <c r="G551" s="17" t="str">
        <f t="shared" si="69"/>
        <v>Carton Tray for 12/24oz Applesauce jars</v>
      </c>
      <c r="H551" s="18" t="str">
        <f t="shared" si="67"/>
        <v>CARTON</v>
      </c>
      <c r="I551" s="19">
        <v>1</v>
      </c>
      <c r="J551" s="20">
        <v>1</v>
      </c>
    </row>
    <row r="552" spans="1:10" ht="15.75" thickBot="1" x14ac:dyDescent="0.3">
      <c r="A552" t="s">
        <v>31</v>
      </c>
      <c r="B552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Z-FS0041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Z-FS0041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2" s="15"/>
      <c r="D552" s="16" t="str">
        <f>"Z-FS0041"</f>
        <v>Z-FS0041</v>
      </c>
      <c r="E552" s="16">
        <v>10000</v>
      </c>
      <c r="F552" s="16" t="str">
        <f t="shared" si="68"/>
        <v>CASE016</v>
      </c>
      <c r="G552" s="17" t="str">
        <f t="shared" si="69"/>
        <v>Carton Tray for 12/24oz Applesauce jars</v>
      </c>
      <c r="H552" s="18" t="str">
        <f t="shared" si="67"/>
        <v>CARTON</v>
      </c>
      <c r="I552" s="19">
        <v>1</v>
      </c>
      <c r="J552" s="20">
        <v>1</v>
      </c>
    </row>
    <row r="553" spans="1:10" ht="15.75" thickBot="1" x14ac:dyDescent="0.3">
      <c r="A553" t="s">
        <v>31</v>
      </c>
      <c r="B553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Z-FS0042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Z-FS0042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3" s="15"/>
      <c r="D553" s="16" t="str">
        <f>"Z-FS0042"</f>
        <v>Z-FS0042</v>
      </c>
      <c r="E553" s="16">
        <v>10000</v>
      </c>
      <c r="F553" s="16" t="str">
        <f t="shared" si="68"/>
        <v>CASE016</v>
      </c>
      <c r="G553" s="17" t="str">
        <f t="shared" si="69"/>
        <v>Carton Tray for 12/24oz Applesauce jars</v>
      </c>
      <c r="H553" s="18" t="str">
        <f t="shared" si="67"/>
        <v>CARTON</v>
      </c>
      <c r="I553" s="19">
        <v>1</v>
      </c>
      <c r="J553" s="20">
        <v>1</v>
      </c>
    </row>
    <row r="554" spans="1:10" ht="15.75" thickBot="1" x14ac:dyDescent="0.3">
      <c r="A554" t="s">
        <v>31</v>
      </c>
      <c r="B554" s="15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Z-FS0043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Z-FS0043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4" s="15"/>
      <c r="D554" s="16" t="str">
        <f>"Z-FS0043"</f>
        <v>Z-FS0043</v>
      </c>
      <c r="E554" s="16">
        <v>10000</v>
      </c>
      <c r="F554" s="16" t="str">
        <f t="shared" si="68"/>
        <v>CASE016</v>
      </c>
      <c r="G554" s="17" t="str">
        <f t="shared" si="69"/>
        <v>Carton Tray for 12/24oz Applesauce jars</v>
      </c>
      <c r="H554" s="18" t="str">
        <f t="shared" si="67"/>
        <v>CARTON</v>
      </c>
      <c r="I554" s="19">
        <v>1</v>
      </c>
      <c r="J554" s="20">
        <v>1</v>
      </c>
    </row>
    <row r="555" spans="1:10" ht="15.75" thickBot="1" x14ac:dyDescent="0.3">
      <c r="A555" t="s">
        <v>31</v>
      </c>
      <c r="B555" s="15" t="str">
        <f>"""Manzana NAV"",""MANZANA"",""99000772"",""44"","" "",""22"",""False"",""43"",""0.00000000000000000000"",""12"",""Carton Tray for 12/24oz Applesauce jars"",""50220"",""False"",""29"","""",""50210"",""False"",""18"","""",""11"",""CASE016"",""2"",""15000"",""1"",""FS0136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15000","1","FS0136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5" s="15"/>
      <c r="D555" s="16" t="str">
        <f>"FS0136"</f>
        <v>FS0136</v>
      </c>
      <c r="E555" s="16">
        <v>15000</v>
      </c>
      <c r="F555" s="16" t="str">
        <f t="shared" si="68"/>
        <v>CASE016</v>
      </c>
      <c r="G555" s="17" t="str">
        <f t="shared" si="69"/>
        <v>Carton Tray for 12/24oz Applesauce jars</v>
      </c>
      <c r="H555" s="18" t="str">
        <f t="shared" si="67"/>
        <v>CARTON</v>
      </c>
      <c r="I555" s="19">
        <v>1</v>
      </c>
      <c r="J555" s="20">
        <v>1</v>
      </c>
    </row>
    <row r="556" spans="1:10" ht="15.75" thickBot="1" x14ac:dyDescent="0.3">
      <c r="A556" t="s">
        <v>31</v>
      </c>
      <c r="B556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0071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0071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6" s="15"/>
      <c r="D556" s="16" t="str">
        <f>"FS0071B"</f>
        <v>FS0071B</v>
      </c>
      <c r="E556" s="16">
        <v>20000</v>
      </c>
      <c r="F556" s="16" t="str">
        <f t="shared" si="68"/>
        <v>CASE016</v>
      </c>
      <c r="G556" s="17" t="str">
        <f t="shared" si="69"/>
        <v>Carton Tray for 12/24oz Applesauce jars</v>
      </c>
      <c r="H556" s="18" t="str">
        <f t="shared" si="67"/>
        <v>CARTON</v>
      </c>
      <c r="I556" s="19">
        <v>1</v>
      </c>
      <c r="J556" s="20">
        <v>1</v>
      </c>
    </row>
    <row r="557" spans="1:10" ht="15.75" thickBot="1" x14ac:dyDescent="0.3">
      <c r="A557" t="s">
        <v>31</v>
      </c>
      <c r="B557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0074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0074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7" s="15"/>
      <c r="D557" s="16" t="str">
        <f>"FS0074B"</f>
        <v>FS0074B</v>
      </c>
      <c r="E557" s="16">
        <v>20000</v>
      </c>
      <c r="F557" s="16" t="str">
        <f t="shared" si="68"/>
        <v>CASE016</v>
      </c>
      <c r="G557" s="17" t="str">
        <f t="shared" si="69"/>
        <v>Carton Tray for 12/24oz Applesauce jars</v>
      </c>
      <c r="H557" s="18" t="str">
        <f t="shared" si="67"/>
        <v>CARTON</v>
      </c>
      <c r="I557" s="19">
        <v>1</v>
      </c>
      <c r="J557" s="20">
        <v>1</v>
      </c>
    </row>
    <row r="558" spans="1:10" ht="15.75" thickBot="1" x14ac:dyDescent="0.3">
      <c r="A558" t="s">
        <v>31</v>
      </c>
      <c r="B558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0114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0114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8" s="15"/>
      <c r="D558" s="16" t="str">
        <f>"FS0114"</f>
        <v>FS0114</v>
      </c>
      <c r="E558" s="16">
        <v>20000</v>
      </c>
      <c r="F558" s="16" t="str">
        <f t="shared" si="68"/>
        <v>CASE016</v>
      </c>
      <c r="G558" s="17" t="str">
        <f t="shared" si="69"/>
        <v>Carton Tray for 12/24oz Applesauce jars</v>
      </c>
      <c r="H558" s="18" t="str">
        <f t="shared" si="67"/>
        <v>CARTON</v>
      </c>
      <c r="I558" s="19">
        <v>1</v>
      </c>
      <c r="J558" s="20">
        <v>1</v>
      </c>
    </row>
    <row r="559" spans="1:10" ht="15.75" thickBot="1" x14ac:dyDescent="0.3">
      <c r="A559" t="s">
        <v>31</v>
      </c>
      <c r="B559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0118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9" s="15"/>
      <c r="D559" s="16" t="str">
        <f>"FS0118"</f>
        <v>FS0118</v>
      </c>
      <c r="E559" s="16">
        <v>20000</v>
      </c>
      <c r="F559" s="16" t="str">
        <f t="shared" si="68"/>
        <v>CASE016</v>
      </c>
      <c r="G559" s="17" t="str">
        <f t="shared" si="69"/>
        <v>Carton Tray for 12/24oz Applesauce jars</v>
      </c>
      <c r="H559" s="18" t="str">
        <f t="shared" si="67"/>
        <v>CARTON</v>
      </c>
      <c r="I559" s="19">
        <v>1</v>
      </c>
      <c r="J559" s="20">
        <v>1</v>
      </c>
    </row>
    <row r="560" spans="1:10" ht="15.75" thickBot="1" x14ac:dyDescent="0.3">
      <c r="A560" t="s">
        <v>31</v>
      </c>
      <c r="B560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0137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0137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0" s="15"/>
      <c r="D560" s="16" t="str">
        <f>"FS0137"</f>
        <v>FS0137</v>
      </c>
      <c r="E560" s="16">
        <v>20000</v>
      </c>
      <c r="F560" s="16" t="str">
        <f t="shared" si="68"/>
        <v>CASE016</v>
      </c>
      <c r="G560" s="17" t="str">
        <f t="shared" si="69"/>
        <v>Carton Tray for 12/24oz Applesauce jars</v>
      </c>
      <c r="H560" s="18" t="str">
        <f t="shared" si="67"/>
        <v>CARTON</v>
      </c>
      <c r="I560" s="19">
        <v>1</v>
      </c>
      <c r="J560" s="20">
        <v>1</v>
      </c>
    </row>
    <row r="561" spans="1:10" ht="15.75" thickBot="1" x14ac:dyDescent="0.3">
      <c r="A561" t="s">
        <v>31</v>
      </c>
      <c r="B561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0138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1" s="15"/>
      <c r="D561" s="16" t="str">
        <f>"FS0138"</f>
        <v>FS0138</v>
      </c>
      <c r="E561" s="16">
        <v>20000</v>
      </c>
      <c r="F561" s="16" t="str">
        <f t="shared" si="68"/>
        <v>CASE016</v>
      </c>
      <c r="G561" s="17" t="str">
        <f t="shared" si="69"/>
        <v>Carton Tray for 12/24oz Applesauce jars</v>
      </c>
      <c r="H561" s="18" t="str">
        <f t="shared" si="67"/>
        <v>CARTON</v>
      </c>
      <c r="I561" s="19">
        <v>1</v>
      </c>
      <c r="J561" s="20">
        <v>1</v>
      </c>
    </row>
    <row r="562" spans="1:10" ht="15.75" thickBot="1" x14ac:dyDescent="0.3">
      <c r="A562" t="s">
        <v>31</v>
      </c>
      <c r="B562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0139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0139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2" s="15"/>
      <c r="D562" s="16" t="str">
        <f>"FS0139"</f>
        <v>FS0139</v>
      </c>
      <c r="E562" s="16">
        <v>20000</v>
      </c>
      <c r="F562" s="16" t="str">
        <f t="shared" si="68"/>
        <v>CASE016</v>
      </c>
      <c r="G562" s="17" t="str">
        <f t="shared" si="69"/>
        <v>Carton Tray for 12/24oz Applesauce jars</v>
      </c>
      <c r="H562" s="18" t="str">
        <f t="shared" si="67"/>
        <v>CARTON</v>
      </c>
      <c r="I562" s="19">
        <v>1</v>
      </c>
      <c r="J562" s="20">
        <v>1</v>
      </c>
    </row>
    <row r="563" spans="1:10" ht="15.75" thickBot="1" x14ac:dyDescent="0.3">
      <c r="A563" t="s">
        <v>31</v>
      </c>
      <c r="B563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0143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0143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3" s="15"/>
      <c r="D563" s="16" t="str">
        <f>"FS0143"</f>
        <v>FS0143</v>
      </c>
      <c r="E563" s="16">
        <v>20000</v>
      </c>
      <c r="F563" s="16" t="str">
        <f t="shared" si="68"/>
        <v>CASE016</v>
      </c>
      <c r="G563" s="17" t="str">
        <f t="shared" si="69"/>
        <v>Carton Tray for 12/24oz Applesauce jars</v>
      </c>
      <c r="H563" s="18" t="str">
        <f t="shared" si="67"/>
        <v>CARTON</v>
      </c>
      <c r="I563" s="19">
        <v>1</v>
      </c>
      <c r="J563" s="20">
        <v>1</v>
      </c>
    </row>
    <row r="564" spans="1:10" ht="15.75" thickBot="1" x14ac:dyDescent="0.3">
      <c r="A564" t="s">
        <v>31</v>
      </c>
      <c r="B564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0144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0144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4" s="15"/>
      <c r="D564" s="16" t="str">
        <f>"FS0144"</f>
        <v>FS0144</v>
      </c>
      <c r="E564" s="16">
        <v>20000</v>
      </c>
      <c r="F564" s="16" t="str">
        <f t="shared" si="68"/>
        <v>CASE016</v>
      </c>
      <c r="G564" s="17" t="str">
        <f t="shared" si="69"/>
        <v>Carton Tray for 12/24oz Applesauce jars</v>
      </c>
      <c r="H564" s="18" t="str">
        <f t="shared" si="67"/>
        <v>CARTON</v>
      </c>
      <c r="I564" s="19">
        <v>1</v>
      </c>
      <c r="J564" s="20">
        <v>1</v>
      </c>
    </row>
    <row r="565" spans="1:10" ht="15.75" thickBot="1" x14ac:dyDescent="0.3">
      <c r="A565" t="s">
        <v>31</v>
      </c>
      <c r="B565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0145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0145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5" s="15"/>
      <c r="D565" s="16" t="str">
        <f>"FS0145"</f>
        <v>FS0145</v>
      </c>
      <c r="E565" s="16">
        <v>20000</v>
      </c>
      <c r="F565" s="16" t="str">
        <f t="shared" si="68"/>
        <v>CASE016</v>
      </c>
      <c r="G565" s="17" t="str">
        <f t="shared" si="69"/>
        <v>Carton Tray for 12/24oz Applesauce jars</v>
      </c>
      <c r="H565" s="18" t="str">
        <f t="shared" si="67"/>
        <v>CARTON</v>
      </c>
      <c r="I565" s="19">
        <v>1</v>
      </c>
      <c r="J565" s="20">
        <v>1</v>
      </c>
    </row>
    <row r="566" spans="1:10" ht="15.75" thickBot="1" x14ac:dyDescent="0.3">
      <c r="A566" t="s">
        <v>31</v>
      </c>
      <c r="B566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0186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0186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6" s="15"/>
      <c r="D566" s="16" t="str">
        <f>"FS0186"</f>
        <v>FS0186</v>
      </c>
      <c r="E566" s="16">
        <v>20000</v>
      </c>
      <c r="F566" s="16" t="str">
        <f t="shared" si="68"/>
        <v>CASE016</v>
      </c>
      <c r="G566" s="17" t="str">
        <f t="shared" si="69"/>
        <v>Carton Tray for 12/24oz Applesauce jars</v>
      </c>
      <c r="H566" s="18" t="str">
        <f t="shared" si="67"/>
        <v>CARTON</v>
      </c>
      <c r="I566" s="19">
        <v>1</v>
      </c>
      <c r="J566" s="20">
        <v>1</v>
      </c>
    </row>
    <row r="567" spans="1:10" ht="15.75" thickBot="1" x14ac:dyDescent="0.3">
      <c r="A567" t="s">
        <v>31</v>
      </c>
      <c r="B567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0187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0187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7" s="15"/>
      <c r="D567" s="16" t="str">
        <f>"FS0187"</f>
        <v>FS0187</v>
      </c>
      <c r="E567" s="16">
        <v>20000</v>
      </c>
      <c r="F567" s="16" t="str">
        <f t="shared" si="68"/>
        <v>CASE016</v>
      </c>
      <c r="G567" s="17" t="str">
        <f t="shared" si="69"/>
        <v>Carton Tray for 12/24oz Applesauce jars</v>
      </c>
      <c r="H567" s="18" t="str">
        <f t="shared" si="67"/>
        <v>CARTON</v>
      </c>
      <c r="I567" s="19">
        <v>1</v>
      </c>
      <c r="J567" s="20">
        <v>1</v>
      </c>
    </row>
    <row r="568" spans="1:10" ht="15.75" thickBot="1" x14ac:dyDescent="0.3">
      <c r="A568" t="s">
        <v>31</v>
      </c>
      <c r="B568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0196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0196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8" s="15"/>
      <c r="D568" s="16" t="str">
        <f>"FS0196"</f>
        <v>FS0196</v>
      </c>
      <c r="E568" s="16">
        <v>20000</v>
      </c>
      <c r="F568" s="16" t="str">
        <f t="shared" si="68"/>
        <v>CASE016</v>
      </c>
      <c r="G568" s="17" t="str">
        <f t="shared" si="69"/>
        <v>Carton Tray for 12/24oz Applesauce jars</v>
      </c>
      <c r="H568" s="18" t="str">
        <f t="shared" si="67"/>
        <v>CARTON</v>
      </c>
      <c r="I568" s="19">
        <v>1</v>
      </c>
      <c r="J568" s="20">
        <v>1</v>
      </c>
    </row>
    <row r="569" spans="1:10" ht="15.75" thickBot="1" x14ac:dyDescent="0.3">
      <c r="A569" t="s">
        <v>31</v>
      </c>
      <c r="B569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0197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0197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9" s="15"/>
      <c r="D569" s="16" t="str">
        <f>"FS0197"</f>
        <v>FS0197</v>
      </c>
      <c r="E569" s="16">
        <v>20000</v>
      </c>
      <c r="F569" s="16" t="str">
        <f t="shared" si="68"/>
        <v>CASE016</v>
      </c>
      <c r="G569" s="17" t="str">
        <f t="shared" si="69"/>
        <v>Carton Tray for 12/24oz Applesauce jars</v>
      </c>
      <c r="H569" s="18" t="str">
        <f t="shared" si="67"/>
        <v>CARTON</v>
      </c>
      <c r="I569" s="19">
        <v>1</v>
      </c>
      <c r="J569" s="20">
        <v>1</v>
      </c>
    </row>
    <row r="570" spans="1:10" ht="15.75" thickBot="1" x14ac:dyDescent="0.3">
      <c r="A570" t="s">
        <v>31</v>
      </c>
      <c r="B570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0198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0198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0" s="15"/>
      <c r="D570" s="16" t="str">
        <f>"FS0198"</f>
        <v>FS0198</v>
      </c>
      <c r="E570" s="16">
        <v>20000</v>
      </c>
      <c r="F570" s="16" t="str">
        <f t="shared" si="68"/>
        <v>CASE016</v>
      </c>
      <c r="G570" s="17" t="str">
        <f t="shared" si="69"/>
        <v>Carton Tray for 12/24oz Applesauce jars</v>
      </c>
      <c r="H570" s="18" t="str">
        <f t="shared" si="67"/>
        <v>CARTON</v>
      </c>
      <c r="I570" s="19">
        <v>1</v>
      </c>
      <c r="J570" s="20">
        <v>1</v>
      </c>
    </row>
    <row r="571" spans="1:10" ht="15.75" thickBot="1" x14ac:dyDescent="0.3">
      <c r="A571" t="s">
        <v>31</v>
      </c>
      <c r="B571" s="15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Z-FS0135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Z-FS0135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1" s="15"/>
      <c r="D571" s="16" t="str">
        <f>"Z-FS0135"</f>
        <v>Z-FS0135</v>
      </c>
      <c r="E571" s="16">
        <v>20000</v>
      </c>
      <c r="F571" s="16" t="str">
        <f t="shared" si="68"/>
        <v>CASE016</v>
      </c>
      <c r="G571" s="17" t="str">
        <f t="shared" si="69"/>
        <v>Carton Tray for 12/24oz Applesauce jars</v>
      </c>
      <c r="H571" s="18" t="str">
        <f t="shared" si="67"/>
        <v>CARTON</v>
      </c>
      <c r="I571" s="19">
        <v>1</v>
      </c>
      <c r="J571" s="20">
        <v>1</v>
      </c>
    </row>
    <row r="572" spans="1:10" ht="15.75" thickBot="1" x14ac:dyDescent="0.3">
      <c r="A572" t="s">
        <v>31</v>
      </c>
      <c r="B572" s="15" t="str">
        <f>"""Manzana NAV"",""MANZANA"",""99000772"",""44"","" "",""22"",""False"",""43"",""0.00000000000000000000"",""12"",""Carton Tray for 12/24oz Applesauce jars"",""50220"",""False"",""29"","""",""50210"",""False"",""18"","""",""11"",""CASE016"",""2"",""25000"",""1"",""FS0128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25000","1","FS0128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2" s="15"/>
      <c r="D572" s="16" t="str">
        <f>"FS0128"</f>
        <v>FS0128</v>
      </c>
      <c r="E572" s="16">
        <v>25000</v>
      </c>
      <c r="F572" s="16" t="str">
        <f t="shared" si="68"/>
        <v>CASE016</v>
      </c>
      <c r="G572" s="17" t="str">
        <f t="shared" si="69"/>
        <v>Carton Tray for 12/24oz Applesauce jars</v>
      </c>
      <c r="H572" s="18" t="str">
        <f t="shared" si="67"/>
        <v>CARTON</v>
      </c>
      <c r="I572" s="19">
        <v>1</v>
      </c>
      <c r="J572" s="20">
        <v>1</v>
      </c>
    </row>
    <row r="573" spans="1:10" ht="15.75" thickBot="1" x14ac:dyDescent="0.3">
      <c r="A573" t="s">
        <v>31</v>
      </c>
      <c r="B573" s="15" t="str">
        <f>"""Manzana NAV"",""MANZANA"",""99000772"",""44"","" "",""22"",""False"",""43"",""0.00000000000000000000"",""12"",""Carton Tray for 12/24oz Applesauce jars"",""50220"",""False"",""29"","""",""50210"",""False"",""18"","""",""11"",""CASE016"",""2"",""30000"",""1"",""FS0134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30000","1","FS0134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3" s="15"/>
      <c r="D573" s="16" t="str">
        <f>"FS0134"</f>
        <v>FS0134</v>
      </c>
      <c r="E573" s="16">
        <v>30000</v>
      </c>
      <c r="F573" s="16" t="str">
        <f t="shared" si="68"/>
        <v>CASE016</v>
      </c>
      <c r="G573" s="17" t="str">
        <f t="shared" si="69"/>
        <v>Carton Tray for 12/24oz Applesauce jars</v>
      </c>
      <c r="H573" s="18" t="str">
        <f t="shared" si="67"/>
        <v>CARTON</v>
      </c>
      <c r="I573" s="19">
        <v>1</v>
      </c>
      <c r="J573" s="20">
        <v>1</v>
      </c>
    </row>
    <row r="574" spans="1:10" ht="15.75" thickBot="1" x14ac:dyDescent="0.3">
      <c r="A574" t="s">
        <v>31</v>
      </c>
      <c r="B574" s="15" t="str">
        <f>"""Manzana NAV"",""MANZANA"",""99000772"",""44"","" "",""22"",""False"",""43"",""0.00000000000000000000"",""12"",""Carton Tray for 12/24oz AS Jars"",""50220"",""False"",""29"","""",""50210"",""False"",""18"","""",""11"",""CASE016"",""2"",""20000"",""1"",""FS0050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AS Jars","50220","False","29","","50210","False","18","","11","CASE016","2","20000","1","FS0050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4" s="15"/>
      <c r="D574" s="16" t="str">
        <f>"FS0050"</f>
        <v>FS0050</v>
      </c>
      <c r="E574" s="16">
        <v>20000</v>
      </c>
      <c r="F574" s="16" t="str">
        <f t="shared" si="68"/>
        <v>CASE016</v>
      </c>
      <c r="G574" s="17" t="str">
        <f>"Carton Tray for 12/24oz AS Jars"</f>
        <v>Carton Tray for 12/24oz AS Jars</v>
      </c>
      <c r="H574" s="18" t="str">
        <f t="shared" si="67"/>
        <v>CARTON</v>
      </c>
      <c r="I574" s="19">
        <v>1</v>
      </c>
      <c r="J574" s="20">
        <v>1</v>
      </c>
    </row>
    <row r="575" spans="1:10" ht="15.75" thickBot="1" x14ac:dyDescent="0.3">
      <c r="A575" t="s">
        <v>31</v>
      </c>
      <c r="B575" s="15" t="str">
        <f>"""Manzana NAV"",""MANZANA"",""99000772"",""44"","" "",""22"",""False"",""43"",""0.00000000000000000000"",""12"",""Carton Tray for 12/24oz AS Jars"",""50220"",""False"",""29"","""",""50210"",""False"",""18"","""",""11"",""CASE016"",""2"",""20000"",""1"",""FS0115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AS Jars","50220","False","29","","50210","False","18","","11","CASE016","2","20000","1","FS0115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5" s="15"/>
      <c r="D575" s="16" t="str">
        <f>"FS0115"</f>
        <v>FS0115</v>
      </c>
      <c r="E575" s="16">
        <v>20000</v>
      </c>
      <c r="F575" s="16" t="str">
        <f t="shared" si="68"/>
        <v>CASE016</v>
      </c>
      <c r="G575" s="17" t="str">
        <f>"Carton Tray for 12/24oz AS Jars"</f>
        <v>Carton Tray for 12/24oz AS Jars</v>
      </c>
      <c r="H575" s="18" t="str">
        <f t="shared" si="67"/>
        <v>CARTON</v>
      </c>
      <c r="I575" s="19">
        <v>1</v>
      </c>
      <c r="J575" s="20">
        <v>1</v>
      </c>
    </row>
    <row r="576" spans="1:10" ht="15.75" thickBot="1" x14ac:dyDescent="0.3">
      <c r="A576" t="s">
        <v>31</v>
      </c>
      <c r="B576" s="15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0018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6" s="15"/>
      <c r="D576" s="16" t="str">
        <f>"FS0018"</f>
        <v>FS0018</v>
      </c>
      <c r="E576" s="16">
        <v>10000</v>
      </c>
      <c r="F576" s="16" t="str">
        <f>"CASE017"</f>
        <v>CASE017</v>
      </c>
      <c r="G576" s="17" t="str">
        <f>"Carton Tray for 12/33oz Applesauce jars"</f>
        <v>Carton Tray for 12/33oz Applesauce jars</v>
      </c>
      <c r="H576" s="18" t="str">
        <f t="shared" si="67"/>
        <v>CARTON</v>
      </c>
      <c r="I576" s="19">
        <v>1</v>
      </c>
      <c r="J576" s="20">
        <v>1</v>
      </c>
    </row>
    <row r="577" spans="1:10" ht="15.75" thickBot="1" x14ac:dyDescent="0.3">
      <c r="A577" t="s">
        <v>31</v>
      </c>
      <c r="B577" s="15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0039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0039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7" s="15"/>
      <c r="D577" s="16" t="str">
        <f>"FS0039"</f>
        <v>FS0039</v>
      </c>
      <c r="E577" s="16">
        <v>10000</v>
      </c>
      <c r="F577" s="16" t="str">
        <f>"CASE017"</f>
        <v>CASE017</v>
      </c>
      <c r="G577" s="17" t="str">
        <f>"Carton Tray for 12/33oz Applesauce jars"</f>
        <v>Carton Tray for 12/33oz Applesauce jars</v>
      </c>
      <c r="H577" s="18" t="str">
        <f t="shared" si="67"/>
        <v>CARTON</v>
      </c>
      <c r="I577" s="19">
        <v>1</v>
      </c>
      <c r="J577" s="20">
        <v>1</v>
      </c>
    </row>
    <row r="578" spans="1:10" ht="15.75" thickBot="1" x14ac:dyDescent="0.3">
      <c r="A578" t="s">
        <v>31</v>
      </c>
      <c r="B578" s="15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0047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0047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8" s="15"/>
      <c r="D578" s="16" t="str">
        <f>"FS0047"</f>
        <v>FS0047</v>
      </c>
      <c r="E578" s="16">
        <v>10000</v>
      </c>
      <c r="F578" s="16" t="str">
        <f>"CASE017"</f>
        <v>CASE017</v>
      </c>
      <c r="G578" s="17" t="str">
        <f>"Carton Tray for 12/33oz Applesauce jars"</f>
        <v>Carton Tray for 12/33oz Applesauce jars</v>
      </c>
      <c r="H578" s="18" t="str">
        <f t="shared" si="67"/>
        <v>CARTON</v>
      </c>
      <c r="I578" s="19">
        <v>1</v>
      </c>
      <c r="J578" s="20">
        <v>1</v>
      </c>
    </row>
    <row r="579" spans="1:10" ht="15.75" thickBot="1" x14ac:dyDescent="0.3">
      <c r="A579" t="s">
        <v>31</v>
      </c>
      <c r="B579" s="15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0051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0051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9" s="15"/>
      <c r="D579" s="16" t="str">
        <f>"FS0051"</f>
        <v>FS0051</v>
      </c>
      <c r="E579" s="16">
        <v>10000</v>
      </c>
      <c r="F579" s="16" t="str">
        <f>"CASE017"</f>
        <v>CASE017</v>
      </c>
      <c r="G579" s="17" t="str">
        <f>"Carton Tray for 12/33oz Applesauce jars"</f>
        <v>Carton Tray for 12/33oz Applesauce jars</v>
      </c>
      <c r="H579" s="18" t="str">
        <f t="shared" si="67"/>
        <v>CARTON</v>
      </c>
      <c r="I579" s="19">
        <v>1</v>
      </c>
      <c r="J579" s="20">
        <v>1</v>
      </c>
    </row>
    <row r="580" spans="1:10" ht="15.75" thickBot="1" x14ac:dyDescent="0.3">
      <c r="A580" t="s">
        <v>31</v>
      </c>
      <c r="B580" s="15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0052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0052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0" s="15"/>
      <c r="D580" s="16" t="str">
        <f>"FS0052"</f>
        <v>FS0052</v>
      </c>
      <c r="E580" s="16">
        <v>10000</v>
      </c>
      <c r="F580" s="16" t="str">
        <f>"CASE017"</f>
        <v>CASE017</v>
      </c>
      <c r="G580" s="17" t="str">
        <f>"Carton Tray for 12/33oz Applesauce jars"</f>
        <v>Carton Tray for 12/33oz Applesauce jars</v>
      </c>
      <c r="H580" s="18" t="str">
        <f t="shared" si="67"/>
        <v>CARTON</v>
      </c>
      <c r="I580" s="19">
        <v>1</v>
      </c>
      <c r="J580" s="20">
        <v>1</v>
      </c>
    </row>
    <row r="581" spans="1:10" ht="15.75" thickBot="1" x14ac:dyDescent="0.3">
      <c r="A581" t="s">
        <v>31</v>
      </c>
      <c r="B581" s="15" t="str">
        <f>"""Manzana NAV"",""MANZANA"",""99000772"",""44"","" "",""22"",""False"",""43"",""0.00000000000000000000"",""12"",""Carton Tray for 6/24oz Apple Sauce jars"",""50220"",""False"",""29"","""",""50210"",""False"",""18"","""",""11"",""CASE018"",""2"",""10000"",""1"",""FS0036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10000","1","FS0036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1" s="15"/>
      <c r="D581" s="16" t="str">
        <f>"FS0036"</f>
        <v>FS0036</v>
      </c>
      <c r="E581" s="16">
        <v>10000</v>
      </c>
      <c r="F581" s="16" t="str">
        <f>"CASE018"</f>
        <v>CASE018</v>
      </c>
      <c r="G581" s="17" t="str">
        <f>"Carton Tray for 6/24oz Apple Sauce jars"</f>
        <v>Carton Tray for 6/24oz Apple Sauce jars</v>
      </c>
      <c r="H581" s="18" t="str">
        <f t="shared" si="67"/>
        <v>CARTON</v>
      </c>
      <c r="I581" s="19">
        <v>1</v>
      </c>
      <c r="J581" s="20">
        <v>1</v>
      </c>
    </row>
    <row r="582" spans="1:10" ht="15.75" thickBot="1" x14ac:dyDescent="0.3">
      <c r="A582" t="s">
        <v>31</v>
      </c>
      <c r="B582" s="15" t="str">
        <f>"""Manzana NAV"",""MANZANA"",""99000772"",""44"","" "",""22"",""False"",""43"",""0.00000000000000000000"",""12"",""Carton Tray for 6/24oz Apple Sauce jars"",""50220"",""False"",""29"","""",""50210"",""False"",""18"","""",""11"",""CASE018"",""2"",""10000"",""1"",""FS0111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10000","1","FS0111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2" s="15"/>
      <c r="D582" s="16" t="str">
        <f>"FS0111"</f>
        <v>FS0111</v>
      </c>
      <c r="E582" s="16">
        <v>10000</v>
      </c>
      <c r="F582" s="16" t="str">
        <f>"CASE018"</f>
        <v>CASE018</v>
      </c>
      <c r="G582" s="17" t="str">
        <f>"Carton Tray for 6/24oz Apple Sauce jars"</f>
        <v>Carton Tray for 6/24oz Apple Sauce jars</v>
      </c>
      <c r="H582" s="18" t="str">
        <f t="shared" si="67"/>
        <v>CARTON</v>
      </c>
      <c r="I582" s="19">
        <v>1</v>
      </c>
      <c r="J582" s="20">
        <v>1</v>
      </c>
    </row>
    <row r="583" spans="1:10" ht="15.75" thickBot="1" x14ac:dyDescent="0.3">
      <c r="A583" t="s">
        <v>31</v>
      </c>
      <c r="B583" s="15" t="str">
        <f>"""Manzana NAV"",""MANZANA"",""99000772"",""44"","" "",""22"",""False"",""43"",""0.00000000000000000000"",""12"",""Carton Tray for 6/24oz Apple Sauce jars"",""50220"",""False"",""29"","""",""50210"",""False"",""18"","""",""11"",""CASE018"",""2"",""10000"",""1"",""FS0112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10000","1","FS0112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3" s="15"/>
      <c r="D583" s="16" t="str">
        <f>"FS0112"</f>
        <v>FS0112</v>
      </c>
      <c r="E583" s="16">
        <v>10000</v>
      </c>
      <c r="F583" s="16" t="str">
        <f>"CASE018"</f>
        <v>CASE018</v>
      </c>
      <c r="G583" s="17" t="str">
        <f>"Carton Tray for 6/24oz Apple Sauce jars"</f>
        <v>Carton Tray for 6/24oz Apple Sauce jars</v>
      </c>
      <c r="H583" s="18" t="str">
        <f t="shared" si="67"/>
        <v>CARTON</v>
      </c>
      <c r="I583" s="19">
        <v>1</v>
      </c>
      <c r="J583" s="20">
        <v>1</v>
      </c>
    </row>
    <row r="584" spans="1:10" ht="15.75" thickBot="1" x14ac:dyDescent="0.3">
      <c r="A584" t="s">
        <v>31</v>
      </c>
      <c r="B584" s="15" t="str">
        <f>"""Manzana NAV"",""MANZANA"",""99000772"",""44"","" "",""22"",""False"",""43"",""0.00000000000000000000"",""12"",""Carton Tray for 6/24oz Apple Sauce jars"",""50220"",""False"",""29"","""",""50210"",""False"",""18"","""",""11"",""CASE018"",""2"",""20000"",""1"",""Z-FS0157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20000","1","Z-FS0157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4" s="15"/>
      <c r="D584" s="16" t="str">
        <f>"Z-FS0157"</f>
        <v>Z-FS0157</v>
      </c>
      <c r="E584" s="16">
        <v>20000</v>
      </c>
      <c r="F584" s="16" t="str">
        <f>"CASE018"</f>
        <v>CASE018</v>
      </c>
      <c r="G584" s="17" t="str">
        <f>"Carton Tray for 6/24oz Apple Sauce jars"</f>
        <v>Carton Tray for 6/24oz Apple Sauce jars</v>
      </c>
      <c r="H584" s="18" t="str">
        <f t="shared" si="67"/>
        <v>CARTON</v>
      </c>
      <c r="I584" s="19">
        <v>1</v>
      </c>
      <c r="J584" s="20">
        <v>1</v>
      </c>
    </row>
    <row r="585" spans="1:10" ht="15.75" thickBot="1" x14ac:dyDescent="0.3">
      <c r="A585" t="s">
        <v>31</v>
      </c>
      <c r="B585" s="15" t="str">
        <f>"""Manzana NAV"",""MANZANA"",""99000772"",""44"","" "",""22"",""False"",""43"",""0.00000000000000000000"",""12"",""Carton Tray for 6/24oz Apple Sauce jars"",""50220"",""False"",""29"","""",""50210"",""False"",""18"","""",""11"",""CASE018"",""2"",""20000"",""1"",""Z-FS0158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20000","1","Z-FS0158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5" s="15"/>
      <c r="D585" s="16" t="str">
        <f>"Z-FS0158"</f>
        <v>Z-FS0158</v>
      </c>
      <c r="E585" s="16">
        <v>20000</v>
      </c>
      <c r="F585" s="16" t="str">
        <f>"CASE018"</f>
        <v>CASE018</v>
      </c>
      <c r="G585" s="17" t="str">
        <f>"Carton Tray for 6/24oz Apple Sauce jars"</f>
        <v>Carton Tray for 6/24oz Apple Sauce jars</v>
      </c>
      <c r="H585" s="18" t="str">
        <f t="shared" ref="H585:H648" si="70">"CARTON"</f>
        <v>CARTON</v>
      </c>
      <c r="I585" s="19">
        <v>1</v>
      </c>
      <c r="J585" s="20">
        <v>1</v>
      </c>
    </row>
    <row r="586" spans="1:10" ht="15.75" thickBot="1" x14ac:dyDescent="0.3">
      <c r="A586" t="s">
        <v>31</v>
      </c>
      <c r="B586" s="15" t="str">
        <f>"""Manzana NAV"",""MANZANA"",""99000772"",""44"","" "",""22"",""False"",""43"",""0.00000000000000000000"",""12"",""Carton Tray for 6/5/4/4oz Sauce Cups"",""50220"",""False"",""29"","""",""50210"",""False"",""18"","""",""11"",""CASE034"",""2"",""25000"",""1"",""FS0150"",""14"",""6.00000000000000000000"",""45"","""&amp;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6/5/4/4oz Sauce Cups","50220","False","29","","50210","False","18","","11","CASE034","2","25000","1","FS0150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586" s="15"/>
      <c r="D586" s="16" t="str">
        <f>"FS0150"</f>
        <v>FS0150</v>
      </c>
      <c r="E586" s="16">
        <v>25000</v>
      </c>
      <c r="F586" s="16" t="str">
        <f>"CASE034"</f>
        <v>CASE034</v>
      </c>
      <c r="G586" s="17" t="str">
        <f>"Carton Tray for 6/5/4/4oz Sauce Cups"</f>
        <v>Carton Tray for 6/5/4/4oz Sauce Cups</v>
      </c>
      <c r="H586" s="18" t="str">
        <f t="shared" si="70"/>
        <v>CARTON</v>
      </c>
      <c r="I586" s="19">
        <v>6</v>
      </c>
      <c r="J586" s="20">
        <v>6</v>
      </c>
    </row>
    <row r="587" spans="1:10" ht="15.75" thickBot="1" x14ac:dyDescent="0.3">
      <c r="A587" t="s">
        <v>31</v>
      </c>
      <c r="B587" s="15" t="str">
        <f>"""Manzana NAV"",""MANZANA"",""99000772"",""44"","" "",""22"",""False"",""43"",""0.00000000000000000000"",""12"",""Carton Tray for 6/5/4/4oz Sauce Cups"",""50220"",""False"",""29"","""",""50210"",""False"",""18"","""",""11"",""CASE034"",""2"",""25000"",""1"",""FS0151"",""14"",""6.00000000000000000000"",""45"","""&amp;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6/5/4/4oz Sauce Cups","50220","False","29","","50210","False","18","","11","CASE034","2","25000","1","FS0151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587" s="15"/>
      <c r="D587" s="16" t="str">
        <f>"FS0151"</f>
        <v>FS0151</v>
      </c>
      <c r="E587" s="16">
        <v>25000</v>
      </c>
      <c r="F587" s="16" t="str">
        <f>"CASE034"</f>
        <v>CASE034</v>
      </c>
      <c r="G587" s="17" t="str">
        <f>"Carton Tray for 6/5/4/4oz Sauce Cups"</f>
        <v>Carton Tray for 6/5/4/4oz Sauce Cups</v>
      </c>
      <c r="H587" s="18" t="str">
        <f t="shared" si="70"/>
        <v>CARTON</v>
      </c>
      <c r="I587" s="19">
        <v>6</v>
      </c>
      <c r="J587" s="20">
        <v>6</v>
      </c>
    </row>
    <row r="588" spans="1:10" ht="15.75" thickBot="1" x14ac:dyDescent="0.3">
      <c r="A588" t="s">
        <v>31</v>
      </c>
      <c r="B588" s="15" t="str">
        <f>"""Manzana NAV"",""MANZANA"",""99000772"",""44"","" "",""22"",""False"",""43"",""0.00000000000000000000"",""12"",""Carton Tray for 6/5/4/4oz Sauce Cups"",""50220"",""False"",""29"","""",""50210"",""False"",""18"","""",""11"",""CASE034"",""2"",""25000"",""1"",""FS0152"",""14"",""6.00000000000000000000"",""45"","""&amp;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6/5/4/4oz Sauce Cups","50220","False","29","","50210","False","18","","11","CASE034","2","25000","1","FS0152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588" s="15"/>
      <c r="D588" s="16" t="str">
        <f>"FS0152"</f>
        <v>FS0152</v>
      </c>
      <c r="E588" s="16">
        <v>25000</v>
      </c>
      <c r="F588" s="16" t="str">
        <f>"CASE034"</f>
        <v>CASE034</v>
      </c>
      <c r="G588" s="17" t="str">
        <f>"Carton Tray for 6/5/4/4oz Sauce Cups"</f>
        <v>Carton Tray for 6/5/4/4oz Sauce Cups</v>
      </c>
      <c r="H588" s="18" t="str">
        <f t="shared" si="70"/>
        <v>CARTON</v>
      </c>
      <c r="I588" s="19">
        <v>6</v>
      </c>
      <c r="J588" s="20">
        <v>6</v>
      </c>
    </row>
    <row r="589" spans="1:10" ht="15.75" thickBot="1" x14ac:dyDescent="0.3">
      <c r="A589" t="s">
        <v>31</v>
      </c>
      <c r="B589" s="15" t="str">
        <f>"""Manzana NAV"",""MANZANA"",""99000772"",""44"","" "",""22"",""False"",""43"",""0.00000000000000000000"",""12"",""Carton Tray for N.COAST 6/24oz Applesauce jars "",""50220"",""False"",""29"","""",""50210"",""False"",""18"","""",""11"",""CASE040"",""2"",""10000"",""1"",""FS0174"",""14"",""1.00000000000000000"&amp;"000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N.COAST 6/24oz Applesauce jars ","50220","False","29","","50210","False","18","","11","CASE040","2","10000","1","FS0174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9" s="15"/>
      <c r="D589" s="16" t="str">
        <f>"FS0174"</f>
        <v>FS0174</v>
      </c>
      <c r="E589" s="16">
        <v>10000</v>
      </c>
      <c r="F589" s="16" t="str">
        <f>"CASE040"</f>
        <v>CASE040</v>
      </c>
      <c r="G589" s="17" t="str">
        <f>"Carton Tray for N.COAST 6/24oz Applesauce jars "</f>
        <v xml:space="preserve">Carton Tray for N.COAST 6/24oz Applesauce jars </v>
      </c>
      <c r="H589" s="18" t="str">
        <f t="shared" si="70"/>
        <v>CARTON</v>
      </c>
      <c r="I589" s="19">
        <v>1</v>
      </c>
      <c r="J589" s="20">
        <v>1</v>
      </c>
    </row>
    <row r="590" spans="1:10" ht="15.75" thickBot="1" x14ac:dyDescent="0.3">
      <c r="A590" t="s">
        <v>31</v>
      </c>
      <c r="B590" s="15" t="str">
        <f>"""Manzana NAV"",""MANZANA"",""99000772"",""44"","" "",""22"",""False"",""43"",""0.00000000000000000000"",""12"",""Carton Tray for N.COAST 6/24oz Grav Applesauce jar"",""50220"",""False"",""29"","""",""50210"",""False"",""18"","""",""11"",""CASE041"",""2"",""10000"",""1"",""FS0175"",""14"",""1.00000000000000"&amp;"000000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N.COAST 6/24oz Grav Applesauce jar","50220","False","29","","50210","False","18","","11","CASE041","2","10000","1","FS0175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0" s="15"/>
      <c r="D590" s="16" t="str">
        <f>"FS0175"</f>
        <v>FS0175</v>
      </c>
      <c r="E590" s="16">
        <v>10000</v>
      </c>
      <c r="F590" s="16" t="str">
        <f>"CASE041"</f>
        <v>CASE041</v>
      </c>
      <c r="G590" s="17" t="str">
        <f>"Carton Tray for N.COAST 6/24oz Grav Applesauce jar"</f>
        <v>Carton Tray for N.COAST 6/24oz Grav Applesauce jar</v>
      </c>
      <c r="H590" s="18" t="str">
        <f t="shared" si="70"/>
        <v>CARTON</v>
      </c>
      <c r="I590" s="19">
        <v>1</v>
      </c>
      <c r="J590" s="20">
        <v>1</v>
      </c>
    </row>
    <row r="591" spans="1:10" ht="15.75" thickBot="1" x14ac:dyDescent="0.3">
      <c r="A591" t="s">
        <v>31</v>
      </c>
      <c r="B591" s="15" t="str">
        <f>"""Manzana NAV"",""MANZANA"",""99000772"",""44"","" "",""22"",""False"",""43"",""0.00000000000000000000"",""12"",""Case for 12/16oz Vinegar Bottles"",""50220"",""False"",""29"","""",""50210"",""False"",""18"","""",""11"",""CASE008"",""2"",""5000"",""1"",""FV0005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5000","1","FV0005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1" s="15"/>
      <c r="D591" s="16" t="str">
        <f>"FV0005"</f>
        <v>FV0005</v>
      </c>
      <c r="E591" s="16">
        <v>5000</v>
      </c>
      <c r="F591" s="16" t="str">
        <f t="shared" ref="F591:F600" si="71">"CASE008"</f>
        <v>CASE008</v>
      </c>
      <c r="G591" s="17" t="str">
        <f t="shared" ref="G591:G600" si="72">"Case for 12/16oz Vinegar Bottles"</f>
        <v>Case for 12/16oz Vinegar Bottles</v>
      </c>
      <c r="H591" s="18" t="str">
        <f t="shared" si="70"/>
        <v>CARTON</v>
      </c>
      <c r="I591" s="19">
        <v>1</v>
      </c>
      <c r="J591" s="20">
        <v>1</v>
      </c>
    </row>
    <row r="592" spans="1:10" ht="15.75" thickBot="1" x14ac:dyDescent="0.3">
      <c r="A592" t="s">
        <v>31</v>
      </c>
      <c r="B592" s="15" t="str">
        <f>"""Manzana NAV"",""MANZANA"",""99000772"",""44"","" "",""22"",""False"",""43"",""0.00000000000000000000"",""12"",""Case for 12/16oz Vinegar Bottles"",""50220"",""False"",""29"","""",""50210"",""False"",""18"","""",""11"",""CASE008"",""2"",""5000"",""1"",""FV0021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5000","1","FV0021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2" s="15"/>
      <c r="D592" s="16" t="str">
        <f>"FV0021"</f>
        <v>FV0021</v>
      </c>
      <c r="E592" s="16">
        <v>5000</v>
      </c>
      <c r="F592" s="16" t="str">
        <f t="shared" si="71"/>
        <v>CASE008</v>
      </c>
      <c r="G592" s="17" t="str">
        <f t="shared" si="72"/>
        <v>Case for 12/16oz Vinegar Bottles</v>
      </c>
      <c r="H592" s="18" t="str">
        <f t="shared" si="70"/>
        <v>CARTON</v>
      </c>
      <c r="I592" s="19">
        <v>1</v>
      </c>
      <c r="J592" s="20">
        <v>1</v>
      </c>
    </row>
    <row r="593" spans="1:10" ht="15.75" thickBot="1" x14ac:dyDescent="0.3">
      <c r="A593" t="s">
        <v>31</v>
      </c>
      <c r="B593" s="15" t="str">
        <f>"""Manzana NAV"",""MANZANA"",""99000772"",""44"","" "",""22"",""False"",""43"",""0.00000000000000000000"",""12"",""Case for 12/16oz Vinegar Bottles"",""50220"",""False"",""29"","""",""50210"",""False"",""18"","""",""11"",""CASE008"",""2"",""10000"",""1"",""FV0035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10000","1","FV0035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3" s="15"/>
      <c r="D593" s="16" t="str">
        <f>"FV0035"</f>
        <v>FV0035</v>
      </c>
      <c r="E593" s="16">
        <v>10000</v>
      </c>
      <c r="F593" s="16" t="str">
        <f t="shared" si="71"/>
        <v>CASE008</v>
      </c>
      <c r="G593" s="17" t="str">
        <f t="shared" si="72"/>
        <v>Case for 12/16oz Vinegar Bottles</v>
      </c>
      <c r="H593" s="18" t="str">
        <f t="shared" si="70"/>
        <v>CARTON</v>
      </c>
      <c r="I593" s="19">
        <v>1</v>
      </c>
      <c r="J593" s="20">
        <v>1</v>
      </c>
    </row>
    <row r="594" spans="1:10" ht="15.75" thickBot="1" x14ac:dyDescent="0.3">
      <c r="A594" t="s">
        <v>31</v>
      </c>
      <c r="B594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0007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0007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4" s="15"/>
      <c r="D594" s="16" t="str">
        <f>"FV0007"</f>
        <v>FV0007</v>
      </c>
      <c r="E594" s="16">
        <v>20000</v>
      </c>
      <c r="F594" s="16" t="str">
        <f t="shared" si="71"/>
        <v>CASE008</v>
      </c>
      <c r="G594" s="17" t="str">
        <f t="shared" si="72"/>
        <v>Case for 12/16oz Vinegar Bottles</v>
      </c>
      <c r="H594" s="18" t="str">
        <f t="shared" si="70"/>
        <v>CARTON</v>
      </c>
      <c r="I594" s="19">
        <v>1</v>
      </c>
      <c r="J594" s="20">
        <v>1</v>
      </c>
    </row>
    <row r="595" spans="1:10" ht="15.75" thickBot="1" x14ac:dyDescent="0.3">
      <c r="A595" t="s">
        <v>31</v>
      </c>
      <c r="B595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0008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5" s="15"/>
      <c r="D595" s="16" t="str">
        <f>"FV0008"</f>
        <v>FV0008</v>
      </c>
      <c r="E595" s="16">
        <v>20000</v>
      </c>
      <c r="F595" s="16" t="str">
        <f t="shared" si="71"/>
        <v>CASE008</v>
      </c>
      <c r="G595" s="17" t="str">
        <f t="shared" si="72"/>
        <v>Case for 12/16oz Vinegar Bottles</v>
      </c>
      <c r="H595" s="18" t="str">
        <f t="shared" si="70"/>
        <v>CARTON</v>
      </c>
      <c r="I595" s="19">
        <v>1</v>
      </c>
      <c r="J595" s="20">
        <v>1</v>
      </c>
    </row>
    <row r="596" spans="1:10" ht="15.75" thickBot="1" x14ac:dyDescent="0.3">
      <c r="A596" t="s">
        <v>31</v>
      </c>
      <c r="B596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0010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6" s="15"/>
      <c r="D596" s="16" t="str">
        <f>"FV0010"</f>
        <v>FV0010</v>
      </c>
      <c r="E596" s="16">
        <v>20000</v>
      </c>
      <c r="F596" s="16" t="str">
        <f t="shared" si="71"/>
        <v>CASE008</v>
      </c>
      <c r="G596" s="17" t="str">
        <f t="shared" si="72"/>
        <v>Case for 12/16oz Vinegar Bottles</v>
      </c>
      <c r="H596" s="18" t="str">
        <f t="shared" si="70"/>
        <v>CARTON</v>
      </c>
      <c r="I596" s="19">
        <v>1</v>
      </c>
      <c r="J596" s="20">
        <v>1</v>
      </c>
    </row>
    <row r="597" spans="1:10" ht="15.75" thickBot="1" x14ac:dyDescent="0.3">
      <c r="A597" t="s">
        <v>31</v>
      </c>
      <c r="B597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0012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7" s="15"/>
      <c r="D597" s="16" t="str">
        <f>"FV0012"</f>
        <v>FV0012</v>
      </c>
      <c r="E597" s="16">
        <v>20000</v>
      </c>
      <c r="F597" s="16" t="str">
        <f t="shared" si="71"/>
        <v>CASE008</v>
      </c>
      <c r="G597" s="17" t="str">
        <f t="shared" si="72"/>
        <v>Case for 12/16oz Vinegar Bottles</v>
      </c>
      <c r="H597" s="18" t="str">
        <f t="shared" si="70"/>
        <v>CARTON</v>
      </c>
      <c r="I597" s="19">
        <v>1</v>
      </c>
      <c r="J597" s="20">
        <v>1</v>
      </c>
    </row>
    <row r="598" spans="1:10" ht="15.75" thickBot="1" x14ac:dyDescent="0.3">
      <c r="A598" t="s">
        <v>31</v>
      </c>
      <c r="B598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0012B"",""14"",""1.00000000000000000000"",""45"",""1.0"&amp;"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0012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8" s="15"/>
      <c r="D598" s="16" t="str">
        <f>"FV0012B"</f>
        <v>FV0012B</v>
      </c>
      <c r="E598" s="16">
        <v>20000</v>
      </c>
      <c r="F598" s="16" t="str">
        <f t="shared" si="71"/>
        <v>CASE008</v>
      </c>
      <c r="G598" s="17" t="str">
        <f t="shared" si="72"/>
        <v>Case for 12/16oz Vinegar Bottles</v>
      </c>
      <c r="H598" s="18" t="str">
        <f t="shared" si="70"/>
        <v>CARTON</v>
      </c>
      <c r="I598" s="19">
        <v>1</v>
      </c>
      <c r="J598" s="20">
        <v>1</v>
      </c>
    </row>
    <row r="599" spans="1:10" ht="15.75" thickBot="1" x14ac:dyDescent="0.3">
      <c r="A599" t="s">
        <v>31</v>
      </c>
      <c r="B599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0020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9" s="15"/>
      <c r="D599" s="16" t="str">
        <f>"FV0020"</f>
        <v>FV0020</v>
      </c>
      <c r="E599" s="16">
        <v>20000</v>
      </c>
      <c r="F599" s="16" t="str">
        <f t="shared" si="71"/>
        <v>CASE008</v>
      </c>
      <c r="G599" s="17" t="str">
        <f t="shared" si="72"/>
        <v>Case for 12/16oz Vinegar Bottles</v>
      </c>
      <c r="H599" s="18" t="str">
        <f t="shared" si="70"/>
        <v>CARTON</v>
      </c>
      <c r="I599" s="19">
        <v>1</v>
      </c>
      <c r="J599" s="20">
        <v>1</v>
      </c>
    </row>
    <row r="600" spans="1:10" ht="15.75" thickBot="1" x14ac:dyDescent="0.3">
      <c r="A600" t="s">
        <v>31</v>
      </c>
      <c r="B600" s="15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0025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0" s="15"/>
      <c r="D600" s="16" t="str">
        <f>"FV0025"</f>
        <v>FV0025</v>
      </c>
      <c r="E600" s="16">
        <v>20000</v>
      </c>
      <c r="F600" s="16" t="str">
        <f t="shared" si="71"/>
        <v>CASE008</v>
      </c>
      <c r="G600" s="17" t="str">
        <f t="shared" si="72"/>
        <v>Case for 12/16oz Vinegar Bottles</v>
      </c>
      <c r="H600" s="18" t="str">
        <f t="shared" si="70"/>
        <v>CARTON</v>
      </c>
      <c r="I600" s="19">
        <v>1</v>
      </c>
      <c r="J600" s="20">
        <v>1</v>
      </c>
    </row>
    <row r="601" spans="1:10" ht="15.75" thickBot="1" x14ac:dyDescent="0.3">
      <c r="A601" t="s">
        <v>31</v>
      </c>
      <c r="B601" s="15" t="str">
        <f>"""Manzana NAV"",""MANZANA"",""99000772"",""44"","" "",""22"",""False"",""43"",""0.00000000000000000000"",""12"",""Case for 12/32oz Juice Bottles"",""50220"",""False"",""29"","""",""50210"",""False"",""18"","""",""11"",""CASE003"",""2"",""5000"",""1"",""FJ0224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5000","1","FJ0224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1" s="15"/>
      <c r="D601" s="16" t="str">
        <f>"FJ0224"</f>
        <v>FJ0224</v>
      </c>
      <c r="E601" s="16">
        <v>5000</v>
      </c>
      <c r="F601" s="16" t="str">
        <f>"CASE003"</f>
        <v>CASE003</v>
      </c>
      <c r="G601" s="17" t="str">
        <f>"Case for 12/32oz Juice Bottles"</f>
        <v>Case for 12/32oz Juice Bottles</v>
      </c>
      <c r="H601" s="18" t="str">
        <f t="shared" si="70"/>
        <v>CARTON</v>
      </c>
      <c r="I601" s="19">
        <v>1</v>
      </c>
      <c r="J601" s="20">
        <v>1</v>
      </c>
    </row>
    <row r="602" spans="1:10" ht="15.75" thickBot="1" x14ac:dyDescent="0.3">
      <c r="A602" t="s">
        <v>31</v>
      </c>
      <c r="B602" s="15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0225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2" s="15"/>
      <c r="D602" s="16" t="str">
        <f>"FJ0225"</f>
        <v>FJ0225</v>
      </c>
      <c r="E602" s="16">
        <v>10000</v>
      </c>
      <c r="F602" s="16" t="str">
        <f>"CASE003"</f>
        <v>CASE003</v>
      </c>
      <c r="G602" s="17" t="str">
        <f>"Case for 12/32oz Juice Bottles"</f>
        <v>Case for 12/32oz Juice Bottles</v>
      </c>
      <c r="H602" s="18" t="str">
        <f t="shared" si="70"/>
        <v>CARTON</v>
      </c>
      <c r="I602" s="19">
        <v>1</v>
      </c>
      <c r="J602" s="20">
        <v>1</v>
      </c>
    </row>
    <row r="603" spans="1:10" ht="15.75" thickBot="1" x14ac:dyDescent="0.3">
      <c r="A603" t="s">
        <v>31</v>
      </c>
      <c r="B603" s="15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0235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3" s="15"/>
      <c r="D603" s="16" t="str">
        <f>"FJ0235"</f>
        <v>FJ0235</v>
      </c>
      <c r="E603" s="16">
        <v>10000</v>
      </c>
      <c r="F603" s="16" t="str">
        <f>"CASE003"</f>
        <v>CASE003</v>
      </c>
      <c r="G603" s="17" t="str">
        <f>"Case for 12/32oz Juice Bottles"</f>
        <v>Case for 12/32oz Juice Bottles</v>
      </c>
      <c r="H603" s="18" t="str">
        <f t="shared" si="70"/>
        <v>CARTON</v>
      </c>
      <c r="I603" s="19">
        <v>1</v>
      </c>
      <c r="J603" s="20">
        <v>1</v>
      </c>
    </row>
    <row r="604" spans="1:10" ht="15.75" thickBot="1" x14ac:dyDescent="0.3">
      <c r="A604" t="s">
        <v>31</v>
      </c>
      <c r="B604" s="15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0236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0236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4" s="15"/>
      <c r="D604" s="16" t="str">
        <f>"FJ0236"</f>
        <v>FJ0236</v>
      </c>
      <c r="E604" s="16">
        <v>10000</v>
      </c>
      <c r="F604" s="16" t="str">
        <f>"CASE003"</f>
        <v>CASE003</v>
      </c>
      <c r="G604" s="17" t="str">
        <f>"Case for 12/32oz Juice Bottles"</f>
        <v>Case for 12/32oz Juice Bottles</v>
      </c>
      <c r="H604" s="18" t="str">
        <f t="shared" si="70"/>
        <v>CARTON</v>
      </c>
      <c r="I604" s="19">
        <v>1</v>
      </c>
      <c r="J604" s="20">
        <v>1</v>
      </c>
    </row>
    <row r="605" spans="1:10" ht="15.75" thickBot="1" x14ac:dyDescent="0.3">
      <c r="A605" t="s">
        <v>31</v>
      </c>
      <c r="B605" s="15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0237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0237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5" s="15"/>
      <c r="D605" s="16" t="str">
        <f>"FJ0237"</f>
        <v>FJ0237</v>
      </c>
      <c r="E605" s="16">
        <v>10000</v>
      </c>
      <c r="F605" s="16" t="str">
        <f>"CASE003"</f>
        <v>CASE003</v>
      </c>
      <c r="G605" s="17" t="str">
        <f>"Case for 12/32oz Juice Bottles"</f>
        <v>Case for 12/32oz Juice Bottles</v>
      </c>
      <c r="H605" s="18" t="str">
        <f t="shared" si="70"/>
        <v>CARTON</v>
      </c>
      <c r="I605" s="19">
        <v>1</v>
      </c>
      <c r="J605" s="20">
        <v>1</v>
      </c>
    </row>
    <row r="606" spans="1:10" ht="15.75" thickBot="1" x14ac:dyDescent="0.3">
      <c r="A606" t="s">
        <v>31</v>
      </c>
      <c r="B606" s="15" t="str">
        <f>"""Manzana NAV"",""MANZANA"",""99000772"",""44"","" "",""22"",""False"",""43"",""0.00000000000000000000"",""12"",""Case for 12/32oz Vinegar Bottles"",""50220"",""False"",""29"","""",""50210"",""False"",""18"","""",""11"",""CASE009"",""2"",""5000"",""1"",""FV0038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5000","1","FV0038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6" s="15"/>
      <c r="D606" s="16" t="str">
        <f>"FV0038"</f>
        <v>FV0038</v>
      </c>
      <c r="E606" s="16">
        <v>5000</v>
      </c>
      <c r="F606" s="16" t="str">
        <f t="shared" ref="F606:F616" si="73">"CASE009"</f>
        <v>CASE009</v>
      </c>
      <c r="G606" s="17" t="str">
        <f t="shared" ref="G606:G616" si="74">"Case for 12/32oz Vinegar Bottles"</f>
        <v>Case for 12/32oz Vinegar Bottles</v>
      </c>
      <c r="H606" s="18" t="str">
        <f t="shared" si="70"/>
        <v>CARTON</v>
      </c>
      <c r="I606" s="19">
        <v>1</v>
      </c>
      <c r="J606" s="20">
        <v>1</v>
      </c>
    </row>
    <row r="607" spans="1:10" ht="15.75" thickBot="1" x14ac:dyDescent="0.3">
      <c r="A607" t="s">
        <v>31</v>
      </c>
      <c r="B607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0009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7" s="15"/>
      <c r="D607" s="16" t="str">
        <f>"FV0009"</f>
        <v>FV0009</v>
      </c>
      <c r="E607" s="16">
        <v>10000</v>
      </c>
      <c r="F607" s="16" t="str">
        <f t="shared" si="73"/>
        <v>CASE009</v>
      </c>
      <c r="G607" s="17" t="str">
        <f t="shared" si="74"/>
        <v>Case for 12/32oz Vinegar Bottles</v>
      </c>
      <c r="H607" s="18" t="str">
        <f t="shared" si="70"/>
        <v>CARTON</v>
      </c>
      <c r="I607" s="19">
        <v>1</v>
      </c>
      <c r="J607" s="20">
        <v>1</v>
      </c>
    </row>
    <row r="608" spans="1:10" ht="15.75" thickBot="1" x14ac:dyDescent="0.3">
      <c r="A608" t="s">
        <v>31</v>
      </c>
      <c r="B608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0011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8" s="15"/>
      <c r="D608" s="16" t="str">
        <f>"FV0011"</f>
        <v>FV0011</v>
      </c>
      <c r="E608" s="16">
        <v>10000</v>
      </c>
      <c r="F608" s="16" t="str">
        <f t="shared" si="73"/>
        <v>CASE009</v>
      </c>
      <c r="G608" s="17" t="str">
        <f t="shared" si="74"/>
        <v>Case for 12/32oz Vinegar Bottles</v>
      </c>
      <c r="H608" s="18" t="str">
        <f t="shared" si="70"/>
        <v>CARTON</v>
      </c>
      <c r="I608" s="19">
        <v>1</v>
      </c>
      <c r="J608" s="20">
        <v>1</v>
      </c>
    </row>
    <row r="609" spans="1:10" ht="15.75" thickBot="1" x14ac:dyDescent="0.3">
      <c r="A609" t="s">
        <v>31</v>
      </c>
      <c r="B609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0013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9" s="15"/>
      <c r="D609" s="16" t="str">
        <f>"FV0013"</f>
        <v>FV0013</v>
      </c>
      <c r="E609" s="16">
        <v>10000</v>
      </c>
      <c r="F609" s="16" t="str">
        <f t="shared" si="73"/>
        <v>CASE009</v>
      </c>
      <c r="G609" s="17" t="str">
        <f t="shared" si="74"/>
        <v>Case for 12/32oz Vinegar Bottles</v>
      </c>
      <c r="H609" s="18" t="str">
        <f t="shared" si="70"/>
        <v>CARTON</v>
      </c>
      <c r="I609" s="19">
        <v>1</v>
      </c>
      <c r="J609" s="20">
        <v>1</v>
      </c>
    </row>
    <row r="610" spans="1:10" ht="15.75" thickBot="1" x14ac:dyDescent="0.3">
      <c r="A610" t="s">
        <v>31</v>
      </c>
      <c r="B610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0013B"",""14"",""1.00000000000000000000"",""45"",""1.0"&amp;"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0013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0" s="15"/>
      <c r="D610" s="16" t="str">
        <f>"FV0013B"</f>
        <v>FV0013B</v>
      </c>
      <c r="E610" s="16">
        <v>10000</v>
      </c>
      <c r="F610" s="16" t="str">
        <f t="shared" si="73"/>
        <v>CASE009</v>
      </c>
      <c r="G610" s="17" t="str">
        <f t="shared" si="74"/>
        <v>Case for 12/32oz Vinegar Bottles</v>
      </c>
      <c r="H610" s="18" t="str">
        <f t="shared" si="70"/>
        <v>CARTON</v>
      </c>
      <c r="I610" s="19">
        <v>1</v>
      </c>
      <c r="J610" s="20">
        <v>1</v>
      </c>
    </row>
    <row r="611" spans="1:10" ht="15.75" thickBot="1" x14ac:dyDescent="0.3">
      <c r="A611" t="s">
        <v>31</v>
      </c>
      <c r="B611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0016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1" s="15"/>
      <c r="D611" s="16" t="str">
        <f>"FV0016"</f>
        <v>FV0016</v>
      </c>
      <c r="E611" s="16">
        <v>10000</v>
      </c>
      <c r="F611" s="16" t="str">
        <f t="shared" si="73"/>
        <v>CASE009</v>
      </c>
      <c r="G611" s="17" t="str">
        <f t="shared" si="74"/>
        <v>Case for 12/32oz Vinegar Bottles</v>
      </c>
      <c r="H611" s="18" t="str">
        <f t="shared" si="70"/>
        <v>CARTON</v>
      </c>
      <c r="I611" s="19">
        <v>1</v>
      </c>
      <c r="J611" s="20">
        <v>1</v>
      </c>
    </row>
    <row r="612" spans="1:10" ht="15.75" thickBot="1" x14ac:dyDescent="0.3">
      <c r="A612" t="s">
        <v>31</v>
      </c>
      <c r="B612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0017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2" s="15"/>
      <c r="D612" s="16" t="str">
        <f>"FV0017"</f>
        <v>FV0017</v>
      </c>
      <c r="E612" s="16">
        <v>10000</v>
      </c>
      <c r="F612" s="16" t="str">
        <f t="shared" si="73"/>
        <v>CASE009</v>
      </c>
      <c r="G612" s="17" t="str">
        <f t="shared" si="74"/>
        <v>Case for 12/32oz Vinegar Bottles</v>
      </c>
      <c r="H612" s="18" t="str">
        <f t="shared" si="70"/>
        <v>CARTON</v>
      </c>
      <c r="I612" s="19">
        <v>1</v>
      </c>
      <c r="J612" s="20">
        <v>1</v>
      </c>
    </row>
    <row r="613" spans="1:10" ht="15.75" thickBot="1" x14ac:dyDescent="0.3">
      <c r="A613" t="s">
        <v>31</v>
      </c>
      <c r="B613" s="15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0022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0022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3" s="15"/>
      <c r="D613" s="16" t="str">
        <f>"FV0022"</f>
        <v>FV0022</v>
      </c>
      <c r="E613" s="16">
        <v>10000</v>
      </c>
      <c r="F613" s="16" t="str">
        <f t="shared" si="73"/>
        <v>CASE009</v>
      </c>
      <c r="G613" s="17" t="str">
        <f t="shared" si="74"/>
        <v>Case for 12/32oz Vinegar Bottles</v>
      </c>
      <c r="H613" s="18" t="str">
        <f t="shared" si="70"/>
        <v>CARTON</v>
      </c>
      <c r="I613" s="19">
        <v>1</v>
      </c>
      <c r="J613" s="20">
        <v>1</v>
      </c>
    </row>
    <row r="614" spans="1:10" ht="15.75" thickBot="1" x14ac:dyDescent="0.3">
      <c r="A614" t="s">
        <v>31</v>
      </c>
      <c r="B614" s="15" t="str">
        <f>"""Manzana NAV"",""MANZANA"",""99000772"",""44"","" "",""22"",""False"",""43"",""0.00000000000000000000"",""12"",""Case for 12/32oz Vinegar Bottles"",""50220"",""False"",""29"","""",""50210"",""False"",""18"","""",""11"",""CASE009"",""2"",""20000"",""1"",""FV0019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20000","1","FV0019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4" s="15"/>
      <c r="D614" s="16" t="str">
        <f>"FV0019"</f>
        <v>FV0019</v>
      </c>
      <c r="E614" s="16">
        <v>20000</v>
      </c>
      <c r="F614" s="16" t="str">
        <f t="shared" si="73"/>
        <v>CASE009</v>
      </c>
      <c r="G614" s="17" t="str">
        <f t="shared" si="74"/>
        <v>Case for 12/32oz Vinegar Bottles</v>
      </c>
      <c r="H614" s="18" t="str">
        <f t="shared" si="70"/>
        <v>CARTON</v>
      </c>
      <c r="I614" s="19">
        <v>1</v>
      </c>
      <c r="J614" s="20">
        <v>1</v>
      </c>
    </row>
    <row r="615" spans="1:10" ht="15.75" thickBot="1" x14ac:dyDescent="0.3">
      <c r="A615" t="s">
        <v>31</v>
      </c>
      <c r="B615" s="15" t="str">
        <f>"""Manzana NAV"",""MANZANA"",""99000772"",""44"","" "",""22"",""False"",""43"",""0.00000000000000000000"",""12"",""Case for 12/32oz Vinegar Bottles"",""50220"",""False"",""29"","""",""50210"",""False"",""18"","""",""11"",""CASE009"",""2"",""20000"",""1"",""FV0024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20000","1","FV0024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5" s="15"/>
      <c r="D615" s="16" t="str">
        <f>"FV0024"</f>
        <v>FV0024</v>
      </c>
      <c r="E615" s="16">
        <v>20000</v>
      </c>
      <c r="F615" s="16" t="str">
        <f t="shared" si="73"/>
        <v>CASE009</v>
      </c>
      <c r="G615" s="17" t="str">
        <f t="shared" si="74"/>
        <v>Case for 12/32oz Vinegar Bottles</v>
      </c>
      <c r="H615" s="18" t="str">
        <f t="shared" si="70"/>
        <v>CARTON</v>
      </c>
      <c r="I615" s="19">
        <v>1</v>
      </c>
      <c r="J615" s="20">
        <v>1</v>
      </c>
    </row>
    <row r="616" spans="1:10" ht="15.75" thickBot="1" x14ac:dyDescent="0.3">
      <c r="A616" t="s">
        <v>31</v>
      </c>
      <c r="B616" s="15" t="str">
        <f>"""Manzana NAV"",""MANZANA"",""99000772"",""44"","" "",""22"",""False"",""43"",""0.00000000000000000000"",""12"",""Case for 12/32oz Vinegar Bottles"",""50220"",""False"",""29"","""",""50210"",""False"",""18"","""",""11"",""CASE009"",""2"",""30000"",""1"",""FV0002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30000","1","FV0002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6" s="15"/>
      <c r="D616" s="16" t="str">
        <f>"FV0002"</f>
        <v>FV0002</v>
      </c>
      <c r="E616" s="16">
        <v>30000</v>
      </c>
      <c r="F616" s="16" t="str">
        <f t="shared" si="73"/>
        <v>CASE009</v>
      </c>
      <c r="G616" s="17" t="str">
        <f t="shared" si="74"/>
        <v>Case for 12/32oz Vinegar Bottles</v>
      </c>
      <c r="H616" s="18" t="str">
        <f t="shared" si="70"/>
        <v>CARTON</v>
      </c>
      <c r="I616" s="19">
        <v>1</v>
      </c>
      <c r="J616" s="20">
        <v>1</v>
      </c>
    </row>
    <row r="617" spans="1:10" ht="15.75" thickBot="1" x14ac:dyDescent="0.3">
      <c r="A617" t="s">
        <v>31</v>
      </c>
      <c r="B617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10000"",""1"",""FSP0025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10000","1","FSP0025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7" s="15"/>
      <c r="D617" s="16" t="str">
        <f>"FSP0025"</f>
        <v>FSP0025</v>
      </c>
      <c r="E617" s="16">
        <v>10000</v>
      </c>
      <c r="F617" s="16" t="str">
        <f t="shared" ref="F617:F628" si="75">"CASE038"</f>
        <v>CASE038</v>
      </c>
      <c r="G617" s="17" t="str">
        <f t="shared" ref="G617:G628" si="76">"Case for 12/4/3.2oz  (2014-revised) - pouches"</f>
        <v>Case for 12/4/3.2oz  (2014-revised) - pouches</v>
      </c>
      <c r="H617" s="18" t="str">
        <f t="shared" si="70"/>
        <v>CARTON</v>
      </c>
      <c r="I617" s="19">
        <v>1</v>
      </c>
      <c r="J617" s="20">
        <v>1</v>
      </c>
    </row>
    <row r="618" spans="1:10" ht="15.75" thickBot="1" x14ac:dyDescent="0.3">
      <c r="A618" t="s">
        <v>31</v>
      </c>
      <c r="B618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10000"",""1"",""FSP0026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10000","1","FSP0026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8" s="15"/>
      <c r="D618" s="16" t="str">
        <f>"FSP0026"</f>
        <v>FSP0026</v>
      </c>
      <c r="E618" s="16">
        <v>10000</v>
      </c>
      <c r="F618" s="16" t="str">
        <f t="shared" si="75"/>
        <v>CASE038</v>
      </c>
      <c r="G618" s="17" t="str">
        <f t="shared" si="76"/>
        <v>Case for 12/4/3.2oz  (2014-revised) - pouches</v>
      </c>
      <c r="H618" s="18" t="str">
        <f t="shared" si="70"/>
        <v>CARTON</v>
      </c>
      <c r="I618" s="19">
        <v>1</v>
      </c>
      <c r="J618" s="20">
        <v>1</v>
      </c>
    </row>
    <row r="619" spans="1:10" ht="15.75" thickBot="1" x14ac:dyDescent="0.3">
      <c r="A619" t="s">
        <v>31</v>
      </c>
      <c r="B619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15000"",""1"",""FSP0004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15000","1","FSP0004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9" s="15"/>
      <c r="D619" s="16" t="str">
        <f>"FSP0004"</f>
        <v>FSP0004</v>
      </c>
      <c r="E619" s="16">
        <v>15000</v>
      </c>
      <c r="F619" s="16" t="str">
        <f t="shared" si="75"/>
        <v>CASE038</v>
      </c>
      <c r="G619" s="17" t="str">
        <f t="shared" si="76"/>
        <v>Case for 12/4/3.2oz  (2014-revised) - pouches</v>
      </c>
      <c r="H619" s="18" t="str">
        <f t="shared" si="70"/>
        <v>CARTON</v>
      </c>
      <c r="I619" s="19">
        <v>1</v>
      </c>
      <c r="J619" s="20">
        <v>1</v>
      </c>
    </row>
    <row r="620" spans="1:10" ht="15.75" thickBot="1" x14ac:dyDescent="0.3">
      <c r="A620" t="s">
        <v>31</v>
      </c>
      <c r="B620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0001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0" s="15"/>
      <c r="D620" s="16" t="str">
        <f>"FSP0001"</f>
        <v>FSP0001</v>
      </c>
      <c r="E620" s="16">
        <v>20000</v>
      </c>
      <c r="F620" s="16" t="str">
        <f t="shared" si="75"/>
        <v>CASE038</v>
      </c>
      <c r="G620" s="17" t="str">
        <f t="shared" si="76"/>
        <v>Case for 12/4/3.2oz  (2014-revised) - pouches</v>
      </c>
      <c r="H620" s="18" t="str">
        <f t="shared" si="70"/>
        <v>CARTON</v>
      </c>
      <c r="I620" s="19">
        <v>1</v>
      </c>
      <c r="J620" s="20">
        <v>1</v>
      </c>
    </row>
    <row r="621" spans="1:10" ht="15.75" thickBot="1" x14ac:dyDescent="0.3">
      <c r="A621" t="s">
        <v>31</v>
      </c>
      <c r="B621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0002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1" s="15"/>
      <c r="D621" s="16" t="str">
        <f>"FSP0002"</f>
        <v>FSP0002</v>
      </c>
      <c r="E621" s="16">
        <v>20000</v>
      </c>
      <c r="F621" s="16" t="str">
        <f t="shared" si="75"/>
        <v>CASE038</v>
      </c>
      <c r="G621" s="17" t="str">
        <f t="shared" si="76"/>
        <v>Case for 12/4/3.2oz  (2014-revised) - pouches</v>
      </c>
      <c r="H621" s="18" t="str">
        <f t="shared" si="70"/>
        <v>CARTON</v>
      </c>
      <c r="I621" s="19">
        <v>1</v>
      </c>
      <c r="J621" s="20">
        <v>1</v>
      </c>
    </row>
    <row r="622" spans="1:10" ht="15.75" thickBot="1" x14ac:dyDescent="0.3">
      <c r="A622" t="s">
        <v>31</v>
      </c>
      <c r="B622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0003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2" s="15"/>
      <c r="D622" s="16" t="str">
        <f>"FSP0003"</f>
        <v>FSP0003</v>
      </c>
      <c r="E622" s="16">
        <v>20000</v>
      </c>
      <c r="F622" s="16" t="str">
        <f t="shared" si="75"/>
        <v>CASE038</v>
      </c>
      <c r="G622" s="17" t="str">
        <f t="shared" si="76"/>
        <v>Case for 12/4/3.2oz  (2014-revised) - pouches</v>
      </c>
      <c r="H622" s="18" t="str">
        <f t="shared" si="70"/>
        <v>CARTON</v>
      </c>
      <c r="I622" s="19">
        <v>1</v>
      </c>
      <c r="J622" s="20">
        <v>1</v>
      </c>
    </row>
    <row r="623" spans="1:10" ht="15.75" thickBot="1" x14ac:dyDescent="0.3">
      <c r="A623" t="s">
        <v>31</v>
      </c>
      <c r="B623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0005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3" s="15"/>
      <c r="D623" s="16" t="str">
        <f>"FSP0005"</f>
        <v>FSP0005</v>
      </c>
      <c r="E623" s="16">
        <v>20000</v>
      </c>
      <c r="F623" s="16" t="str">
        <f t="shared" si="75"/>
        <v>CASE038</v>
      </c>
      <c r="G623" s="17" t="str">
        <f t="shared" si="76"/>
        <v>Case for 12/4/3.2oz  (2014-revised) - pouches</v>
      </c>
      <c r="H623" s="18" t="str">
        <f t="shared" si="70"/>
        <v>CARTON</v>
      </c>
      <c r="I623" s="19">
        <v>1</v>
      </c>
      <c r="J623" s="20">
        <v>1</v>
      </c>
    </row>
    <row r="624" spans="1:10" ht="15.75" thickBot="1" x14ac:dyDescent="0.3">
      <c r="A624" t="s">
        <v>31</v>
      </c>
      <c r="B624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0006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4" s="15"/>
      <c r="D624" s="16" t="str">
        <f>"FSP0006"</f>
        <v>FSP0006</v>
      </c>
      <c r="E624" s="16">
        <v>20000</v>
      </c>
      <c r="F624" s="16" t="str">
        <f t="shared" si="75"/>
        <v>CASE038</v>
      </c>
      <c r="G624" s="17" t="str">
        <f t="shared" si="76"/>
        <v>Case for 12/4/3.2oz  (2014-revised) - pouches</v>
      </c>
      <c r="H624" s="18" t="str">
        <f t="shared" si="70"/>
        <v>CARTON</v>
      </c>
      <c r="I624" s="19">
        <v>1</v>
      </c>
      <c r="J624" s="20">
        <v>1</v>
      </c>
    </row>
    <row r="625" spans="1:10" ht="15.75" thickBot="1" x14ac:dyDescent="0.3">
      <c r="A625" t="s">
        <v>31</v>
      </c>
      <c r="B625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0007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5" s="15"/>
      <c r="D625" s="16" t="str">
        <f>"FSP0007"</f>
        <v>FSP0007</v>
      </c>
      <c r="E625" s="16">
        <v>20000</v>
      </c>
      <c r="F625" s="16" t="str">
        <f t="shared" si="75"/>
        <v>CASE038</v>
      </c>
      <c r="G625" s="17" t="str">
        <f t="shared" si="76"/>
        <v>Case for 12/4/3.2oz  (2014-revised) - pouches</v>
      </c>
      <c r="H625" s="18" t="str">
        <f t="shared" si="70"/>
        <v>CARTON</v>
      </c>
      <c r="I625" s="19">
        <v>1</v>
      </c>
      <c r="J625" s="20">
        <v>1</v>
      </c>
    </row>
    <row r="626" spans="1:10" ht="15.75" thickBot="1" x14ac:dyDescent="0.3">
      <c r="A626" t="s">
        <v>31</v>
      </c>
      <c r="B626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0008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6" s="15"/>
      <c r="D626" s="16" t="str">
        <f>"FSP0008"</f>
        <v>FSP0008</v>
      </c>
      <c r="E626" s="16">
        <v>20000</v>
      </c>
      <c r="F626" s="16" t="str">
        <f t="shared" si="75"/>
        <v>CASE038</v>
      </c>
      <c r="G626" s="17" t="str">
        <f t="shared" si="76"/>
        <v>Case for 12/4/3.2oz  (2014-revised) - pouches</v>
      </c>
      <c r="H626" s="18" t="str">
        <f t="shared" si="70"/>
        <v>CARTON</v>
      </c>
      <c r="I626" s="19">
        <v>1</v>
      </c>
      <c r="J626" s="20">
        <v>1</v>
      </c>
    </row>
    <row r="627" spans="1:10" ht="15.75" thickBot="1" x14ac:dyDescent="0.3">
      <c r="A627" t="s">
        <v>31</v>
      </c>
      <c r="B627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0009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7" s="15"/>
      <c r="D627" s="16" t="str">
        <f>"FSP0009"</f>
        <v>FSP0009</v>
      </c>
      <c r="E627" s="16">
        <v>20000</v>
      </c>
      <c r="F627" s="16" t="str">
        <f t="shared" si="75"/>
        <v>CASE038</v>
      </c>
      <c r="G627" s="17" t="str">
        <f t="shared" si="76"/>
        <v>Case for 12/4/3.2oz  (2014-revised) - pouches</v>
      </c>
      <c r="H627" s="18" t="str">
        <f t="shared" si="70"/>
        <v>CARTON</v>
      </c>
      <c r="I627" s="19">
        <v>1</v>
      </c>
      <c r="J627" s="20">
        <v>1</v>
      </c>
    </row>
    <row r="628" spans="1:10" ht="15.75" thickBot="1" x14ac:dyDescent="0.3">
      <c r="A628" t="s">
        <v>31</v>
      </c>
      <c r="B628" s="15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0024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8" s="15"/>
      <c r="D628" s="16" t="str">
        <f>"FSP0024"</f>
        <v>FSP0024</v>
      </c>
      <c r="E628" s="16">
        <v>20000</v>
      </c>
      <c r="F628" s="16" t="str">
        <f t="shared" si="75"/>
        <v>CASE038</v>
      </c>
      <c r="G628" s="17" t="str">
        <f t="shared" si="76"/>
        <v>Case for 12/4/3.2oz  (2014-revised) - pouches</v>
      </c>
      <c r="H628" s="18" t="str">
        <f t="shared" si="70"/>
        <v>CARTON</v>
      </c>
      <c r="I628" s="19">
        <v>1</v>
      </c>
      <c r="J628" s="20">
        <v>1</v>
      </c>
    </row>
    <row r="629" spans="1:10" ht="15.75" thickBot="1" x14ac:dyDescent="0.3">
      <c r="A629" t="s">
        <v>31</v>
      </c>
      <c r="B629" s="15" t="str">
        <f>"""Manzana NAV"",""MANZANA"",""99000772"",""44"","" "",""22"",""False"",""43"",""0.00000000000000000000"",""12"",""Case for 12/6/4 AS Cups"",""50220"",""False"",""29"","""",""50210"",""False"",""18"","""",""11"",""CASE013"",""2"",""5000"",""1"",""FS0155"",""14"",""1.00000000000000000000"",""45"",""1.000000000000"&amp;"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AS Cups","50220","False","29","","50210","False","18","","11","CASE013","2","5000","1","FS0155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9" s="15"/>
      <c r="D629" s="16" t="str">
        <f>"FS0155"</f>
        <v>FS0155</v>
      </c>
      <c r="E629" s="16">
        <v>5000</v>
      </c>
      <c r="F629" s="16" t="str">
        <f>"CASE013"</f>
        <v>CASE013</v>
      </c>
      <c r="G629" s="17" t="str">
        <f>"Case for 12/6/4 AS Cups"</f>
        <v>Case for 12/6/4 AS Cups</v>
      </c>
      <c r="H629" s="18" t="str">
        <f t="shared" si="70"/>
        <v>CARTON</v>
      </c>
      <c r="I629" s="19">
        <v>1</v>
      </c>
      <c r="J629" s="20">
        <v>1</v>
      </c>
    </row>
    <row r="630" spans="1:10" ht="15.75" thickBot="1" x14ac:dyDescent="0.3">
      <c r="A630" t="s">
        <v>31</v>
      </c>
      <c r="B630" s="15" t="str">
        <f>"""Manzana NAV"",""MANZANA"",""99000772"",""44"","" "",""22"",""False"",""43"",""0.00000000000000000000"",""12"",""Case for 12/6/4 Sauce Cups"",""50220"",""False"",""29"","""",""50210"",""False"",""18"","""",""11"",""CASE013"",""2"",""2500"",""1"",""FS0105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2500","1","FS0105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0" s="15"/>
      <c r="D630" s="16" t="str">
        <f>"FS0105"</f>
        <v>FS0105</v>
      </c>
      <c r="E630" s="16">
        <v>2500</v>
      </c>
      <c r="F630" s="16" t="str">
        <f>"CASE013"</f>
        <v>CASE013</v>
      </c>
      <c r="G630" s="17" t="str">
        <f>"Case for 12/6/4 Sauce Cups"</f>
        <v>Case for 12/6/4 Sauce Cups</v>
      </c>
      <c r="H630" s="18" t="str">
        <f t="shared" si="70"/>
        <v>CARTON</v>
      </c>
      <c r="I630" s="19">
        <v>1</v>
      </c>
      <c r="J630" s="20">
        <v>1</v>
      </c>
    </row>
    <row r="631" spans="1:10" ht="15.75" thickBot="1" x14ac:dyDescent="0.3">
      <c r="A631" t="s">
        <v>31</v>
      </c>
      <c r="B631" s="15" t="str">
        <f>"""Manzana NAV"",""MANZANA"",""99000772"",""44"","" "",""22"",""False"",""43"",""0.00000000000000000000"",""12"",""Case for 12/6/4 Sauce Cups"",""50220"",""False"",""29"","""",""50210"",""False"",""18"","""",""11"",""CASE013"",""2"",""5000"",""1"",""FS0156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5000","1","FS0156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1" s="15"/>
      <c r="D631" s="16" t="str">
        <f>"FS0156"</f>
        <v>FS0156</v>
      </c>
      <c r="E631" s="16">
        <v>5000</v>
      </c>
      <c r="F631" s="16" t="str">
        <f>"CASE013"</f>
        <v>CASE013</v>
      </c>
      <c r="G631" s="17" t="str">
        <f>"Case for 12/6/4 Sauce Cups"</f>
        <v>Case for 12/6/4 Sauce Cups</v>
      </c>
      <c r="H631" s="18" t="str">
        <f t="shared" si="70"/>
        <v>CARTON</v>
      </c>
      <c r="I631" s="19">
        <v>1</v>
      </c>
      <c r="J631" s="20">
        <v>1</v>
      </c>
    </row>
    <row r="632" spans="1:10" ht="15.75" thickBot="1" x14ac:dyDescent="0.3">
      <c r="A632" t="s">
        <v>31</v>
      </c>
      <c r="B632" s="15" t="str">
        <f>"""Manzana NAV"",""MANZANA"",""99000772"",""44"","" "",""22"",""False"",""43"",""0.00000000000000000000"",""12"",""Case for 12/6/4 Sauce Cups"",""50220"",""False"",""29"","""",""50210"",""False"",""18"","""",""11"",""CASE013"",""2"",""10000"",""1"",""FS0168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10000","1","FS0168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2" s="15"/>
      <c r="D632" s="16" t="str">
        <f>"FS0168"</f>
        <v>FS0168</v>
      </c>
      <c r="E632" s="16">
        <v>10000</v>
      </c>
      <c r="F632" s="16" t="str">
        <f>"CASE013"</f>
        <v>CASE013</v>
      </c>
      <c r="G632" s="17" t="str">
        <f>"Case for 12/6/4 Sauce Cups"</f>
        <v>Case for 12/6/4 Sauce Cups</v>
      </c>
      <c r="H632" s="18" t="str">
        <f t="shared" si="70"/>
        <v>CARTON</v>
      </c>
      <c r="I632" s="19">
        <v>1</v>
      </c>
      <c r="J632" s="20">
        <v>1</v>
      </c>
    </row>
    <row r="633" spans="1:10" ht="15.75" thickBot="1" x14ac:dyDescent="0.3">
      <c r="A633" t="s">
        <v>31</v>
      </c>
      <c r="B633" s="15" t="str">
        <f>"""Manzana NAV"",""MANZANA"",""99000772"",""44"","" "",""22"",""False"",""43"",""0.00000000000000000000"",""12"",""Case for 12/6/4 Sauce Cups"",""50220"",""False"",""29"","""",""50210"",""False"",""18"","""",""11"",""CASE013"",""2"",""10000"",""1"",""FS0169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10000","1","FS0169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3" s="15"/>
      <c r="D633" s="16" t="str">
        <f>"FS0169"</f>
        <v>FS0169</v>
      </c>
      <c r="E633" s="16">
        <v>10000</v>
      </c>
      <c r="F633" s="16" t="str">
        <f>"CASE013"</f>
        <v>CASE013</v>
      </c>
      <c r="G633" s="17" t="str">
        <f>"Case for 12/6/4 Sauce Cups"</f>
        <v>Case for 12/6/4 Sauce Cups</v>
      </c>
      <c r="H633" s="18" t="str">
        <f t="shared" si="70"/>
        <v>CARTON</v>
      </c>
      <c r="I633" s="19">
        <v>1</v>
      </c>
      <c r="J633" s="20">
        <v>1</v>
      </c>
    </row>
    <row r="634" spans="1:10" ht="15.75" thickBot="1" x14ac:dyDescent="0.3">
      <c r="A634" t="s">
        <v>31</v>
      </c>
      <c r="B634" s="15" t="str">
        <f>"""Manzana NAV"",""MANZANA"",""99000772"",""44"","" "",""22"",""False"",""43"",""0.00000000000000000000"",""12"",""Case for 18/4/4 Sauce Cups"",""50220"",""False"",""29"","""",""50210"",""False"",""18"","""",""11"",""CASE010"",""2"",""2500"",""1"",""FS0095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2500","1","FS0095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4" s="15"/>
      <c r="D634" s="16" t="str">
        <f>"FS0095"</f>
        <v>FS0095</v>
      </c>
      <c r="E634" s="16">
        <v>2500</v>
      </c>
      <c r="F634" s="16" t="str">
        <f t="shared" ref="F634:F663" si="77">"CASE010"</f>
        <v>CASE010</v>
      </c>
      <c r="G634" s="17" t="str">
        <f t="shared" ref="G634:G663" si="78">"Case for 18/4/4 Sauce Cups"</f>
        <v>Case for 18/4/4 Sauce Cups</v>
      </c>
      <c r="H634" s="18" t="str">
        <f t="shared" si="70"/>
        <v>CARTON</v>
      </c>
      <c r="I634" s="19">
        <v>1</v>
      </c>
      <c r="J634" s="20">
        <v>1</v>
      </c>
    </row>
    <row r="635" spans="1:10" ht="15.75" thickBot="1" x14ac:dyDescent="0.3">
      <c r="A635" t="s">
        <v>31</v>
      </c>
      <c r="B635" s="15" t="str">
        <f>"""Manzana NAV"",""MANZANA"",""99000772"",""44"","" "",""22"",""False"",""43"",""0.00000000000000000000"",""12"",""Case for 18/4/4 Sauce Cups"",""50220"",""False"",""29"","""",""50210"",""False"",""18"","""",""11"",""CASE010"",""2"",""2500"",""1"",""FS0097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2500","1","FS0097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5" s="15"/>
      <c r="D635" s="16" t="str">
        <f>"FS0097"</f>
        <v>FS0097</v>
      </c>
      <c r="E635" s="16">
        <v>2500</v>
      </c>
      <c r="F635" s="16" t="str">
        <f t="shared" si="77"/>
        <v>CASE010</v>
      </c>
      <c r="G635" s="17" t="str">
        <f t="shared" si="78"/>
        <v>Case for 18/4/4 Sauce Cups</v>
      </c>
      <c r="H635" s="18" t="str">
        <f t="shared" si="70"/>
        <v>CARTON</v>
      </c>
      <c r="I635" s="19">
        <v>1</v>
      </c>
      <c r="J635" s="20">
        <v>1</v>
      </c>
    </row>
    <row r="636" spans="1:10" ht="15.75" thickBot="1" x14ac:dyDescent="0.3">
      <c r="A636" t="s">
        <v>31</v>
      </c>
      <c r="B636" s="15" t="str">
        <f>"""Manzana NAV"",""MANZANA"",""99000772"",""44"","" "",""22"",""False"",""43"",""0.00000000000000000000"",""12"",""Case for 18/4/4 Sauce Cups"",""50220"",""False"",""29"","""",""50210"",""False"",""18"","""",""11"",""CASE010"",""2"",""10000"",""1"",""FS0181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0181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6" s="15"/>
      <c r="D636" s="16" t="str">
        <f>"FS0181"</f>
        <v>FS0181</v>
      </c>
      <c r="E636" s="16">
        <v>10000</v>
      </c>
      <c r="F636" s="16" t="str">
        <f t="shared" si="77"/>
        <v>CASE010</v>
      </c>
      <c r="G636" s="17" t="str">
        <f t="shared" si="78"/>
        <v>Case for 18/4/4 Sauce Cups</v>
      </c>
      <c r="H636" s="18" t="str">
        <f t="shared" si="70"/>
        <v>CARTON</v>
      </c>
      <c r="I636" s="19">
        <v>1</v>
      </c>
      <c r="J636" s="20">
        <v>1</v>
      </c>
    </row>
    <row r="637" spans="1:10" ht="15.75" thickBot="1" x14ac:dyDescent="0.3">
      <c r="A637" t="s">
        <v>31</v>
      </c>
      <c r="B637" s="15" t="str">
        <f>"""Manzana NAV"",""MANZANA"",""99000772"",""44"","" "",""22"",""False"",""43"",""0.00000000000000000000"",""12"",""Case for 18/4/4 Sauce Cups"",""50220"",""False"",""29"","""",""50210"",""False"",""18"","""",""11"",""CASE010"",""2"",""10000"",""1"",""FS0182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0182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7" s="15"/>
      <c r="D637" s="16" t="str">
        <f>"FS0182"</f>
        <v>FS0182</v>
      </c>
      <c r="E637" s="16">
        <v>10000</v>
      </c>
      <c r="F637" s="16" t="str">
        <f t="shared" si="77"/>
        <v>CASE010</v>
      </c>
      <c r="G637" s="17" t="str">
        <f t="shared" si="78"/>
        <v>Case for 18/4/4 Sauce Cups</v>
      </c>
      <c r="H637" s="18" t="str">
        <f t="shared" si="70"/>
        <v>CARTON</v>
      </c>
      <c r="I637" s="19">
        <v>1</v>
      </c>
      <c r="J637" s="20">
        <v>1</v>
      </c>
    </row>
    <row r="638" spans="1:10" ht="15.75" thickBot="1" x14ac:dyDescent="0.3">
      <c r="A638" t="s">
        <v>31</v>
      </c>
      <c r="B638" s="15" t="str">
        <f>"""Manzana NAV"",""MANZANA"",""99000772"",""44"","" "",""22"",""False"",""43"",""0.00000000000000000000"",""12"",""Case for 18/4/4 Sauce Cups"",""50220"",""False"",""29"","""",""50210"",""False"",""18"","""",""11"",""CASE010"",""2"",""10000"",""1"",""FS0194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0194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8" s="15"/>
      <c r="D638" s="16" t="str">
        <f>"FS0194"</f>
        <v>FS0194</v>
      </c>
      <c r="E638" s="16">
        <v>10000</v>
      </c>
      <c r="F638" s="16" t="str">
        <f t="shared" si="77"/>
        <v>CASE010</v>
      </c>
      <c r="G638" s="17" t="str">
        <f t="shared" si="78"/>
        <v>Case for 18/4/4 Sauce Cups</v>
      </c>
      <c r="H638" s="18" t="str">
        <f t="shared" si="70"/>
        <v>CARTON</v>
      </c>
      <c r="I638" s="19">
        <v>1</v>
      </c>
      <c r="J638" s="20">
        <v>1</v>
      </c>
    </row>
    <row r="639" spans="1:10" ht="15.75" thickBot="1" x14ac:dyDescent="0.3">
      <c r="A639" t="s">
        <v>31</v>
      </c>
      <c r="B639" s="15" t="str">
        <f>"""Manzana NAV"",""MANZANA"",""99000772"",""44"","" "",""22"",""False"",""43"",""0.00000000000000000000"",""12"",""Case for 18/4/4 Sauce Cups"",""50220"",""False"",""29"","""",""50210"",""False"",""18"","""",""11"",""CASE010"",""2"",""10000"",""1"",""FS0195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0195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9" s="15"/>
      <c r="D639" s="16" t="str">
        <f>"FS0195"</f>
        <v>FS0195</v>
      </c>
      <c r="E639" s="16">
        <v>10000</v>
      </c>
      <c r="F639" s="16" t="str">
        <f t="shared" si="77"/>
        <v>CASE010</v>
      </c>
      <c r="G639" s="17" t="str">
        <f t="shared" si="78"/>
        <v>Case for 18/4/4 Sauce Cups</v>
      </c>
      <c r="H639" s="18" t="str">
        <f t="shared" si="70"/>
        <v>CARTON</v>
      </c>
      <c r="I639" s="19">
        <v>1</v>
      </c>
      <c r="J639" s="20">
        <v>1</v>
      </c>
    </row>
    <row r="640" spans="1:10" ht="15.75" thickBot="1" x14ac:dyDescent="0.3">
      <c r="A640" t="s">
        <v>31</v>
      </c>
      <c r="B640" s="15" t="str">
        <f>"""Manzana NAV"",""MANZANA"",""99000772"",""44"","" "",""22"",""False"",""43"",""0.00000000000000000000"",""12"",""Case for 18/4/4 Sauce Cups"",""50220"",""False"",""29"","""",""50210"",""False"",""18"","""",""11"",""CASE010"",""2"",""20000"",""1"",""FS0142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20000","1","FS0142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0" s="15"/>
      <c r="D640" s="16" t="str">
        <f>"FS0142"</f>
        <v>FS0142</v>
      </c>
      <c r="E640" s="16">
        <v>20000</v>
      </c>
      <c r="F640" s="16" t="str">
        <f t="shared" si="77"/>
        <v>CASE010</v>
      </c>
      <c r="G640" s="17" t="str">
        <f t="shared" si="78"/>
        <v>Case for 18/4/4 Sauce Cups</v>
      </c>
      <c r="H640" s="18" t="str">
        <f t="shared" si="70"/>
        <v>CARTON</v>
      </c>
      <c r="I640" s="19">
        <v>1</v>
      </c>
      <c r="J640" s="20">
        <v>1</v>
      </c>
    </row>
    <row r="641" spans="1:10" ht="15.75" thickBot="1" x14ac:dyDescent="0.3">
      <c r="A641" t="s">
        <v>31</v>
      </c>
      <c r="B641" s="15" t="str">
        <f>"""Manzana NAV"",""MANZANA"",""99000772"",""44"","" "",""22"",""False"",""43"",""0.00000000000000000000"",""12"",""Case for 18/4/4 Sauce Cups"",""50220"",""False"",""29"","""",""50210"",""False"",""18"","""",""11"",""CASE010"",""2"",""30000"",""1"",""FS0129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30000","1","FS0129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1" s="15"/>
      <c r="D641" s="16" t="str">
        <f>"FS0129"</f>
        <v>FS0129</v>
      </c>
      <c r="E641" s="16">
        <v>30000</v>
      </c>
      <c r="F641" s="16" t="str">
        <f t="shared" si="77"/>
        <v>CASE010</v>
      </c>
      <c r="G641" s="17" t="str">
        <f t="shared" si="78"/>
        <v>Case for 18/4/4 Sauce Cups</v>
      </c>
      <c r="H641" s="18" t="str">
        <f t="shared" si="70"/>
        <v>CARTON</v>
      </c>
      <c r="I641" s="19">
        <v>1</v>
      </c>
      <c r="J641" s="20">
        <v>1</v>
      </c>
    </row>
    <row r="642" spans="1:10" ht="15.75" thickBot="1" x14ac:dyDescent="0.3">
      <c r="A642" t="s">
        <v>31</v>
      </c>
      <c r="B642" s="15" t="str">
        <f>"""Manzana NAV"",""MANZANA"",""99000772"",""44"","" "",""22"",""False"",""43"",""0.00000000000000000000"",""12"",""Case for 18/4/4 Sauce Cups"",""50220"",""False"",""29"","""",""50210"",""False"",""18"","""",""11"",""CASE010"",""2"",""30000"",""1"",""FS0140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30000","1","FS0140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2" s="15"/>
      <c r="D642" s="16" t="str">
        <f>"FS0140"</f>
        <v>FS0140</v>
      </c>
      <c r="E642" s="16">
        <v>30000</v>
      </c>
      <c r="F642" s="16" t="str">
        <f t="shared" si="77"/>
        <v>CASE010</v>
      </c>
      <c r="G642" s="17" t="str">
        <f t="shared" si="78"/>
        <v>Case for 18/4/4 Sauce Cups</v>
      </c>
      <c r="H642" s="18" t="str">
        <f t="shared" si="70"/>
        <v>CARTON</v>
      </c>
      <c r="I642" s="19">
        <v>1</v>
      </c>
      <c r="J642" s="20">
        <v>1</v>
      </c>
    </row>
    <row r="643" spans="1:10" ht="15.75" thickBot="1" x14ac:dyDescent="0.3">
      <c r="A643" t="s">
        <v>31</v>
      </c>
      <c r="B643" s="15" t="str">
        <f>"""Manzana NAV"",""MANZANA"",""99000772"",""44"","" "",""22"",""False"",""43"",""0.00000000000000000000"",""12"",""Case for 18/4/4 Sauce Cups"",""50220"",""False"",""29"","""",""50210"",""False"",""18"","""",""11"",""CASE010"",""2"",""30000"",""1"",""FS0141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30000","1","FS0141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3" s="15"/>
      <c r="D643" s="16" t="str">
        <f>"FS0141"</f>
        <v>FS0141</v>
      </c>
      <c r="E643" s="16">
        <v>30000</v>
      </c>
      <c r="F643" s="16" t="str">
        <f t="shared" si="77"/>
        <v>CASE010</v>
      </c>
      <c r="G643" s="17" t="str">
        <f t="shared" si="78"/>
        <v>Case for 18/4/4 Sauce Cups</v>
      </c>
      <c r="H643" s="18" t="str">
        <f t="shared" si="70"/>
        <v>CARTON</v>
      </c>
      <c r="I643" s="19">
        <v>1</v>
      </c>
      <c r="J643" s="20">
        <v>1</v>
      </c>
    </row>
    <row r="644" spans="1:10" ht="15.75" thickBot="1" x14ac:dyDescent="0.3">
      <c r="A644" t="s">
        <v>31</v>
      </c>
      <c r="B644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0075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4" s="15"/>
      <c r="D644" s="16" t="str">
        <f>"FS0075"</f>
        <v>FS0075</v>
      </c>
      <c r="E644" s="16">
        <v>40000</v>
      </c>
      <c r="F644" s="16" t="str">
        <f t="shared" si="77"/>
        <v>CASE010</v>
      </c>
      <c r="G644" s="17" t="str">
        <f t="shared" si="78"/>
        <v>Case for 18/4/4 Sauce Cups</v>
      </c>
      <c r="H644" s="18" t="str">
        <f t="shared" si="70"/>
        <v>CARTON</v>
      </c>
      <c r="I644" s="19">
        <v>1</v>
      </c>
      <c r="J644" s="20">
        <v>1</v>
      </c>
    </row>
    <row r="645" spans="1:10" ht="15.75" thickBot="1" x14ac:dyDescent="0.3">
      <c r="A645" t="s">
        <v>31</v>
      </c>
      <c r="B645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0076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5" s="15"/>
      <c r="D645" s="16" t="str">
        <f>"FS0076"</f>
        <v>FS0076</v>
      </c>
      <c r="E645" s="16">
        <v>40000</v>
      </c>
      <c r="F645" s="16" t="str">
        <f t="shared" si="77"/>
        <v>CASE010</v>
      </c>
      <c r="G645" s="17" t="str">
        <f t="shared" si="78"/>
        <v>Case for 18/4/4 Sauce Cups</v>
      </c>
      <c r="H645" s="18" t="str">
        <f t="shared" si="70"/>
        <v>CARTON</v>
      </c>
      <c r="I645" s="19">
        <v>1</v>
      </c>
      <c r="J645" s="20">
        <v>1</v>
      </c>
    </row>
    <row r="646" spans="1:10" ht="15.75" thickBot="1" x14ac:dyDescent="0.3">
      <c r="A646" t="s">
        <v>31</v>
      </c>
      <c r="B646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0077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6" s="15"/>
      <c r="D646" s="16" t="str">
        <f>"FS0077"</f>
        <v>FS0077</v>
      </c>
      <c r="E646" s="16">
        <v>40000</v>
      </c>
      <c r="F646" s="16" t="str">
        <f t="shared" si="77"/>
        <v>CASE010</v>
      </c>
      <c r="G646" s="17" t="str">
        <f t="shared" si="78"/>
        <v>Case for 18/4/4 Sauce Cups</v>
      </c>
      <c r="H646" s="18" t="str">
        <f t="shared" si="70"/>
        <v>CARTON</v>
      </c>
      <c r="I646" s="19">
        <v>1</v>
      </c>
      <c r="J646" s="20">
        <v>1</v>
      </c>
    </row>
    <row r="647" spans="1:10" ht="15.75" thickBot="1" x14ac:dyDescent="0.3">
      <c r="A647" t="s">
        <v>31</v>
      </c>
      <c r="B647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0078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7" s="15"/>
      <c r="D647" s="16" t="str">
        <f>"FS0078"</f>
        <v>FS0078</v>
      </c>
      <c r="E647" s="16">
        <v>40000</v>
      </c>
      <c r="F647" s="16" t="str">
        <f t="shared" si="77"/>
        <v>CASE010</v>
      </c>
      <c r="G647" s="17" t="str">
        <f t="shared" si="78"/>
        <v>Case for 18/4/4 Sauce Cups</v>
      </c>
      <c r="H647" s="18" t="str">
        <f t="shared" si="70"/>
        <v>CARTON</v>
      </c>
      <c r="I647" s="19">
        <v>1</v>
      </c>
      <c r="J647" s="20">
        <v>1</v>
      </c>
    </row>
    <row r="648" spans="1:10" ht="15.75" thickBot="1" x14ac:dyDescent="0.3">
      <c r="A648" t="s">
        <v>31</v>
      </c>
      <c r="B648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0079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8" s="15"/>
      <c r="D648" s="16" t="str">
        <f>"FS0079"</f>
        <v>FS0079</v>
      </c>
      <c r="E648" s="16">
        <v>40000</v>
      </c>
      <c r="F648" s="16" t="str">
        <f t="shared" si="77"/>
        <v>CASE010</v>
      </c>
      <c r="G648" s="17" t="str">
        <f t="shared" si="78"/>
        <v>Case for 18/4/4 Sauce Cups</v>
      </c>
      <c r="H648" s="18" t="str">
        <f t="shared" si="70"/>
        <v>CARTON</v>
      </c>
      <c r="I648" s="19">
        <v>1</v>
      </c>
      <c r="J648" s="20">
        <v>1</v>
      </c>
    </row>
    <row r="649" spans="1:10" ht="15.75" thickBot="1" x14ac:dyDescent="0.3">
      <c r="A649" t="s">
        <v>31</v>
      </c>
      <c r="B649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9" s="15"/>
      <c r="D649" s="16" t="str">
        <f>"FS0080"</f>
        <v>FS0080</v>
      </c>
      <c r="E649" s="16">
        <v>40000</v>
      </c>
      <c r="F649" s="16" t="str">
        <f t="shared" si="77"/>
        <v>CASE010</v>
      </c>
      <c r="G649" s="17" t="str">
        <f t="shared" si="78"/>
        <v>Case for 18/4/4 Sauce Cups</v>
      </c>
      <c r="H649" s="18" t="str">
        <f t="shared" ref="H649:H712" si="79">"CARTON"</f>
        <v>CARTON</v>
      </c>
      <c r="I649" s="19">
        <v>1</v>
      </c>
      <c r="J649" s="20">
        <v>1</v>
      </c>
    </row>
    <row r="650" spans="1:10" ht="15.75" thickBot="1" x14ac:dyDescent="0.3">
      <c r="A650" t="s">
        <v>31</v>
      </c>
      <c r="B650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0" s="15"/>
      <c r="D650" s="16" t="str">
        <f>"FS0081"</f>
        <v>FS0081</v>
      </c>
      <c r="E650" s="16">
        <v>40000</v>
      </c>
      <c r="F650" s="16" t="str">
        <f t="shared" si="77"/>
        <v>CASE010</v>
      </c>
      <c r="G650" s="17" t="str">
        <f t="shared" si="78"/>
        <v>Case for 18/4/4 Sauce Cups</v>
      </c>
      <c r="H650" s="18" t="str">
        <f t="shared" si="79"/>
        <v>CARTON</v>
      </c>
      <c r="I650" s="19">
        <v>1</v>
      </c>
      <c r="J650" s="20">
        <v>1</v>
      </c>
    </row>
    <row r="651" spans="1:10" ht="15.75" thickBot="1" x14ac:dyDescent="0.3">
      <c r="A651" t="s">
        <v>31</v>
      </c>
      <c r="B651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1" s="15"/>
      <c r="D651" s="16" t="str">
        <f>"FS0082"</f>
        <v>FS0082</v>
      </c>
      <c r="E651" s="16">
        <v>40000</v>
      </c>
      <c r="F651" s="16" t="str">
        <f t="shared" si="77"/>
        <v>CASE010</v>
      </c>
      <c r="G651" s="17" t="str">
        <f t="shared" si="78"/>
        <v>Case for 18/4/4 Sauce Cups</v>
      </c>
      <c r="H651" s="18" t="str">
        <f t="shared" si="79"/>
        <v>CARTON</v>
      </c>
      <c r="I651" s="19">
        <v>1</v>
      </c>
      <c r="J651" s="20">
        <v>1</v>
      </c>
    </row>
    <row r="652" spans="1:10" ht="15.75" thickBot="1" x14ac:dyDescent="0.3">
      <c r="A652" t="s">
        <v>31</v>
      </c>
      <c r="B652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0083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2" s="15"/>
      <c r="D652" s="16" t="str">
        <f>"FS0083"</f>
        <v>FS0083</v>
      </c>
      <c r="E652" s="16">
        <v>40000</v>
      </c>
      <c r="F652" s="16" t="str">
        <f t="shared" si="77"/>
        <v>CASE010</v>
      </c>
      <c r="G652" s="17" t="str">
        <f t="shared" si="78"/>
        <v>Case for 18/4/4 Sauce Cups</v>
      </c>
      <c r="H652" s="18" t="str">
        <f t="shared" si="79"/>
        <v>CARTON</v>
      </c>
      <c r="I652" s="19">
        <v>1</v>
      </c>
      <c r="J652" s="20">
        <v>1</v>
      </c>
    </row>
    <row r="653" spans="1:10" ht="15.75" thickBot="1" x14ac:dyDescent="0.3">
      <c r="A653" t="s">
        <v>31</v>
      </c>
      <c r="B653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3" s="15"/>
      <c r="D653" s="16" t="str">
        <f>"FS0084"</f>
        <v>FS0084</v>
      </c>
      <c r="E653" s="16">
        <v>40000</v>
      </c>
      <c r="F653" s="16" t="str">
        <f t="shared" si="77"/>
        <v>CASE010</v>
      </c>
      <c r="G653" s="17" t="str">
        <f t="shared" si="78"/>
        <v>Case for 18/4/4 Sauce Cups</v>
      </c>
      <c r="H653" s="18" t="str">
        <f t="shared" si="79"/>
        <v>CARTON</v>
      </c>
      <c r="I653" s="19">
        <v>1</v>
      </c>
      <c r="J653" s="20">
        <v>1</v>
      </c>
    </row>
    <row r="654" spans="1:10" ht="15.75" thickBot="1" x14ac:dyDescent="0.3">
      <c r="A654" t="s">
        <v>31</v>
      </c>
      <c r="B654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4" s="15"/>
      <c r="D654" s="16" t="str">
        <f>"FS0085"</f>
        <v>FS0085</v>
      </c>
      <c r="E654" s="16">
        <v>40000</v>
      </c>
      <c r="F654" s="16" t="str">
        <f t="shared" si="77"/>
        <v>CASE010</v>
      </c>
      <c r="G654" s="17" t="str">
        <f t="shared" si="78"/>
        <v>Case for 18/4/4 Sauce Cups</v>
      </c>
      <c r="H654" s="18" t="str">
        <f t="shared" si="79"/>
        <v>CARTON</v>
      </c>
      <c r="I654" s="19">
        <v>1</v>
      </c>
      <c r="J654" s="20">
        <v>1</v>
      </c>
    </row>
    <row r="655" spans="1:10" ht="15.75" thickBot="1" x14ac:dyDescent="0.3">
      <c r="A655" t="s">
        <v>31</v>
      </c>
      <c r="B655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0086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5" s="15"/>
      <c r="D655" s="16" t="str">
        <f>"FS0086"</f>
        <v>FS0086</v>
      </c>
      <c r="E655" s="16">
        <v>40000</v>
      </c>
      <c r="F655" s="16" t="str">
        <f t="shared" si="77"/>
        <v>CASE010</v>
      </c>
      <c r="G655" s="17" t="str">
        <f t="shared" si="78"/>
        <v>Case for 18/4/4 Sauce Cups</v>
      </c>
      <c r="H655" s="18" t="str">
        <f t="shared" si="79"/>
        <v>CARTON</v>
      </c>
      <c r="I655" s="19">
        <v>1</v>
      </c>
      <c r="J655" s="20">
        <v>1</v>
      </c>
    </row>
    <row r="656" spans="1:10" ht="15.75" thickBot="1" x14ac:dyDescent="0.3">
      <c r="A656" t="s">
        <v>31</v>
      </c>
      <c r="B656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0094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0094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6" s="15"/>
      <c r="D656" s="16" t="str">
        <f>"FS0094"</f>
        <v>FS0094</v>
      </c>
      <c r="E656" s="16">
        <v>40000</v>
      </c>
      <c r="F656" s="16" t="str">
        <f t="shared" si="77"/>
        <v>CASE010</v>
      </c>
      <c r="G656" s="17" t="str">
        <f t="shared" si="78"/>
        <v>Case for 18/4/4 Sauce Cups</v>
      </c>
      <c r="H656" s="18" t="str">
        <f t="shared" si="79"/>
        <v>CARTON</v>
      </c>
      <c r="I656" s="19">
        <v>1</v>
      </c>
      <c r="J656" s="20">
        <v>1</v>
      </c>
    </row>
    <row r="657" spans="1:10" ht="15.75" thickBot="1" x14ac:dyDescent="0.3">
      <c r="A657" t="s">
        <v>31</v>
      </c>
      <c r="B657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0102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7" s="15"/>
      <c r="D657" s="16" t="str">
        <f>"FS0102"</f>
        <v>FS0102</v>
      </c>
      <c r="E657" s="16">
        <v>40000</v>
      </c>
      <c r="F657" s="16" t="str">
        <f t="shared" si="77"/>
        <v>CASE010</v>
      </c>
      <c r="G657" s="17" t="str">
        <f t="shared" si="78"/>
        <v>Case for 18/4/4 Sauce Cups</v>
      </c>
      <c r="H657" s="18" t="str">
        <f t="shared" si="79"/>
        <v>CARTON</v>
      </c>
      <c r="I657" s="19">
        <v>1</v>
      </c>
      <c r="J657" s="20">
        <v>1</v>
      </c>
    </row>
    <row r="658" spans="1:10" ht="15.75" thickBot="1" x14ac:dyDescent="0.3">
      <c r="A658" t="s">
        <v>31</v>
      </c>
      <c r="B658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0103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8" s="15"/>
      <c r="D658" s="16" t="str">
        <f>"FS0103"</f>
        <v>FS0103</v>
      </c>
      <c r="E658" s="16">
        <v>40000</v>
      </c>
      <c r="F658" s="16" t="str">
        <f t="shared" si="77"/>
        <v>CASE010</v>
      </c>
      <c r="G658" s="17" t="str">
        <f t="shared" si="78"/>
        <v>Case for 18/4/4 Sauce Cups</v>
      </c>
      <c r="H658" s="18" t="str">
        <f t="shared" si="79"/>
        <v>CARTON</v>
      </c>
      <c r="I658" s="19">
        <v>1</v>
      </c>
      <c r="J658" s="20">
        <v>1</v>
      </c>
    </row>
    <row r="659" spans="1:10" ht="15.75" thickBot="1" x14ac:dyDescent="0.3">
      <c r="A659" t="s">
        <v>31</v>
      </c>
      <c r="B659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0104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9" s="15"/>
      <c r="D659" s="16" t="str">
        <f>"FS0104"</f>
        <v>FS0104</v>
      </c>
      <c r="E659" s="16">
        <v>40000</v>
      </c>
      <c r="F659" s="16" t="str">
        <f t="shared" si="77"/>
        <v>CASE010</v>
      </c>
      <c r="G659" s="17" t="str">
        <f t="shared" si="78"/>
        <v>Case for 18/4/4 Sauce Cups</v>
      </c>
      <c r="H659" s="18" t="str">
        <f t="shared" si="79"/>
        <v>CARTON</v>
      </c>
      <c r="I659" s="19">
        <v>1</v>
      </c>
      <c r="J659" s="20">
        <v>1</v>
      </c>
    </row>
    <row r="660" spans="1:10" ht="15.75" thickBot="1" x14ac:dyDescent="0.3">
      <c r="A660" t="s">
        <v>31</v>
      </c>
      <c r="B660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0108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0" s="15"/>
      <c r="D660" s="16" t="str">
        <f>"FS0108"</f>
        <v>FS0108</v>
      </c>
      <c r="E660" s="16">
        <v>40000</v>
      </c>
      <c r="F660" s="16" t="str">
        <f t="shared" si="77"/>
        <v>CASE010</v>
      </c>
      <c r="G660" s="17" t="str">
        <f t="shared" si="78"/>
        <v>Case for 18/4/4 Sauce Cups</v>
      </c>
      <c r="H660" s="18" t="str">
        <f t="shared" si="79"/>
        <v>CARTON</v>
      </c>
      <c r="I660" s="19">
        <v>1</v>
      </c>
      <c r="J660" s="20">
        <v>1</v>
      </c>
    </row>
    <row r="661" spans="1:10" ht="15.75" thickBot="1" x14ac:dyDescent="0.3">
      <c r="A661" t="s">
        <v>31</v>
      </c>
      <c r="B661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FS0110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1" s="15"/>
      <c r="D661" s="16" t="str">
        <f>"FS0110"</f>
        <v>FS0110</v>
      </c>
      <c r="E661" s="16">
        <v>40000</v>
      </c>
      <c r="F661" s="16" t="str">
        <f t="shared" si="77"/>
        <v>CASE010</v>
      </c>
      <c r="G661" s="17" t="str">
        <f t="shared" si="78"/>
        <v>Case for 18/4/4 Sauce Cups</v>
      </c>
      <c r="H661" s="18" t="str">
        <f t="shared" si="79"/>
        <v>CARTON</v>
      </c>
      <c r="I661" s="19">
        <v>1</v>
      </c>
      <c r="J661" s="20">
        <v>1</v>
      </c>
    </row>
    <row r="662" spans="1:10" ht="15.75" thickBot="1" x14ac:dyDescent="0.3">
      <c r="A662" t="s">
        <v>31</v>
      </c>
      <c r="B662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Z-FS0092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Z-FS0092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2" s="15"/>
      <c r="D662" s="16" t="str">
        <f>"Z-FS0092"</f>
        <v>Z-FS0092</v>
      </c>
      <c r="E662" s="16">
        <v>40000</v>
      </c>
      <c r="F662" s="16" t="str">
        <f t="shared" si="77"/>
        <v>CASE010</v>
      </c>
      <c r="G662" s="17" t="str">
        <f t="shared" si="78"/>
        <v>Case for 18/4/4 Sauce Cups</v>
      </c>
      <c r="H662" s="18" t="str">
        <f t="shared" si="79"/>
        <v>CARTON</v>
      </c>
      <c r="I662" s="19">
        <v>1</v>
      </c>
      <c r="J662" s="20">
        <v>1</v>
      </c>
    </row>
    <row r="663" spans="1:10" ht="15.75" thickBot="1" x14ac:dyDescent="0.3">
      <c r="A663" t="s">
        <v>31</v>
      </c>
      <c r="B663" s="15" t="str">
        <f>"""Manzana NAV"",""MANZANA"",""99000772"",""44"","" "",""22"",""False"",""43"",""0.00000000000000000000"",""12"",""Case for 18/4/4 Sauce Cups"",""50220"",""False"",""29"","""",""50210"",""False"",""18"","""",""11"",""CASE010"",""2"",""40000"",""1"",""Z-FS0093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Z-FS0093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3" s="15"/>
      <c r="D663" s="16" t="str">
        <f>"Z-FS0093"</f>
        <v>Z-FS0093</v>
      </c>
      <c r="E663" s="16">
        <v>40000</v>
      </c>
      <c r="F663" s="16" t="str">
        <f t="shared" si="77"/>
        <v>CASE010</v>
      </c>
      <c r="G663" s="17" t="str">
        <f t="shared" si="78"/>
        <v>Case for 18/4/4 Sauce Cups</v>
      </c>
      <c r="H663" s="18" t="str">
        <f t="shared" si="79"/>
        <v>CARTON</v>
      </c>
      <c r="I663" s="19">
        <v>1</v>
      </c>
      <c r="J663" s="20">
        <v>1</v>
      </c>
    </row>
    <row r="664" spans="1:10" ht="15.75" thickBot="1" x14ac:dyDescent="0.3">
      <c r="A664" t="s">
        <v>31</v>
      </c>
      <c r="B664" s="15" t="str">
        <f>"""Manzana NAV"",""MANZANA"",""99000772"",""44"","" "",""22"",""False"",""43"",""0.00000000000000000000"",""12"",""Case for 20/3.2oz Pouches"",""50220"",""False"",""29"","""",""50210"",""False"",""18"","""",""11"",""CASE029"",""2"",""20000"",""1"",""FSPT001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20/3.2oz Pouches","50220","False","29","","50210","False","18","","11","CASE029","2","20000","1","FSPT001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4" s="15"/>
      <c r="D664" s="16" t="str">
        <f>"FSPT001"</f>
        <v>FSPT001</v>
      </c>
      <c r="E664" s="16">
        <v>20000</v>
      </c>
      <c r="F664" s="16" t="str">
        <f>"CASE029"</f>
        <v>CASE029</v>
      </c>
      <c r="G664" s="17" t="str">
        <f>"Case for 20/3.2oz Pouches"</f>
        <v>Case for 20/3.2oz Pouches</v>
      </c>
      <c r="H664" s="18" t="str">
        <f t="shared" si="79"/>
        <v>CARTON</v>
      </c>
      <c r="I664" s="19">
        <v>1</v>
      </c>
      <c r="J664" s="20">
        <v>1</v>
      </c>
    </row>
    <row r="665" spans="1:10" ht="15.75" thickBot="1" x14ac:dyDescent="0.3">
      <c r="A665" t="s">
        <v>31</v>
      </c>
      <c r="B665" s="15" t="str">
        <f>"""Manzana NAV"",""MANZANA"",""99000772"",""44"","" "",""22"",""False"",""43"",""0.00000000000000000000"",""12"",""Case for 20/4/4 Sauce Cups"",""50220"",""False"",""29"","""",""50210"",""False"",""18"","""",""11"",""Z-CASE011"",""2"",""30000"",""1"",""Z-FS0089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20/4/4 Sauce Cups","50220","False","29","","50210","False","18","","11","Z-CASE011","2","30000","1","Z-FS0089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5" s="15"/>
      <c r="D665" s="16" t="str">
        <f>"Z-FS0089"</f>
        <v>Z-FS0089</v>
      </c>
      <c r="E665" s="16">
        <v>30000</v>
      </c>
      <c r="F665" s="16" t="str">
        <f>"Z-CASE011"</f>
        <v>Z-CASE011</v>
      </c>
      <c r="G665" s="17" t="str">
        <f>"Case for 20/4/4 Sauce Cups"</f>
        <v>Case for 20/4/4 Sauce Cups</v>
      </c>
      <c r="H665" s="18" t="str">
        <f t="shared" si="79"/>
        <v>CARTON</v>
      </c>
      <c r="I665" s="19">
        <v>1</v>
      </c>
      <c r="J665" s="20">
        <v>1</v>
      </c>
    </row>
    <row r="666" spans="1:10" ht="15.75" thickBot="1" x14ac:dyDescent="0.3">
      <c r="A666" t="s">
        <v>31</v>
      </c>
      <c r="B666" s="15" t="str">
        <f>"""Manzana NAV"",""MANZANA"",""99000772"",""44"","" "",""22"",""False"",""43"",""0.00000000000000000000"",""12"",""Case for 20/4/4 Sauce Cups"",""50220"",""False"",""29"","""",""50210"",""False"",""18"","""",""11"",""Z-CASE011"",""2"",""30000"",""1"",""Z-FS0090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20/4/4 Sauce Cups","50220","False","29","","50210","False","18","","11","Z-CASE011","2","30000","1","Z-FS0090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6" s="15"/>
      <c r="D666" s="16" t="str">
        <f>"Z-FS0090"</f>
        <v>Z-FS0090</v>
      </c>
      <c r="E666" s="16">
        <v>30000</v>
      </c>
      <c r="F666" s="16" t="str">
        <f>"Z-CASE011"</f>
        <v>Z-CASE011</v>
      </c>
      <c r="G666" s="17" t="str">
        <f>"Case for 20/4/4 Sauce Cups"</f>
        <v>Case for 20/4/4 Sauce Cups</v>
      </c>
      <c r="H666" s="18" t="str">
        <f t="shared" si="79"/>
        <v>CARTON</v>
      </c>
      <c r="I666" s="19">
        <v>1</v>
      </c>
      <c r="J666" s="20">
        <v>1</v>
      </c>
    </row>
    <row r="667" spans="1:10" ht="15.75" thickBot="1" x14ac:dyDescent="0.3">
      <c r="A667" t="s">
        <v>31</v>
      </c>
      <c r="B667" s="15" t="str">
        <f>"""Manzana NAV"",""MANZANA"",""99000772"",""44"","" "",""22"",""False"",""43"",""0.00000000000000000000"",""12"",""Case for 20/4/4 Sauce Cups"",""50220"",""False"",""29"","""",""50210"",""False"",""18"","""",""11"",""Z-CASE011"",""2"",""30000"",""1"",""Z-FS0091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20/4/4 Sauce Cups","50220","False","29","","50210","False","18","","11","Z-CASE011","2","30000","1","Z-FS0091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7" s="15"/>
      <c r="D667" s="16" t="str">
        <f>"Z-FS0091"</f>
        <v>Z-FS0091</v>
      </c>
      <c r="E667" s="16">
        <v>30000</v>
      </c>
      <c r="F667" s="16" t="str">
        <f>"Z-CASE011"</f>
        <v>Z-CASE011</v>
      </c>
      <c r="G667" s="17" t="str">
        <f>"Case for 20/4/4 Sauce Cups"</f>
        <v>Case for 20/4/4 Sauce Cups</v>
      </c>
      <c r="H667" s="18" t="str">
        <f t="shared" si="79"/>
        <v>CARTON</v>
      </c>
      <c r="I667" s="19">
        <v>1</v>
      </c>
      <c r="J667" s="20">
        <v>1</v>
      </c>
    </row>
    <row r="668" spans="1:10" ht="15.75" thickBot="1" x14ac:dyDescent="0.3">
      <c r="A668" t="s">
        <v>31</v>
      </c>
      <c r="B668" s="15" t="str">
        <f>"""Manzana NAV"",""MANZANA"",""99000772"",""44"","" "",""22"",""False"",""43"",""0.00000000000000000000"",""12"",""Case for 24/10oz Juice bottles"",""50220"",""False"",""29"","""",""50210"",""False"",""18"","""",""11"",""CASE004"",""2"",""10000"",""1"",""FJ0226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24/10oz Juice bottles","50220","False","29","","50210","False","18","","11","CASE004","2","10000","1","FJ0226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8" s="15"/>
      <c r="D668" s="16" t="str">
        <f>"FJ0226"</f>
        <v>FJ0226</v>
      </c>
      <c r="E668" s="16">
        <v>10000</v>
      </c>
      <c r="F668" s="16" t="str">
        <f>"CASE004"</f>
        <v>CASE004</v>
      </c>
      <c r="G668" s="17" t="str">
        <f>"Case for 24/10oz Juice bottles"</f>
        <v>Case for 24/10oz Juice bottles</v>
      </c>
      <c r="H668" s="18" t="str">
        <f t="shared" si="79"/>
        <v>CARTON</v>
      </c>
      <c r="I668" s="19">
        <v>1</v>
      </c>
      <c r="J668" s="20">
        <v>1</v>
      </c>
    </row>
    <row r="669" spans="1:10" ht="15.75" thickBot="1" x14ac:dyDescent="0.3">
      <c r="A669" t="s">
        <v>31</v>
      </c>
      <c r="B669" s="15" t="str">
        <f>"""Manzana NAV"",""MANZANA"",""99000772"",""44"","" "",""22"",""False"",""43"",""0.00000000000000000000"",""12"",""Case for 28/4/3.2oz Pouches"",""50220"",""False"",""29"","""",""50210"",""False"",""18"","""",""11"",""CASE042"",""2"",""10000"",""1"",""FSP0017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0017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9" s="15"/>
      <c r="D669" s="16" t="str">
        <f>"FSP0017"</f>
        <v>FSP0017</v>
      </c>
      <c r="E669" s="16">
        <v>10000</v>
      </c>
      <c r="F669" s="16" t="str">
        <f>"CASE042"</f>
        <v>CASE042</v>
      </c>
      <c r="G669" s="17" t="str">
        <f>"Case for 28/4/3.2oz Pouches"</f>
        <v>Case for 28/4/3.2oz Pouches</v>
      </c>
      <c r="H669" s="18" t="str">
        <f t="shared" si="79"/>
        <v>CARTON</v>
      </c>
      <c r="I669" s="19">
        <v>1</v>
      </c>
      <c r="J669" s="20">
        <v>1</v>
      </c>
    </row>
    <row r="670" spans="1:10" ht="15.75" thickBot="1" x14ac:dyDescent="0.3">
      <c r="A670" t="s">
        <v>31</v>
      </c>
      <c r="B670" s="15" t="str">
        <f>"""Manzana NAV"",""MANZANA"",""99000772"",""44"","" "",""22"",""False"",""43"",""0.00000000000000000000"",""12"",""Case for 28/4/3.2oz Pouches"",""50220"",""False"",""29"","""",""50210"",""False"",""18"","""",""11"",""CASE042"",""2"",""10000"",""1"",""FSP0018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0" s="15"/>
      <c r="D670" s="16" t="str">
        <f>"FSP0018"</f>
        <v>FSP0018</v>
      </c>
      <c r="E670" s="16">
        <v>10000</v>
      </c>
      <c r="F670" s="16" t="str">
        <f>"CASE042"</f>
        <v>CASE042</v>
      </c>
      <c r="G670" s="17" t="str">
        <f>"Case for 28/4/3.2oz Pouches"</f>
        <v>Case for 28/4/3.2oz Pouches</v>
      </c>
      <c r="H670" s="18" t="str">
        <f t="shared" si="79"/>
        <v>CARTON</v>
      </c>
      <c r="I670" s="19">
        <v>1</v>
      </c>
      <c r="J670" s="20">
        <v>1</v>
      </c>
    </row>
    <row r="671" spans="1:10" ht="15.75" thickBot="1" x14ac:dyDescent="0.3">
      <c r="A671" t="s">
        <v>31</v>
      </c>
      <c r="B671" s="15" t="str">
        <f>"""Manzana NAV"",""MANZANA"",""99000772"",""44"","" "",""22"",""False"",""43"",""0.00000000000000000000"",""12"",""Case for 28/4/3.2oz Pouches"",""50220"",""False"",""29"","""",""50210"",""False"",""18"","""",""11"",""CASE042"",""2"",""10000"",""1"",""FSP0019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0019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1" s="15"/>
      <c r="D671" s="16" t="str">
        <f>"FSP0019"</f>
        <v>FSP0019</v>
      </c>
      <c r="E671" s="16">
        <v>10000</v>
      </c>
      <c r="F671" s="16" t="str">
        <f>"CASE042"</f>
        <v>CASE042</v>
      </c>
      <c r="G671" s="17" t="str">
        <f>"Case for 28/4/3.2oz Pouches"</f>
        <v>Case for 28/4/3.2oz Pouches</v>
      </c>
      <c r="H671" s="18" t="str">
        <f t="shared" si="79"/>
        <v>CARTON</v>
      </c>
      <c r="I671" s="19">
        <v>1</v>
      </c>
      <c r="J671" s="20">
        <v>1</v>
      </c>
    </row>
    <row r="672" spans="1:10" ht="15.75" thickBot="1" x14ac:dyDescent="0.3">
      <c r="A672" t="s">
        <v>31</v>
      </c>
      <c r="B672" s="15" t="str">
        <f>"""Manzana NAV"",""MANZANA"",""99000772"",""44"","" "",""22"",""False"",""43"",""0.00000000000000000000"",""12"",""Case for 28/4/3.2oz Pouches"",""50220"",""False"",""29"","""",""50210"",""False"",""18"","""",""11"",""CASE042"",""2"",""10000"",""1"",""FSP0020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2" s="15"/>
      <c r="D672" s="16" t="str">
        <f>"FSP0020"</f>
        <v>FSP0020</v>
      </c>
      <c r="E672" s="16">
        <v>10000</v>
      </c>
      <c r="F672" s="16" t="str">
        <f>"CASE042"</f>
        <v>CASE042</v>
      </c>
      <c r="G672" s="17" t="str">
        <f>"Case for 28/4/3.2oz Pouches"</f>
        <v>Case for 28/4/3.2oz Pouches</v>
      </c>
      <c r="H672" s="18" t="str">
        <f t="shared" si="79"/>
        <v>CARTON</v>
      </c>
      <c r="I672" s="19">
        <v>1</v>
      </c>
      <c r="J672" s="20">
        <v>1</v>
      </c>
    </row>
    <row r="673" spans="1:10" ht="15.75" thickBot="1" x14ac:dyDescent="0.3">
      <c r="A673" t="s">
        <v>31</v>
      </c>
      <c r="B673" s="15" t="str">
        <f>"""Manzana NAV"",""MANZANA"",""99000772"",""44"","" "",""22"",""False"",""43"",""0.00000000000000000000"",""12"",""Case for 36/3.2oz AS Pouches"",""50220"",""False"",""29"","""",""50210"",""False"",""18"","""",""11"",""CASE028"",""2"",""20000"",""1"",""FSPT002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AS Pouches","50220","False","29","","50210","False","18","","11","CASE028","2","20000","1","FSPT002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3" s="15"/>
      <c r="D673" s="16" t="str">
        <f>"FSPT002"</f>
        <v>FSPT002</v>
      </c>
      <c r="E673" s="16">
        <v>20000</v>
      </c>
      <c r="F673" s="16" t="str">
        <f t="shared" ref="F673:F681" si="80">"CASE028"</f>
        <v>CASE028</v>
      </c>
      <c r="G673" s="17" t="str">
        <f>"Case for 36/3.2oz AS Pouches"</f>
        <v>Case for 36/3.2oz AS Pouches</v>
      </c>
      <c r="H673" s="18" t="str">
        <f t="shared" si="79"/>
        <v>CARTON</v>
      </c>
      <c r="I673" s="19">
        <v>1</v>
      </c>
      <c r="J673" s="20">
        <v>1</v>
      </c>
    </row>
    <row r="674" spans="1:10" ht="15.75" thickBot="1" x14ac:dyDescent="0.3">
      <c r="A674" t="s">
        <v>31</v>
      </c>
      <c r="B674" s="15" t="str">
        <f>"""Manzana NAV"",""MANZANA"",""99000772"",""44"","" "",""22"",""False"",""43"",""0.00000000000000000000"",""12"",""Case for 36/3.2oz Pouches"",""50220"",""False"",""29"","""",""50210"",""False"",""18"","""",""11"",""CASE028"",""2"",""10000"",""1"",""FSP0027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0027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4" s="15"/>
      <c r="D674" s="16" t="str">
        <f>"FSP0027"</f>
        <v>FSP0027</v>
      </c>
      <c r="E674" s="16">
        <v>10000</v>
      </c>
      <c r="F674" s="16" t="str">
        <f t="shared" si="80"/>
        <v>CASE028</v>
      </c>
      <c r="G674" s="17" t="str">
        <f t="shared" ref="G674:G681" si="81">"Case for 36/3.2oz Pouches"</f>
        <v>Case for 36/3.2oz Pouches</v>
      </c>
      <c r="H674" s="18" t="str">
        <f t="shared" si="79"/>
        <v>CARTON</v>
      </c>
      <c r="I674" s="19">
        <v>1</v>
      </c>
      <c r="J674" s="20">
        <v>1</v>
      </c>
    </row>
    <row r="675" spans="1:10" ht="15.75" thickBot="1" x14ac:dyDescent="0.3">
      <c r="A675" t="s">
        <v>31</v>
      </c>
      <c r="B675" s="15" t="str">
        <f>"""Manzana NAV"",""MANZANA"",""99000772"",""44"","" "",""22"",""False"",""43"",""0.00000000000000000000"",""12"",""Case for 36/3.2oz Pouches"",""50220"",""False"",""29"","""",""50210"",""False"",""18"","""",""11"",""CASE028"",""2"",""10000"",""1"",""FSP0028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0028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5" s="15"/>
      <c r="D675" s="16" t="str">
        <f>"FSP0028"</f>
        <v>FSP0028</v>
      </c>
      <c r="E675" s="16">
        <v>10000</v>
      </c>
      <c r="F675" s="16" t="str">
        <f t="shared" si="80"/>
        <v>CASE028</v>
      </c>
      <c r="G675" s="17" t="str">
        <f t="shared" si="81"/>
        <v>Case for 36/3.2oz Pouches</v>
      </c>
      <c r="H675" s="18" t="str">
        <f t="shared" si="79"/>
        <v>CARTON</v>
      </c>
      <c r="I675" s="19">
        <v>1</v>
      </c>
      <c r="J675" s="20">
        <v>1</v>
      </c>
    </row>
    <row r="676" spans="1:10" ht="15.75" thickBot="1" x14ac:dyDescent="0.3">
      <c r="A676" t="s">
        <v>31</v>
      </c>
      <c r="B676" s="15" t="str">
        <f>"""Manzana NAV"",""MANZANA"",""99000772"",""44"","" "",""22"",""False"",""43"",""0.00000000000000000000"",""12"",""Case for 36/3.2oz Pouches"",""50220"",""False"",""29"","""",""50210"",""False"",""18"","""",""11"",""CASE028"",""2"",""10000"",""1"",""FSP0029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0029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6" s="15"/>
      <c r="D676" s="16" t="str">
        <f>"FSP0029"</f>
        <v>FSP0029</v>
      </c>
      <c r="E676" s="16">
        <v>10000</v>
      </c>
      <c r="F676" s="16" t="str">
        <f t="shared" si="80"/>
        <v>CASE028</v>
      </c>
      <c r="G676" s="17" t="str">
        <f t="shared" si="81"/>
        <v>Case for 36/3.2oz Pouches</v>
      </c>
      <c r="H676" s="18" t="str">
        <f t="shared" si="79"/>
        <v>CARTON</v>
      </c>
      <c r="I676" s="19">
        <v>1</v>
      </c>
      <c r="J676" s="20">
        <v>1</v>
      </c>
    </row>
    <row r="677" spans="1:10" ht="15.75" thickBot="1" x14ac:dyDescent="0.3">
      <c r="A677" t="s">
        <v>31</v>
      </c>
      <c r="B677" s="15" t="str">
        <f>"""Manzana NAV"",""MANZANA"",""99000772"",""44"","" "",""22"",""False"",""43"",""0.00000000000000000000"",""12"",""Case for 36/3.2oz Pouches"",""50220"",""False"",""29"","""",""50210"",""False"",""18"","""",""11"",""CASE028"",""2"",""10000"",""1"",""FSP0033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0033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7" s="15"/>
      <c r="D677" s="16" t="str">
        <f>"FSP0033"</f>
        <v>FSP0033</v>
      </c>
      <c r="E677" s="16">
        <v>10000</v>
      </c>
      <c r="F677" s="16" t="str">
        <f t="shared" si="80"/>
        <v>CASE028</v>
      </c>
      <c r="G677" s="17" t="str">
        <f t="shared" si="81"/>
        <v>Case for 36/3.2oz Pouches</v>
      </c>
      <c r="H677" s="18" t="str">
        <f t="shared" si="79"/>
        <v>CARTON</v>
      </c>
      <c r="I677" s="19">
        <v>1</v>
      </c>
      <c r="J677" s="20">
        <v>1</v>
      </c>
    </row>
    <row r="678" spans="1:10" ht="15.75" thickBot="1" x14ac:dyDescent="0.3">
      <c r="A678" t="s">
        <v>31</v>
      </c>
      <c r="B678" s="15" t="str">
        <f>"""Manzana NAV"",""MANZANA"",""99000772"",""44"","" "",""22"",""False"",""43"",""0.00000000000000000000"",""12"",""Case for 36/3.2oz Pouches"",""50220"",""False"",""29"","""",""50210"",""False"",""18"","""",""11"",""CASE028"",""2"",""10000"",""1"",""FSP0034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0034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8" s="15"/>
      <c r="D678" s="16" t="str">
        <f>"FSP0034"</f>
        <v>FSP0034</v>
      </c>
      <c r="E678" s="16">
        <v>10000</v>
      </c>
      <c r="F678" s="16" t="str">
        <f t="shared" si="80"/>
        <v>CASE028</v>
      </c>
      <c r="G678" s="17" t="str">
        <f t="shared" si="81"/>
        <v>Case for 36/3.2oz Pouches</v>
      </c>
      <c r="H678" s="18" t="str">
        <f t="shared" si="79"/>
        <v>CARTON</v>
      </c>
      <c r="I678" s="19">
        <v>1</v>
      </c>
      <c r="J678" s="20">
        <v>1</v>
      </c>
    </row>
    <row r="679" spans="1:10" ht="15.75" thickBot="1" x14ac:dyDescent="0.3">
      <c r="A679" t="s">
        <v>31</v>
      </c>
      <c r="B679" s="15" t="str">
        <f>"""Manzana NAV"",""MANZANA"",""99000772"",""44"","" "",""22"",""False"",""43"",""0.00000000000000000000"",""12"",""Case for 36/3.2oz Pouches"",""50220"",""False"",""29"","""",""50210"",""False"",""18"","""",""11"",""CASE028"",""2"",""10000"",""1"",""FSP0035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9" s="15"/>
      <c r="D679" s="16" t="str">
        <f>"FSP0035"</f>
        <v>FSP0035</v>
      </c>
      <c r="E679" s="16">
        <v>10000</v>
      </c>
      <c r="F679" s="16" t="str">
        <f t="shared" si="80"/>
        <v>CASE028</v>
      </c>
      <c r="G679" s="17" t="str">
        <f t="shared" si="81"/>
        <v>Case for 36/3.2oz Pouches</v>
      </c>
      <c r="H679" s="18" t="str">
        <f t="shared" si="79"/>
        <v>CARTON</v>
      </c>
      <c r="I679" s="19">
        <v>1</v>
      </c>
      <c r="J679" s="20">
        <v>1</v>
      </c>
    </row>
    <row r="680" spans="1:10" ht="15.75" thickBot="1" x14ac:dyDescent="0.3">
      <c r="A680" t="s">
        <v>31</v>
      </c>
      <c r="B680" s="15" t="str">
        <f>"""Manzana NAV"",""MANZANA"",""99000772"",""44"","" "",""22"",""False"",""43"",""0.00000000000000000000"",""12"",""Case for 36/3.2oz Pouches"",""50220"",""False"",""29"","""",""50210"",""False"",""18"","""",""11"",""CASE028"",""2"",""10000"",""1"",""Z-FSP0013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Z-FSP0013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0" s="15"/>
      <c r="D680" s="16" t="str">
        <f>"Z-FSP0013"</f>
        <v>Z-FSP0013</v>
      </c>
      <c r="E680" s="16">
        <v>10000</v>
      </c>
      <c r="F680" s="16" t="str">
        <f t="shared" si="80"/>
        <v>CASE028</v>
      </c>
      <c r="G680" s="17" t="str">
        <f t="shared" si="81"/>
        <v>Case for 36/3.2oz Pouches</v>
      </c>
      <c r="H680" s="18" t="str">
        <f t="shared" si="79"/>
        <v>CARTON</v>
      </c>
      <c r="I680" s="19">
        <v>1</v>
      </c>
      <c r="J680" s="20">
        <v>1</v>
      </c>
    </row>
    <row r="681" spans="1:10" ht="15.75" thickBot="1" x14ac:dyDescent="0.3">
      <c r="A681" t="s">
        <v>31</v>
      </c>
      <c r="B681" s="15" t="str">
        <f>"""Manzana NAV"",""MANZANA"",""99000772"",""44"","" "",""22"",""False"",""43"",""0.00000000000000000000"",""12"",""Case for 36/3.2oz Pouches"",""50220"",""False"",""29"","""",""50210"",""False"",""18"","""",""11"",""CASE028"",""2"",""20000"",""1"",""FSPT000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20000","1","FSPT000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1" s="15"/>
      <c r="D681" s="16" t="str">
        <f>"FSPT000"</f>
        <v>FSPT000</v>
      </c>
      <c r="E681" s="16">
        <v>20000</v>
      </c>
      <c r="F681" s="16" t="str">
        <f t="shared" si="80"/>
        <v>CASE028</v>
      </c>
      <c r="G681" s="17" t="str">
        <f t="shared" si="81"/>
        <v>Case for 36/3.2oz Pouches</v>
      </c>
      <c r="H681" s="18" t="str">
        <f t="shared" si="79"/>
        <v>CARTON</v>
      </c>
      <c r="I681" s="19">
        <v>1</v>
      </c>
      <c r="J681" s="20">
        <v>1</v>
      </c>
    </row>
    <row r="682" spans="1:10" ht="15.75" thickBot="1" x14ac:dyDescent="0.3">
      <c r="A682" t="s">
        <v>31</v>
      </c>
      <c r="B682" s="15" t="str">
        <f>"""Manzana NAV"",""MANZANA"",""99000772"",""44"","" "",""22"",""False"",""43"",""0.00000000000000000000"",""12"",""Case for 4/128oz Juice Bottles"",""50220"",""False"",""29"","""",""50210"",""False"",""18"","""",""11"",""CASE001"",""2"",""5000"",""1"",""FJ0213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4/128oz Juice Bottles","50220","False","29","","50210","False","18","","11","CASE001","2","5000","1","FJ0213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2" s="15"/>
      <c r="D682" s="16" t="str">
        <f>"FJ0213"</f>
        <v>FJ0213</v>
      </c>
      <c r="E682" s="16">
        <v>5000</v>
      </c>
      <c r="F682" s="16" t="str">
        <f>"CASE001"</f>
        <v>CASE001</v>
      </c>
      <c r="G682" s="17" t="str">
        <f>"Case for 4/128oz Juice Bottles"</f>
        <v>Case for 4/128oz Juice Bottles</v>
      </c>
      <c r="H682" s="18" t="str">
        <f t="shared" si="79"/>
        <v>CARTON</v>
      </c>
      <c r="I682" s="19">
        <v>1</v>
      </c>
      <c r="J682" s="20">
        <v>1</v>
      </c>
    </row>
    <row r="683" spans="1:10" ht="15.75" thickBot="1" x14ac:dyDescent="0.3">
      <c r="A683" t="s">
        <v>31</v>
      </c>
      <c r="B683" s="15" t="str">
        <f>"""Manzana NAV"",""MANZANA"",""99000772"",""44"","" "",""22"",""False"",""43"",""0.00000000000000000000"",""12"",""Case for 4/128oz Juice Bottles"",""50220"",""False"",""29"","""",""50210"",""False"",""18"","""",""11"",""CASE001"",""2"",""10000"",""1"",""FJ0238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4/128oz Juice Bottles","50220","False","29","","50210","False","18","","11","CASE001","2","10000","1","FJ0238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3" s="15"/>
      <c r="D683" s="16" t="str">
        <f>"FJ0238"</f>
        <v>FJ0238</v>
      </c>
      <c r="E683" s="16">
        <v>10000</v>
      </c>
      <c r="F683" s="16" t="str">
        <f>"CASE001"</f>
        <v>CASE001</v>
      </c>
      <c r="G683" s="17" t="str">
        <f>"Case for 4/128oz Juice Bottles"</f>
        <v>Case for 4/128oz Juice Bottles</v>
      </c>
      <c r="H683" s="18" t="str">
        <f t="shared" si="79"/>
        <v>CARTON</v>
      </c>
      <c r="I683" s="19">
        <v>1</v>
      </c>
      <c r="J683" s="20">
        <v>1</v>
      </c>
    </row>
    <row r="684" spans="1:10" ht="15.75" thickBot="1" x14ac:dyDescent="0.3">
      <c r="A684" t="s">
        <v>31</v>
      </c>
      <c r="B684" s="15" t="str">
        <f>"""Manzana NAV"",""MANZANA"",""99000772"",""44"","" "",""22"",""False"",""43"",""0.00000000000000000000"",""12"",""Case for 4/128oz Juice Bottles"",""50220"",""False"",""29"","""",""50210"",""False"",""18"","""",""11"",""CASE001"",""2"",""20000"",""1"",""FV0018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4/128oz Juice Bottles","50220","False","29","","50210","False","18","","11","CASE001","2","20000","1","FV0018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4" s="15"/>
      <c r="D684" s="16" t="str">
        <f>"FV0018"</f>
        <v>FV0018</v>
      </c>
      <c r="E684" s="16">
        <v>20000</v>
      </c>
      <c r="F684" s="16" t="str">
        <f>"CASE001"</f>
        <v>CASE001</v>
      </c>
      <c r="G684" s="17" t="str">
        <f>"Case for 4/128oz Juice Bottles"</f>
        <v>Case for 4/128oz Juice Bottles</v>
      </c>
      <c r="H684" s="18" t="str">
        <f t="shared" si="79"/>
        <v>CARTON</v>
      </c>
      <c r="I684" s="19">
        <v>1</v>
      </c>
      <c r="J684" s="20">
        <v>1</v>
      </c>
    </row>
    <row r="685" spans="1:10" ht="15.75" thickBot="1" x14ac:dyDescent="0.3">
      <c r="A685" t="s">
        <v>31</v>
      </c>
      <c r="B685" s="15" t="str">
        <f>"""Manzana NAV"",""MANZANA"",""99000772"",""44"","" "",""22"",""False"",""43"",""0.00000000000000000000"",""12"",""Case for 6/4/3.5oz Pouches"",""50220"",""False"",""29"","""",""50210"",""False"",""18"","""",""11"",""CASE037"",""2"",""5000"",""1"",""FSP0014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FSP0014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5" s="15"/>
      <c r="D685" s="16" t="str">
        <f>"FSP0014"</f>
        <v>FSP0014</v>
      </c>
      <c r="E685" s="16">
        <v>5000</v>
      </c>
      <c r="F685" s="16" t="str">
        <f t="shared" ref="F685:F691" si="82">"CASE037"</f>
        <v>CASE037</v>
      </c>
      <c r="G685" s="17" t="str">
        <f t="shared" ref="G685:G691" si="83">"Case for 6/4/3.5oz Pouches"</f>
        <v>Case for 6/4/3.5oz Pouches</v>
      </c>
      <c r="H685" s="18" t="str">
        <f t="shared" si="79"/>
        <v>CARTON</v>
      </c>
      <c r="I685" s="19">
        <v>1</v>
      </c>
      <c r="J685" s="20">
        <v>1</v>
      </c>
    </row>
    <row r="686" spans="1:10" ht="15.75" thickBot="1" x14ac:dyDescent="0.3">
      <c r="A686" t="s">
        <v>31</v>
      </c>
      <c r="B686" s="15" t="str">
        <f>"""Manzana NAV"",""MANZANA"",""99000772"",""44"","" "",""22"",""False"",""43"",""0.00000000000000000000"",""12"",""Case for 6/4/3.5oz Pouches"",""50220"",""False"",""29"","""",""50210"",""False"",""18"","""",""11"",""CASE037"",""2"",""5000"",""1"",""FSP0015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FSP0015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6" s="15"/>
      <c r="D686" s="16" t="str">
        <f>"FSP0015"</f>
        <v>FSP0015</v>
      </c>
      <c r="E686" s="16">
        <v>5000</v>
      </c>
      <c r="F686" s="16" t="str">
        <f t="shared" si="82"/>
        <v>CASE037</v>
      </c>
      <c r="G686" s="17" t="str">
        <f t="shared" si="83"/>
        <v>Case for 6/4/3.5oz Pouches</v>
      </c>
      <c r="H686" s="18" t="str">
        <f t="shared" si="79"/>
        <v>CARTON</v>
      </c>
      <c r="I686" s="19">
        <v>1</v>
      </c>
      <c r="J686" s="20">
        <v>1</v>
      </c>
    </row>
    <row r="687" spans="1:10" ht="15.75" thickBot="1" x14ac:dyDescent="0.3">
      <c r="A687" t="s">
        <v>31</v>
      </c>
      <c r="B687" s="15" t="str">
        <f>"""Manzana NAV"",""MANZANA"",""99000772"",""44"","" "",""22"",""False"",""43"",""0.00000000000000000000"",""12"",""Case for 6/4/3.5oz Pouches"",""50220"",""False"",""29"","""",""50210"",""False"",""18"","""",""11"",""CASE037"",""2"",""5000"",""1"",""FSP0016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FSP0016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7" s="15"/>
      <c r="D687" s="16" t="str">
        <f>"FSP0016"</f>
        <v>FSP0016</v>
      </c>
      <c r="E687" s="16">
        <v>5000</v>
      </c>
      <c r="F687" s="16" t="str">
        <f t="shared" si="82"/>
        <v>CASE037</v>
      </c>
      <c r="G687" s="17" t="str">
        <f t="shared" si="83"/>
        <v>Case for 6/4/3.5oz Pouches</v>
      </c>
      <c r="H687" s="18" t="str">
        <f t="shared" si="79"/>
        <v>CARTON</v>
      </c>
      <c r="I687" s="19">
        <v>1</v>
      </c>
      <c r="J687" s="20">
        <v>1</v>
      </c>
    </row>
    <row r="688" spans="1:10" ht="15.75" thickBot="1" x14ac:dyDescent="0.3">
      <c r="A688" t="s">
        <v>31</v>
      </c>
      <c r="B688" s="15" t="str">
        <f>"""Manzana NAV"",""MANZANA"",""99000772"",""44"","" "",""22"",""False"",""43"",""0.00000000000000000000"",""12"",""Case for 6/4/3.5oz Pouches"",""50220"",""False"",""29"","""",""50210"",""False"",""18"","""",""11"",""CASE037"",""2"",""5000"",""1"",""LS0075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LS0075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8" s="15"/>
      <c r="D688" s="16" t="str">
        <f>"LS0075"</f>
        <v>LS0075</v>
      </c>
      <c r="E688" s="16">
        <v>5000</v>
      </c>
      <c r="F688" s="16" t="str">
        <f t="shared" si="82"/>
        <v>CASE037</v>
      </c>
      <c r="G688" s="17" t="str">
        <f t="shared" si="83"/>
        <v>Case for 6/4/3.5oz Pouches</v>
      </c>
      <c r="H688" s="18" t="str">
        <f t="shared" si="79"/>
        <v>CARTON</v>
      </c>
      <c r="I688" s="19">
        <v>1</v>
      </c>
      <c r="J688" s="20">
        <v>1</v>
      </c>
    </row>
    <row r="689" spans="1:10" ht="15.75" thickBot="1" x14ac:dyDescent="0.3">
      <c r="A689" t="s">
        <v>31</v>
      </c>
      <c r="B689" s="15" t="str">
        <f>"""Manzana NAV"",""MANZANA"",""99000772"",""44"","" "",""22"",""False"",""43"",""0.00000000000000000000"",""12"",""Case for 6/4/3.5oz Pouches"",""50220"",""False"",""29"","""",""50210"",""False"",""18"","""",""11"",""CASE037"",""2"",""20000"",""1"",""Z-FSP0010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20000","1","Z-FSP0010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9" s="15"/>
      <c r="D689" s="16" t="str">
        <f>"Z-FSP0010"</f>
        <v>Z-FSP0010</v>
      </c>
      <c r="E689" s="16">
        <v>20000</v>
      </c>
      <c r="F689" s="16" t="str">
        <f t="shared" si="82"/>
        <v>CASE037</v>
      </c>
      <c r="G689" s="17" t="str">
        <f t="shared" si="83"/>
        <v>Case for 6/4/3.5oz Pouches</v>
      </c>
      <c r="H689" s="18" t="str">
        <f t="shared" si="79"/>
        <v>CARTON</v>
      </c>
      <c r="I689" s="19">
        <v>1</v>
      </c>
      <c r="J689" s="20">
        <v>1</v>
      </c>
    </row>
    <row r="690" spans="1:10" ht="15.75" thickBot="1" x14ac:dyDescent="0.3">
      <c r="A690" t="s">
        <v>31</v>
      </c>
      <c r="B690" s="15" t="str">
        <f>"""Manzana NAV"",""MANZANA"",""99000772"",""44"","" "",""22"",""False"",""43"",""0.00000000000000000000"",""12"",""Case for 6/4/3.5oz Pouches"",""50220"",""False"",""29"","""",""50210"",""False"",""18"","""",""11"",""CASE037"",""2"",""20000"",""1"",""Z-FSP0011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20000","1","Z-FSP0011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0" s="15"/>
      <c r="D690" s="16" t="str">
        <f>"Z-FSP0011"</f>
        <v>Z-FSP0011</v>
      </c>
      <c r="E690" s="16">
        <v>20000</v>
      </c>
      <c r="F690" s="16" t="str">
        <f t="shared" si="82"/>
        <v>CASE037</v>
      </c>
      <c r="G690" s="17" t="str">
        <f t="shared" si="83"/>
        <v>Case for 6/4/3.5oz Pouches</v>
      </c>
      <c r="H690" s="18" t="str">
        <f t="shared" si="79"/>
        <v>CARTON</v>
      </c>
      <c r="I690" s="19">
        <v>1</v>
      </c>
      <c r="J690" s="20">
        <v>1</v>
      </c>
    </row>
    <row r="691" spans="1:10" ht="15.75" thickBot="1" x14ac:dyDescent="0.3">
      <c r="A691" t="s">
        <v>31</v>
      </c>
      <c r="B691" s="15" t="str">
        <f>"""Manzana NAV"",""MANZANA"",""99000772"",""44"","" "",""22"",""False"",""43"",""0.00000000000000000000"",""12"",""Case for 6/4/3.5oz Pouches"",""50220"",""False"",""29"","""",""50210"",""False"",""18"","""",""11"",""CASE037"",""2"",""20000"",""1"",""Z-FSP0012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20000","1","Z-FSP0012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1" s="15"/>
      <c r="D691" s="16" t="str">
        <f>"Z-FSP0012"</f>
        <v>Z-FSP0012</v>
      </c>
      <c r="E691" s="16">
        <v>20000</v>
      </c>
      <c r="F691" s="16" t="str">
        <f t="shared" si="82"/>
        <v>CASE037</v>
      </c>
      <c r="G691" s="17" t="str">
        <f t="shared" si="83"/>
        <v>Case for 6/4/3.5oz Pouches</v>
      </c>
      <c r="H691" s="18" t="str">
        <f t="shared" si="79"/>
        <v>CARTON</v>
      </c>
      <c r="I691" s="19">
        <v>1</v>
      </c>
      <c r="J691" s="20">
        <v>1</v>
      </c>
    </row>
    <row r="692" spans="1:10" ht="15.75" thickBot="1" x14ac:dyDescent="0.3">
      <c r="A692" t="s">
        <v>31</v>
      </c>
      <c r="B692" s="15" t="str">
        <f>"""Manzana NAV"",""MANZANA"",""99000772"",""44"","" "",""22"",""False"",""43"",""0.00000000000000000000"",""12"",""Case for 6/5/4/4oz Sauce Cups"",""50220"",""False"",""29"","""",""50210"",""False"",""18"","""",""11"",""CASE033"",""2"",""20000"",""1"",""FS0150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6/5/4/4oz Sauce Cups","50220","False","29","","50210","False","18","","11","CASE033","2","20000","1","FS0150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2" s="15"/>
      <c r="D692" s="16" t="str">
        <f>"FS0150"</f>
        <v>FS0150</v>
      </c>
      <c r="E692" s="16">
        <v>20000</v>
      </c>
      <c r="F692" s="16" t="str">
        <f>"CASE033"</f>
        <v>CASE033</v>
      </c>
      <c r="G692" s="17" t="str">
        <f>"Case for 6/5/4/4oz Sauce Cups"</f>
        <v>Case for 6/5/4/4oz Sauce Cups</v>
      </c>
      <c r="H692" s="18" t="str">
        <f t="shared" si="79"/>
        <v>CARTON</v>
      </c>
      <c r="I692" s="19">
        <v>1</v>
      </c>
      <c r="J692" s="20">
        <v>1</v>
      </c>
    </row>
    <row r="693" spans="1:10" ht="15.75" thickBot="1" x14ac:dyDescent="0.3">
      <c r="A693" t="s">
        <v>31</v>
      </c>
      <c r="B693" s="15" t="str">
        <f>"""Manzana NAV"",""MANZANA"",""99000772"",""44"","" "",""22"",""False"",""43"",""0.00000000000000000000"",""12"",""Case for 6/5/4/4oz Sauce Cups"",""50220"",""False"",""29"","""",""50210"",""False"",""18"","""",""11"",""CASE033"",""2"",""20000"",""1"",""FS0151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6/5/4/4oz Sauce Cups","50220","False","29","","50210","False","18","","11","CASE033","2","20000","1","FS0151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3" s="15"/>
      <c r="D693" s="16" t="str">
        <f>"FS0151"</f>
        <v>FS0151</v>
      </c>
      <c r="E693" s="16">
        <v>20000</v>
      </c>
      <c r="F693" s="16" t="str">
        <f>"CASE033"</f>
        <v>CASE033</v>
      </c>
      <c r="G693" s="17" t="str">
        <f>"Case for 6/5/4/4oz Sauce Cups"</f>
        <v>Case for 6/5/4/4oz Sauce Cups</v>
      </c>
      <c r="H693" s="18" t="str">
        <f t="shared" si="79"/>
        <v>CARTON</v>
      </c>
      <c r="I693" s="19">
        <v>1</v>
      </c>
      <c r="J693" s="20">
        <v>1</v>
      </c>
    </row>
    <row r="694" spans="1:10" ht="15.75" thickBot="1" x14ac:dyDescent="0.3">
      <c r="A694" t="s">
        <v>31</v>
      </c>
      <c r="B694" s="15" t="str">
        <f>"""Manzana NAV"",""MANZANA"",""99000772"",""44"","" "",""22"",""False"",""43"",""0.00000000000000000000"",""12"",""Case for 6/5/4/4oz Sauce Cups"",""50220"",""False"",""29"","""",""50210"",""False"",""18"","""",""11"",""CASE033"",""2"",""20000"",""1"",""FS0152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6/5/4/4oz Sauce Cups","50220","False","29","","50210","False","18","","11","CASE033","2","20000","1","FS0152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4" s="15"/>
      <c r="D694" s="16" t="str">
        <f>"FS0152"</f>
        <v>FS0152</v>
      </c>
      <c r="E694" s="16">
        <v>20000</v>
      </c>
      <c r="F694" s="16" t="str">
        <f>"CASE033"</f>
        <v>CASE033</v>
      </c>
      <c r="G694" s="17" t="str">
        <f>"Case for 6/5/4/4oz Sauce Cups"</f>
        <v>Case for 6/5/4/4oz Sauce Cups</v>
      </c>
      <c r="H694" s="18" t="str">
        <f t="shared" si="79"/>
        <v>CARTON</v>
      </c>
      <c r="I694" s="19">
        <v>1</v>
      </c>
      <c r="J694" s="20">
        <v>1</v>
      </c>
    </row>
    <row r="695" spans="1:10" ht="15.75" thickBot="1" x14ac:dyDescent="0.3">
      <c r="A695" t="s">
        <v>31</v>
      </c>
      <c r="B695" s="15" t="str">
        <f>"""Manzana NAV"",""MANZANA"",""99000772"",""44"","" "",""22"",""False"",""43"",""0.00000000000000000000"",""12"",""Case for 6/64oz Juice Bottles"",""50220"",""False"",""29"","""",""50210"",""False"",""18"","""",""11"",""CASE002"",""2"",""10000"",""1"",""FJ0239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6/64oz Juice Bottles","50220","False","29","","50210","False","18","","11","CASE002","2","10000","1","FJ0239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5" s="15"/>
      <c r="D695" s="16" t="str">
        <f>"FJ0239"</f>
        <v>FJ0239</v>
      </c>
      <c r="E695" s="16">
        <v>10000</v>
      </c>
      <c r="F695" s="16" t="str">
        <f>"CASE002"</f>
        <v>CASE002</v>
      </c>
      <c r="G695" s="17" t="str">
        <f>"Case for 6/64oz Juice Bottles"</f>
        <v>Case for 6/64oz Juice Bottles</v>
      </c>
      <c r="H695" s="18" t="str">
        <f t="shared" si="79"/>
        <v>CARTON</v>
      </c>
      <c r="I695" s="19">
        <v>1</v>
      </c>
      <c r="J695" s="20">
        <v>1</v>
      </c>
    </row>
    <row r="696" spans="1:10" ht="15.75" thickBot="1" x14ac:dyDescent="0.3">
      <c r="A696" t="s">
        <v>31</v>
      </c>
      <c r="B696" s="15" t="str">
        <f>"""Manzana NAV"",""MANZANA"",""99000772"",""44"","" "",""22"",""False"",""43"",""0.00000000000000000000"",""12"",""Case for 8/64 PET Juice Bottles"",""50220"",""False"",""29"","""",""50210"",""False"",""18"","""",""11"",""CASE005"",""2"",""5000"",""1"",""FJ0215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5000","1","FJ0215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6" s="15"/>
      <c r="D696" s="16" t="str">
        <f>"FJ0215"</f>
        <v>FJ0215</v>
      </c>
      <c r="E696" s="16">
        <v>5000</v>
      </c>
      <c r="F696" s="16" t="str">
        <f t="shared" ref="F696:F706" si="84">"CASE005"</f>
        <v>CASE005</v>
      </c>
      <c r="G696" s="17" t="str">
        <f t="shared" ref="G696:G706" si="85">"Case for 8/64 PET Juice Bottles"</f>
        <v>Case for 8/64 PET Juice Bottles</v>
      </c>
      <c r="H696" s="18" t="str">
        <f t="shared" si="79"/>
        <v>CARTON</v>
      </c>
      <c r="I696" s="19">
        <v>1</v>
      </c>
      <c r="J696" s="20">
        <v>1</v>
      </c>
    </row>
    <row r="697" spans="1:10" ht="15.75" thickBot="1" x14ac:dyDescent="0.3">
      <c r="A697" t="s">
        <v>31</v>
      </c>
      <c r="B697" s="15" t="str">
        <f>"""Manzana NAV"",""MANZANA"",""99000772"",""44"","" "",""22"",""False"",""43"",""0.00000000000000000000"",""12"",""Case for 8/64 PET Juice Bottles"",""50220"",""False"",""29"","""",""50210"",""False"",""18"","""",""11"",""CASE005"",""2"",""5000"",""1"",""FJ0245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5000","1","FJ0245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7" s="15"/>
      <c r="D697" s="16" t="str">
        <f>"FJ0245"</f>
        <v>FJ0245</v>
      </c>
      <c r="E697" s="16">
        <v>5000</v>
      </c>
      <c r="F697" s="16" t="str">
        <f t="shared" si="84"/>
        <v>CASE005</v>
      </c>
      <c r="G697" s="17" t="str">
        <f t="shared" si="85"/>
        <v>Case for 8/64 PET Juice Bottles</v>
      </c>
      <c r="H697" s="18" t="str">
        <f t="shared" si="79"/>
        <v>CARTON</v>
      </c>
      <c r="I697" s="19">
        <v>1</v>
      </c>
      <c r="J697" s="20">
        <v>1</v>
      </c>
    </row>
    <row r="698" spans="1:10" ht="15.75" thickBot="1" x14ac:dyDescent="0.3">
      <c r="A698" t="s">
        <v>31</v>
      </c>
      <c r="B698" s="15" t="str">
        <f>"""Manzana NAV"",""MANZANA"",""99000772"",""44"","" "",""22"",""False"",""43"",""0.00000000000000000000"",""12"",""Case for 8/64 PET Juice Bottles"",""50220"",""False"",""29"","""",""50210"",""False"",""18"","""",""11"",""CASE005"",""2"",""5000"",""1"",""FV0014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5000","1","FV0014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8" s="15"/>
      <c r="D698" s="16" t="str">
        <f>"FV0014"</f>
        <v>FV0014</v>
      </c>
      <c r="E698" s="16">
        <v>5000</v>
      </c>
      <c r="F698" s="16" t="str">
        <f t="shared" si="84"/>
        <v>CASE005</v>
      </c>
      <c r="G698" s="17" t="str">
        <f t="shared" si="85"/>
        <v>Case for 8/64 PET Juice Bottles</v>
      </c>
      <c r="H698" s="18" t="str">
        <f t="shared" si="79"/>
        <v>CARTON</v>
      </c>
      <c r="I698" s="19">
        <v>1</v>
      </c>
      <c r="J698" s="20">
        <v>1</v>
      </c>
    </row>
    <row r="699" spans="1:10" ht="15.75" thickBot="1" x14ac:dyDescent="0.3">
      <c r="A699" t="s">
        <v>31</v>
      </c>
      <c r="B699" s="15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0072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0072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9" s="15"/>
      <c r="D699" s="16" t="str">
        <f>"FJ0072"</f>
        <v>FJ0072</v>
      </c>
      <c r="E699" s="16">
        <v>10000</v>
      </c>
      <c r="F699" s="16" t="str">
        <f t="shared" si="84"/>
        <v>CASE005</v>
      </c>
      <c r="G699" s="17" t="str">
        <f t="shared" si="85"/>
        <v>Case for 8/64 PET Juice Bottles</v>
      </c>
      <c r="H699" s="18" t="str">
        <f t="shared" si="79"/>
        <v>CARTON</v>
      </c>
      <c r="I699" s="19">
        <v>1</v>
      </c>
      <c r="J699" s="20">
        <v>1</v>
      </c>
    </row>
    <row r="700" spans="1:10" ht="15.75" thickBot="1" x14ac:dyDescent="0.3">
      <c r="A700" t="s">
        <v>31</v>
      </c>
      <c r="B700" s="15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0073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0073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0" s="15"/>
      <c r="D700" s="16" t="str">
        <f>"FJ0073"</f>
        <v>FJ0073</v>
      </c>
      <c r="E700" s="16">
        <v>10000</v>
      </c>
      <c r="F700" s="16" t="str">
        <f t="shared" si="84"/>
        <v>CASE005</v>
      </c>
      <c r="G700" s="17" t="str">
        <f t="shared" si="85"/>
        <v>Case for 8/64 PET Juice Bottles</v>
      </c>
      <c r="H700" s="18" t="str">
        <f t="shared" si="79"/>
        <v>CARTON</v>
      </c>
      <c r="I700" s="19">
        <v>1</v>
      </c>
      <c r="J700" s="20">
        <v>1</v>
      </c>
    </row>
    <row r="701" spans="1:10" ht="15.75" thickBot="1" x14ac:dyDescent="0.3">
      <c r="A701" t="s">
        <v>31</v>
      </c>
      <c r="B701" s="15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0076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0076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1" s="15"/>
      <c r="D701" s="16" t="str">
        <f>"FJ0076"</f>
        <v>FJ0076</v>
      </c>
      <c r="E701" s="16">
        <v>10000</v>
      </c>
      <c r="F701" s="16" t="str">
        <f t="shared" si="84"/>
        <v>CASE005</v>
      </c>
      <c r="G701" s="17" t="str">
        <f t="shared" si="85"/>
        <v>Case for 8/64 PET Juice Bottles</v>
      </c>
      <c r="H701" s="18" t="str">
        <f t="shared" si="79"/>
        <v>CARTON</v>
      </c>
      <c r="I701" s="19">
        <v>1</v>
      </c>
      <c r="J701" s="20">
        <v>1</v>
      </c>
    </row>
    <row r="702" spans="1:10" ht="15.75" thickBot="1" x14ac:dyDescent="0.3">
      <c r="A702" t="s">
        <v>31</v>
      </c>
      <c r="B702" s="15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0103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0103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2" s="15"/>
      <c r="D702" s="16" t="str">
        <f>"FJ0103"</f>
        <v>FJ0103</v>
      </c>
      <c r="E702" s="16">
        <v>10000</v>
      </c>
      <c r="F702" s="16" t="str">
        <f t="shared" si="84"/>
        <v>CASE005</v>
      </c>
      <c r="G702" s="17" t="str">
        <f t="shared" si="85"/>
        <v>Case for 8/64 PET Juice Bottles</v>
      </c>
      <c r="H702" s="18" t="str">
        <f t="shared" si="79"/>
        <v>CARTON</v>
      </c>
      <c r="I702" s="19">
        <v>1</v>
      </c>
      <c r="J702" s="20">
        <v>1</v>
      </c>
    </row>
    <row r="703" spans="1:10" ht="15.75" thickBot="1" x14ac:dyDescent="0.3">
      <c r="A703" t="s">
        <v>31</v>
      </c>
      <c r="B703" s="15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0209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0209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3" s="15"/>
      <c r="D703" s="16" t="str">
        <f>"FJ0209"</f>
        <v>FJ0209</v>
      </c>
      <c r="E703" s="16">
        <v>10000</v>
      </c>
      <c r="F703" s="16" t="str">
        <f t="shared" si="84"/>
        <v>CASE005</v>
      </c>
      <c r="G703" s="17" t="str">
        <f t="shared" si="85"/>
        <v>Case for 8/64 PET Juice Bottles</v>
      </c>
      <c r="H703" s="18" t="str">
        <f t="shared" si="79"/>
        <v>CARTON</v>
      </c>
      <c r="I703" s="19">
        <v>1</v>
      </c>
      <c r="J703" s="20">
        <v>1</v>
      </c>
    </row>
    <row r="704" spans="1:10" ht="15.75" thickBot="1" x14ac:dyDescent="0.3">
      <c r="A704" t="s">
        <v>31</v>
      </c>
      <c r="B704" s="15" t="str">
        <f>"""Manzana NAV"",""MANZANA"",""99000772"",""44"","" "",""22"",""False"",""43"",""0.00000000000000000000"",""12"",""Case for 8/64 PET Juice Bottles"",""50220"",""False"",""29"","""",""50210"",""False"",""18"","""",""11"",""CASE005"",""2"",""10000"",""1"",""FV0014B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V0014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4" s="15"/>
      <c r="D704" s="16" t="str">
        <f>"FV0014B"</f>
        <v>FV0014B</v>
      </c>
      <c r="E704" s="16">
        <v>10000</v>
      </c>
      <c r="F704" s="16" t="str">
        <f t="shared" si="84"/>
        <v>CASE005</v>
      </c>
      <c r="G704" s="17" t="str">
        <f t="shared" si="85"/>
        <v>Case for 8/64 PET Juice Bottles</v>
      </c>
      <c r="H704" s="18" t="str">
        <f t="shared" si="79"/>
        <v>CARTON</v>
      </c>
      <c r="I704" s="19">
        <v>1</v>
      </c>
      <c r="J704" s="20">
        <v>1</v>
      </c>
    </row>
    <row r="705" spans="1:10" ht="15.75" thickBot="1" x14ac:dyDescent="0.3">
      <c r="A705" t="s">
        <v>31</v>
      </c>
      <c r="B705" s="15" t="str">
        <f>"""Manzana NAV"",""MANZANA"",""99000772"",""44"","" "",""22"",""False"",""43"",""0.00000000000000000000"",""12"",""Case for 8/64 PET Juice Bottles"",""50220"",""False"",""29"","""",""50210"",""False"",""18"","""",""11"",""CASE005"",""2"",""20000"",""1"",""FV0023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20000","1","FV0023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5" s="15"/>
      <c r="D705" s="16" t="str">
        <f>"FV0023"</f>
        <v>FV0023</v>
      </c>
      <c r="E705" s="16">
        <v>20000</v>
      </c>
      <c r="F705" s="16" t="str">
        <f t="shared" si="84"/>
        <v>CASE005</v>
      </c>
      <c r="G705" s="17" t="str">
        <f t="shared" si="85"/>
        <v>Case for 8/64 PET Juice Bottles</v>
      </c>
      <c r="H705" s="18" t="str">
        <f t="shared" si="79"/>
        <v>CARTON</v>
      </c>
      <c r="I705" s="19">
        <v>1</v>
      </c>
      <c r="J705" s="20">
        <v>1</v>
      </c>
    </row>
    <row r="706" spans="1:10" ht="15.75" thickBot="1" x14ac:dyDescent="0.3">
      <c r="A706" t="s">
        <v>31</v>
      </c>
      <c r="B706" s="15" t="str">
        <f>"""Manzana NAV"",""MANZANA"",""99000772"",""44"","" "",""22"",""False"",""43"",""0.00000000000000000000"",""12"",""Case for 8/64 PET Juice Bottles"",""50220"",""False"",""29"","""",""50210"",""False"",""18"","""",""11"",""CASE005"",""2"",""30000"",""1"",""FJ0162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30000","1","FJ0162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6" s="15"/>
      <c r="D706" s="16" t="str">
        <f>"FJ0162"</f>
        <v>FJ0162</v>
      </c>
      <c r="E706" s="16">
        <v>30000</v>
      </c>
      <c r="F706" s="16" t="str">
        <f t="shared" si="84"/>
        <v>CASE005</v>
      </c>
      <c r="G706" s="17" t="str">
        <f t="shared" si="85"/>
        <v>Case for 8/64 PET Juice Bottles</v>
      </c>
      <c r="H706" s="18" t="str">
        <f t="shared" si="79"/>
        <v>CARTON</v>
      </c>
      <c r="I706" s="19">
        <v>1</v>
      </c>
      <c r="J706" s="20">
        <v>1</v>
      </c>
    </row>
    <row r="707" spans="1:10" ht="15.75" thickBot="1" x14ac:dyDescent="0.3">
      <c r="A707" t="s">
        <v>31</v>
      </c>
      <c r="B707" s="15" t="str">
        <f>"""Manzana NAV"",""MANZANA"",""99000772"",""44"","" "",""22"",""False"",""43"",""0.00000000000000000000"",""12"",""Case for 96/4 Sauce Cups"",""50220"",""False"",""29"","""",""50210"",""False"",""18"","""",""11"",""CASE012"",""2"",""5000"",""1"",""FS0098"",""14"",""1.00000000000000000000"",""45"",""1.00000000000"&amp;"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5000","1","FS0098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7" s="15"/>
      <c r="D707" s="16" t="str">
        <f>"FS0098"</f>
        <v>FS0098</v>
      </c>
      <c r="E707" s="16">
        <v>5000</v>
      </c>
      <c r="F707" s="16" t="str">
        <f t="shared" ref="F707:F712" si="86">"CASE012"</f>
        <v>CASE012</v>
      </c>
      <c r="G707" s="17" t="str">
        <f t="shared" ref="G707:G712" si="87">"Case for 96/4 Sauce Cups"</f>
        <v>Case for 96/4 Sauce Cups</v>
      </c>
      <c r="H707" s="18" t="str">
        <f t="shared" si="79"/>
        <v>CARTON</v>
      </c>
      <c r="I707" s="19">
        <v>1</v>
      </c>
      <c r="J707" s="20">
        <v>1</v>
      </c>
    </row>
    <row r="708" spans="1:10" ht="15.75" thickBot="1" x14ac:dyDescent="0.3">
      <c r="A708" t="s">
        <v>31</v>
      </c>
      <c r="B708" s="15" t="str">
        <f>"""Manzana NAV"",""MANZANA"",""99000772"",""44"","" "",""22"",""False"",""43"",""0.00000000000000000000"",""12"",""Case for 96/4 Sauce Cups"",""50220"",""False"",""29"","""",""50210"",""False"",""18"","""",""11"",""CASE012"",""2"",""20000"",""1"",""FS0099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0099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8" s="15"/>
      <c r="D708" s="16" t="str">
        <f>"FS0099"</f>
        <v>FS0099</v>
      </c>
      <c r="E708" s="16">
        <v>20000</v>
      </c>
      <c r="F708" s="16" t="str">
        <f t="shared" si="86"/>
        <v>CASE012</v>
      </c>
      <c r="G708" s="17" t="str">
        <f t="shared" si="87"/>
        <v>Case for 96/4 Sauce Cups</v>
      </c>
      <c r="H708" s="18" t="str">
        <f t="shared" si="79"/>
        <v>CARTON</v>
      </c>
      <c r="I708" s="19">
        <v>1</v>
      </c>
      <c r="J708" s="20">
        <v>1</v>
      </c>
    </row>
    <row r="709" spans="1:10" ht="15.75" thickBot="1" x14ac:dyDescent="0.3">
      <c r="A709" t="s">
        <v>31</v>
      </c>
      <c r="B709" s="15" t="str">
        <f>"""Manzana NAV"",""MANZANA"",""99000772"",""44"","" "",""22"",""False"",""43"",""0.00000000000000000000"",""12"",""Case for 96/4 Sauce Cups"",""50220"",""False"",""29"","""",""50210"",""False"",""18"","""",""11"",""CASE012"",""2"",""20000"",""1"",""FS0101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0101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9" s="15"/>
      <c r="D709" s="16" t="str">
        <f>"FS0101"</f>
        <v>FS0101</v>
      </c>
      <c r="E709" s="16">
        <v>20000</v>
      </c>
      <c r="F709" s="16" t="str">
        <f t="shared" si="86"/>
        <v>CASE012</v>
      </c>
      <c r="G709" s="17" t="str">
        <f t="shared" si="87"/>
        <v>Case for 96/4 Sauce Cups</v>
      </c>
      <c r="H709" s="18" t="str">
        <f t="shared" si="79"/>
        <v>CARTON</v>
      </c>
      <c r="I709" s="19">
        <v>1</v>
      </c>
      <c r="J709" s="20">
        <v>1</v>
      </c>
    </row>
    <row r="710" spans="1:10" ht="15.75" thickBot="1" x14ac:dyDescent="0.3">
      <c r="A710" t="s">
        <v>31</v>
      </c>
      <c r="B710" s="15" t="str">
        <f>"""Manzana NAV"",""MANZANA"",""99000772"",""44"","" "",""22"",""False"",""43"",""0.00000000000000000000"",""12"",""Case for 96/4 Sauce Cups"",""50220"",""False"",""29"","""",""50210"",""False"",""18"","""",""11"",""CASE012"",""2"",""20000"",""1"",""FS0132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0132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0" s="15"/>
      <c r="D710" s="16" t="str">
        <f>"FS0132"</f>
        <v>FS0132</v>
      </c>
      <c r="E710" s="16">
        <v>20000</v>
      </c>
      <c r="F710" s="16" t="str">
        <f t="shared" si="86"/>
        <v>CASE012</v>
      </c>
      <c r="G710" s="17" t="str">
        <f t="shared" si="87"/>
        <v>Case for 96/4 Sauce Cups</v>
      </c>
      <c r="H710" s="18" t="str">
        <f t="shared" si="79"/>
        <v>CARTON</v>
      </c>
      <c r="I710" s="19">
        <v>1</v>
      </c>
      <c r="J710" s="20">
        <v>1</v>
      </c>
    </row>
    <row r="711" spans="1:10" ht="15.75" thickBot="1" x14ac:dyDescent="0.3">
      <c r="A711" t="s">
        <v>31</v>
      </c>
      <c r="B711" s="15" t="str">
        <f>"""Manzana NAV"",""MANZANA"",""99000772"",""44"","" "",""22"",""False"",""43"",""0.00000000000000000000"",""12"",""Case for 96/4 Sauce Cups"",""50220"",""False"",""29"","""",""50210"",""False"",""18"","""",""11"",""CASE012"",""2"",""20000"",""1"",""FS0133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0133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1" s="15"/>
      <c r="D711" s="16" t="str">
        <f>"FS0133"</f>
        <v>FS0133</v>
      </c>
      <c r="E711" s="16">
        <v>20000</v>
      </c>
      <c r="F711" s="16" t="str">
        <f t="shared" si="86"/>
        <v>CASE012</v>
      </c>
      <c r="G711" s="17" t="str">
        <f t="shared" si="87"/>
        <v>Case for 96/4 Sauce Cups</v>
      </c>
      <c r="H711" s="18" t="str">
        <f t="shared" si="79"/>
        <v>CARTON</v>
      </c>
      <c r="I711" s="19">
        <v>1</v>
      </c>
      <c r="J711" s="20">
        <v>1</v>
      </c>
    </row>
    <row r="712" spans="1:10" ht="15.75" thickBot="1" x14ac:dyDescent="0.3">
      <c r="A712" t="s">
        <v>31</v>
      </c>
      <c r="B712" s="15" t="str">
        <f>"""Manzana NAV"",""MANZANA"",""99000772"",""44"","" "",""22"",""False"",""43"",""0.00000000000000000000"",""12"",""Case for 96/4 Sauce Cups"",""50220"",""False"",""29"","""",""50210"",""False"",""18"","""",""11"",""CASE012"",""2"",""30000"",""1"",""FS0130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30000","1","FS0130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2" s="15"/>
      <c r="D712" s="16" t="str">
        <f>"FS0130"</f>
        <v>FS0130</v>
      </c>
      <c r="E712" s="16">
        <v>30000</v>
      </c>
      <c r="F712" s="16" t="str">
        <f t="shared" si="86"/>
        <v>CASE012</v>
      </c>
      <c r="G712" s="17" t="str">
        <f t="shared" si="87"/>
        <v>Case for 96/4 Sauce Cups</v>
      </c>
      <c r="H712" s="18" t="str">
        <f t="shared" si="79"/>
        <v>CARTON</v>
      </c>
      <c r="I712" s="19">
        <v>1</v>
      </c>
      <c r="J712" s="20">
        <v>1</v>
      </c>
    </row>
    <row r="713" spans="1:10" ht="15.75" thickBot="1" x14ac:dyDescent="0.3">
      <c r="A713" t="s">
        <v>31</v>
      </c>
      <c r="B713" s="15" t="str">
        <f>"""Manzana NAV"",""MANZANA"",""99000772"",""44"","" "",""22"",""False"",""43"",""0.00000000000000000000"",""12"",""Case for F.n.EASY 12/6/4 Sauce Cups"",""50220"",""False"",""29"","""",""50210"",""False"",""18"","""",""11"",""Z-CASE014"",""2"",""2500"",""1"",""Z-FS0087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F.n.EASY 12/6/4 Sauce Cups","50220","False","29","","50210","False","18","","11","Z-CASE014","2","2500","1","Z-FS0087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3" s="15"/>
      <c r="D713" s="16" t="str">
        <f>"Z-FS0087"</f>
        <v>Z-FS0087</v>
      </c>
      <c r="E713" s="16">
        <v>2500</v>
      </c>
      <c r="F713" s="16" t="str">
        <f>"Z-CASE014"</f>
        <v>Z-CASE014</v>
      </c>
      <c r="G713" s="17" t="str">
        <f>"Case for F.n.EASY 12/6/4 Sauce Cups"</f>
        <v>Case for F.n.EASY 12/6/4 Sauce Cups</v>
      </c>
      <c r="H713" s="18" t="str">
        <f t="shared" ref="H713:H722" si="88">"CARTON"</f>
        <v>CARTON</v>
      </c>
      <c r="I713" s="19">
        <v>1</v>
      </c>
      <c r="J713" s="20">
        <v>1</v>
      </c>
    </row>
    <row r="714" spans="1:10" ht="15.75" thickBot="1" x14ac:dyDescent="0.3">
      <c r="A714" t="s">
        <v>31</v>
      </c>
      <c r="B714" s="15" t="str">
        <f>"""Manzana NAV"",""MANZANA"",""99000772"",""44"","" "",""22"",""False"",""43"",""0.00000000000000000000"",""12"",""Case for F.n.EASY 12/6/4 Sauce Cups"",""50220"",""False"",""29"","""",""50210"",""False"",""18"","""",""11"",""Z-CASE014"",""2"",""30000"",""1"",""Z-FS0088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F.n.EASY 12/6/4 Sauce Cups","50220","False","29","","50210","False","18","","11","Z-CASE014","2","30000","1","Z-FS0088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4" s="15"/>
      <c r="D714" s="16" t="str">
        <f>"Z-FS0088"</f>
        <v>Z-FS0088</v>
      </c>
      <c r="E714" s="16">
        <v>30000</v>
      </c>
      <c r="F714" s="16" t="str">
        <f>"Z-CASE014"</f>
        <v>Z-CASE014</v>
      </c>
      <c r="G714" s="17" t="str">
        <f>"Case for F.n.EASY 12/6/4 Sauce Cups"</f>
        <v>Case for F.n.EASY 12/6/4 Sauce Cups</v>
      </c>
      <c r="H714" s="18" t="str">
        <f t="shared" si="88"/>
        <v>CARTON</v>
      </c>
      <c r="I714" s="19">
        <v>1</v>
      </c>
      <c r="J714" s="20">
        <v>1</v>
      </c>
    </row>
    <row r="715" spans="1:10" ht="15.75" thickBot="1" x14ac:dyDescent="0.3">
      <c r="A715" t="s">
        <v>31</v>
      </c>
      <c r="B715" s="15" t="str">
        <f>"""Manzana NAV"",""MANZANA"",""99000772"",""44"","" "",""22"",""False"",""43"",""0.00000000000000000000"",""12"",""Case for Safeway 8/64 PET Juice Bottles"",""50220"",""False"",""29"","""",""50210"",""False"",""18"","""",""11"",""CASE015"",""2"",""10000"",""1"",""FJ0060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Safeway 8/64 PET Juice Bottles","50220","False","29","","50210","False","18","","11","CASE015","2","10000","1","FJ0060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5" s="15"/>
      <c r="D715" s="16" t="str">
        <f>"FJ0060"</f>
        <v>FJ0060</v>
      </c>
      <c r="E715" s="16">
        <v>10000</v>
      </c>
      <c r="F715" s="16" t="str">
        <f>"CASE015"</f>
        <v>CASE015</v>
      </c>
      <c r="G715" s="17" t="str">
        <f>"Case for Safeway 8/64 PET Juice Bottles"</f>
        <v>Case for Safeway 8/64 PET Juice Bottles</v>
      </c>
      <c r="H715" s="18" t="str">
        <f t="shared" si="88"/>
        <v>CARTON</v>
      </c>
      <c r="I715" s="19">
        <v>1</v>
      </c>
      <c r="J715" s="20">
        <v>1</v>
      </c>
    </row>
    <row r="716" spans="1:10" ht="15.75" thickBot="1" x14ac:dyDescent="0.3">
      <c r="A716" t="s">
        <v>31</v>
      </c>
      <c r="B716" s="15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0170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6" s="15"/>
      <c r="D716" s="16" t="str">
        <f>"FS0170"</f>
        <v>FS0170</v>
      </c>
      <c r="E716" s="16">
        <v>10000</v>
      </c>
      <c r="F716" s="16" t="str">
        <f>"CASE039"</f>
        <v>CASE039</v>
      </c>
      <c r="G716" s="17" t="str">
        <f>"Case for Spiral 48/4 Sauce Cups"</f>
        <v>Case for Spiral 48/4 Sauce Cups</v>
      </c>
      <c r="H716" s="18" t="str">
        <f t="shared" si="88"/>
        <v>CARTON</v>
      </c>
      <c r="I716" s="19">
        <v>1</v>
      </c>
      <c r="J716" s="20">
        <v>1</v>
      </c>
    </row>
    <row r="717" spans="1:10" ht="15.75" thickBot="1" x14ac:dyDescent="0.3">
      <c r="A717" t="s">
        <v>31</v>
      </c>
      <c r="B717" s="15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0171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7" s="15"/>
      <c r="D717" s="16" t="str">
        <f>"FS0171"</f>
        <v>FS0171</v>
      </c>
      <c r="E717" s="16">
        <v>10000</v>
      </c>
      <c r="F717" s="16" t="str">
        <f>"CASE039"</f>
        <v>CASE039</v>
      </c>
      <c r="G717" s="17" t="str">
        <f>"Case for Spiral 48/4 Sauce Cups"</f>
        <v>Case for Spiral 48/4 Sauce Cups</v>
      </c>
      <c r="H717" s="18" t="str">
        <f t="shared" si="88"/>
        <v>CARTON</v>
      </c>
      <c r="I717" s="19">
        <v>1</v>
      </c>
      <c r="J717" s="20">
        <v>1</v>
      </c>
    </row>
    <row r="718" spans="1:10" ht="15.75" thickBot="1" x14ac:dyDescent="0.3">
      <c r="A718" t="s">
        <v>31</v>
      </c>
      <c r="B718" s="15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0172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8" s="15"/>
      <c r="D718" s="16" t="str">
        <f>"FS0172"</f>
        <v>FS0172</v>
      </c>
      <c r="E718" s="16">
        <v>10000</v>
      </c>
      <c r="F718" s="16" t="str">
        <f>"CASE039"</f>
        <v>CASE039</v>
      </c>
      <c r="G718" s="17" t="str">
        <f>"Case for Spiral 48/4 Sauce Cups"</f>
        <v>Case for Spiral 48/4 Sauce Cups</v>
      </c>
      <c r="H718" s="18" t="str">
        <f t="shared" si="88"/>
        <v>CARTON</v>
      </c>
      <c r="I718" s="19">
        <v>1</v>
      </c>
      <c r="J718" s="20">
        <v>1</v>
      </c>
    </row>
    <row r="719" spans="1:10" ht="15.75" thickBot="1" x14ac:dyDescent="0.3">
      <c r="A719" t="s">
        <v>31</v>
      </c>
      <c r="B719" s="15" t="str">
        <f>"""Manzana NAV"",""MANZANA"",""99000772"",""44"","" "",""22"",""False"",""43"",""0.00000000000000000000"",""12"",""Case for SPIRAL 48/4 Sauce Cups"",""50220"",""False"",""29"","""",""50210"",""False"",""18"","""",""11"",""CASE039"",""2"",""5000"",""1"",""FS0184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5000","1","FS0184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9" s="15"/>
      <c r="D719" s="16" t="str">
        <f>"FS0184"</f>
        <v>FS0184</v>
      </c>
      <c r="E719" s="16">
        <v>5000</v>
      </c>
      <c r="F719" s="16" t="str">
        <f>"CASE039"</f>
        <v>CASE039</v>
      </c>
      <c r="G719" s="17" t="str">
        <f>"Case for SPIRAL 48/4 Sauce Cups"</f>
        <v>Case for SPIRAL 48/4 Sauce Cups</v>
      </c>
      <c r="H719" s="18" t="str">
        <f t="shared" si="88"/>
        <v>CARTON</v>
      </c>
      <c r="I719" s="19">
        <v>1</v>
      </c>
      <c r="J719" s="20">
        <v>1</v>
      </c>
    </row>
    <row r="720" spans="1:10" ht="15.75" thickBot="1" x14ac:dyDescent="0.3">
      <c r="A720" t="s">
        <v>31</v>
      </c>
      <c r="B720" s="15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20" s="15"/>
      <c r="D720" s="16" t="str">
        <f>"FS0173"</f>
        <v>FS0173</v>
      </c>
      <c r="E720" s="16">
        <v>10000</v>
      </c>
      <c r="F720" s="16" t="str">
        <f>"CASE039"</f>
        <v>CASE039</v>
      </c>
      <c r="G720" s="17" t="str">
        <f>"Case for SPIRAL 48/4 Sauce Cups"</f>
        <v>Case for SPIRAL 48/4 Sauce Cups</v>
      </c>
      <c r="H720" s="18" t="str">
        <f t="shared" si="88"/>
        <v>CARTON</v>
      </c>
      <c r="I720" s="19">
        <v>1</v>
      </c>
      <c r="J720" s="20">
        <v>1</v>
      </c>
    </row>
    <row r="721" spans="1:10" ht="15.75" thickBot="1" x14ac:dyDescent="0.3">
      <c r="A721" t="s">
        <v>31</v>
      </c>
      <c r="B721" s="15" t="str">
        <f>"""Manzana NAV"",""MANZANA"",""99000772"",""44"","" "",""22"",""False"",""43"",""0.00000000000000000000"",""12"",""Case for Whole Foods 12/6/4 Cups"",""50220"",""False"",""29"","""",""50210"",""False"",""18"","""",""11"",""CASE013"",""2"",""30000"",""1"",""FS0106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Whole Foods 12/6/4 Cups","50220","False","29","","50210","False","18","","11","CASE013","2","30000","1","FS0106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21" s="15"/>
      <c r="D721" s="16" t="str">
        <f>"FS0106"</f>
        <v>FS0106</v>
      </c>
      <c r="E721" s="16">
        <v>30000</v>
      </c>
      <c r="F721" s="16" t="str">
        <f>"CASE013"</f>
        <v>CASE013</v>
      </c>
      <c r="G721" s="17" t="str">
        <f>"Case for Whole Foods 12/6/4 Cups"</f>
        <v>Case for Whole Foods 12/6/4 Cups</v>
      </c>
      <c r="H721" s="18" t="str">
        <f t="shared" si="88"/>
        <v>CARTON</v>
      </c>
      <c r="I721" s="19">
        <v>1</v>
      </c>
      <c r="J721" s="20">
        <v>1</v>
      </c>
    </row>
    <row r="722" spans="1:10" ht="15.75" thickBot="1" x14ac:dyDescent="0.3">
      <c r="A722" t="s">
        <v>31</v>
      </c>
      <c r="B722" s="15" t="str">
        <f>"""Manzana NAV"",""MANZANA"",""99000772"",""44"","" "",""22"",""False"",""43"",""0.00000000000000000000"",""12"",""Case for Whole Foods 12/6/4 Cups"",""50220"",""False"",""29"","""",""50210"",""False"",""18"","""",""11"",""CASE013"",""2"",""30000"",""1"",""FS0107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Whole Foods 12/6/4 Cups","50220","False","29","","50210","False","18","","11","CASE013","2","30000","1","FS0107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22" s="15"/>
      <c r="D722" s="16" t="str">
        <f>"FS0107"</f>
        <v>FS0107</v>
      </c>
      <c r="E722" s="16">
        <v>30000</v>
      </c>
      <c r="F722" s="16" t="str">
        <f>"CASE013"</f>
        <v>CASE013</v>
      </c>
      <c r="G722" s="17" t="str">
        <f>"Case for Whole Foods 12/6/4 Cups"</f>
        <v>Case for Whole Foods 12/6/4 Cups</v>
      </c>
      <c r="H722" s="18" t="str">
        <f t="shared" si="88"/>
        <v>CARTON</v>
      </c>
      <c r="I722" s="19">
        <v>1</v>
      </c>
      <c r="J722" s="20">
        <v>1</v>
      </c>
    </row>
    <row r="723" spans="1:10" ht="15.75" thickBot="1" x14ac:dyDescent="0.3">
      <c r="A723" t="s">
        <v>31</v>
      </c>
      <c r="B723" s="15" t="str">
        <f>"""Manzana NAV"",""MANZANA"",""99000772"",""44"","" "",""22"",""False"",""43"",""0.00000000000000000000"",""12"",""Commercial AC Vinegar - BULK - 50 grain"",""50220"",""False"",""29"","""",""50210"",""False"",""18"","""",""11"",""FV0995"",""2"",""10000"",""1"",""FV0991"",""14"",""1.00000000000000000000"",""45"""&amp;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10000","1","FV0991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23" s="15"/>
      <c r="D723" s="16" t="str">
        <f>"FV0991"</f>
        <v>FV0991</v>
      </c>
      <c r="E723" s="16">
        <v>10000</v>
      </c>
      <c r="F723" s="16" t="str">
        <f>"FV0995"</f>
        <v>FV0995</v>
      </c>
      <c r="G723" s="17" t="str">
        <f>"Commercial AC Vinegar - BULK - 50 grain"</f>
        <v>Commercial AC Vinegar - BULK - 50 grain</v>
      </c>
      <c r="H723" s="18" t="str">
        <f t="shared" ref="H723:H735" si="89">"GAL"</f>
        <v>GAL</v>
      </c>
      <c r="I723" s="19">
        <v>1</v>
      </c>
      <c r="J723" s="20">
        <v>1</v>
      </c>
    </row>
    <row r="724" spans="1:10" ht="15.75" thickBot="1" x14ac:dyDescent="0.3">
      <c r="A724" t="s">
        <v>31</v>
      </c>
      <c r="B724" s="15" t="str">
        <f>"""Manzana NAV"",""MANZANA"",""99000772"",""44"","" "",""22"",""False"",""43"",""0.00000000000000000000"",""12"",""Commercial AC Vinegar - BULK - 50 grain"",""50220"",""False"",""29"","""",""50210"",""False"",""18"","""",""11"",""FV0995"",""2"",""30000"",""1"",""FV0993"",""14"",""55.00000000000000000000"",""45"&amp;"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30000","1","FV0993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24" s="15"/>
      <c r="D724" s="16" t="str">
        <f>"FV0993"</f>
        <v>FV0993</v>
      </c>
      <c r="E724" s="16">
        <v>30000</v>
      </c>
      <c r="F724" s="16" t="str">
        <f>"FV0995"</f>
        <v>FV0995</v>
      </c>
      <c r="G724" s="17" t="str">
        <f>"Commercial AC Vinegar - BULK - 50 grain"</f>
        <v>Commercial AC Vinegar - BULK - 50 grain</v>
      </c>
      <c r="H724" s="18" t="str">
        <f t="shared" si="89"/>
        <v>GAL</v>
      </c>
      <c r="I724" s="19">
        <v>55</v>
      </c>
      <c r="J724" s="20">
        <v>55</v>
      </c>
    </row>
    <row r="725" spans="1:10" ht="15.75" thickBot="1" x14ac:dyDescent="0.3">
      <c r="A725" t="s">
        <v>31</v>
      </c>
      <c r="B725" s="15" t="str">
        <f>"""Manzana NAV"",""MANZANA"",""99000772"",""44"","" "",""22"",""False"",""43"",""0.00000000000000000000"",""12"",""Commercial AC Vinegar - BULK - 50 grain"",""50220"",""False"",""29"","""",""50210"",""False"",""18"","""",""11"",""FV0995"",""2"",""30000"",""1"",""IV004"",""14"",""0.25000000000000000000"",""45"","&amp;"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30000","1","IV004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725" s="15"/>
      <c r="D725" s="16" t="str">
        <f>"IV004"</f>
        <v>IV004</v>
      </c>
      <c r="E725" s="16">
        <v>30000</v>
      </c>
      <c r="F725" s="16" t="str">
        <f>"FV0995"</f>
        <v>FV0995</v>
      </c>
      <c r="G725" s="17" t="str">
        <f>"Commercial AC Vinegar - BULK - 50 grain"</f>
        <v>Commercial AC Vinegar - BULK - 50 grain</v>
      </c>
      <c r="H725" s="18" t="str">
        <f t="shared" si="89"/>
        <v>GAL</v>
      </c>
      <c r="I725" s="19">
        <v>0.25</v>
      </c>
      <c r="J725" s="20">
        <v>0.25</v>
      </c>
    </row>
    <row r="726" spans="1:10" ht="15.75" thickBot="1" x14ac:dyDescent="0.3">
      <c r="A726" t="s">
        <v>31</v>
      </c>
      <c r="B726" s="15" t="str">
        <f>"""Manzana NAV"",""MANZANA"",""99000772"",""44"","" "",""22"",""False"",""43"",""0.00000000000000000000"",""12"",""Commercial AC Vinegar - BULK - 50 grain"",""50220"",""False"",""29"","""",""50210"",""False"",""18"","""",""11"",""FV0995"",""2"",""40000"",""1"",""IV002"",""14"",""0.12500000000000000000"",""45"","&amp;"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40000","1","IV002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726" s="15"/>
      <c r="D726" s="16" t="str">
        <f>"IV002"</f>
        <v>IV002</v>
      </c>
      <c r="E726" s="16">
        <v>40000</v>
      </c>
      <c r="F726" s="16" t="str">
        <f>"FV0995"</f>
        <v>FV0995</v>
      </c>
      <c r="G726" s="17" t="str">
        <f>"Commercial AC Vinegar - BULK - 50 grain"</f>
        <v>Commercial AC Vinegar - BULK - 50 grain</v>
      </c>
      <c r="H726" s="18" t="str">
        <f t="shared" si="89"/>
        <v>GAL</v>
      </c>
      <c r="I726" s="19">
        <v>0.125</v>
      </c>
      <c r="J726" s="20">
        <v>0.125</v>
      </c>
    </row>
    <row r="727" spans="1:10" ht="15.75" thickBot="1" x14ac:dyDescent="0.3">
      <c r="A727" t="s">
        <v>31</v>
      </c>
      <c r="B727" s="15" t="str">
        <f>"""Manzana NAV"",""MANZANA"",""99000772"",""44"","" "",""22"",""False"",""43"",""0.00000000000000000000"",""12"",""Commercial AC Vinegar - BULK 60 grain"",""50220"",""False"",""29"","""",""50210"",""False"",""18"","""",""11"",""FV0999"",""2"",""10000"",""1"",""FV0995"",""14"",""1.00000000000000000000"",""45"","""&amp;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60 grain","50220","False","29","","50210","False","18","","11","FV0999","2","10000","1","FV0995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27" s="15"/>
      <c r="D727" s="16" t="str">
        <f>"FV0995"</f>
        <v>FV0995</v>
      </c>
      <c r="E727" s="16">
        <v>10000</v>
      </c>
      <c r="F727" s="16" t="str">
        <f>"FV0999"</f>
        <v>FV0999</v>
      </c>
      <c r="G727" s="17" t="str">
        <f>"Commercial AC Vinegar - BULK 60 grain"</f>
        <v>Commercial AC Vinegar - BULK 60 grain</v>
      </c>
      <c r="H727" s="18" t="str">
        <f t="shared" si="89"/>
        <v>GAL</v>
      </c>
      <c r="I727" s="19">
        <v>1</v>
      </c>
      <c r="J727" s="20">
        <v>1</v>
      </c>
    </row>
    <row r="728" spans="1:10" ht="15.75" thickBot="1" x14ac:dyDescent="0.3">
      <c r="A728" t="s">
        <v>31</v>
      </c>
      <c r="B728" s="15" t="str">
        <f>"""Manzana NAV"",""MANZANA"",""99000772"",""44"","" "",""22"",""False"",""43"",""0.00000000000000000000"",""12"",""Commercial AC Vinegar - BULK 60 grain"",""50220"",""False"",""29"","""",""50210"",""False"",""18"","""",""11"",""FV0999"",""2"",""30000"",""1"",""FV0997"",""14"",""55.00000000000000000000"",""45"","&amp;"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60 grain","50220","False","29","","50210","False","18","","11","FV0999","2","30000","1","FV0997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28" s="15"/>
      <c r="D728" s="16" t="str">
        <f>"FV0997"</f>
        <v>FV0997</v>
      </c>
      <c r="E728" s="16">
        <v>30000</v>
      </c>
      <c r="F728" s="16" t="str">
        <f>"FV0999"</f>
        <v>FV0999</v>
      </c>
      <c r="G728" s="17" t="str">
        <f>"Commercial AC Vinegar - BULK 60 grain"</f>
        <v>Commercial AC Vinegar - BULK 60 grain</v>
      </c>
      <c r="H728" s="18" t="str">
        <f t="shared" si="89"/>
        <v>GAL</v>
      </c>
      <c r="I728" s="19">
        <v>55</v>
      </c>
      <c r="J728" s="20">
        <v>55</v>
      </c>
    </row>
    <row r="729" spans="1:10" ht="15.75" thickBot="1" x14ac:dyDescent="0.3">
      <c r="A729" t="s">
        <v>31</v>
      </c>
      <c r="B729" s="15" t="str">
        <f>"""Manzana NAV"",""MANZANA"",""99000772"",""44"","" "",""22"",""False"",""43"",""0.00000000000000000000"",""12"",""Commercial AC Vinegar - BULK Filtered - 50 grain"",""50220"",""False"",""29"","""",""50210"",""False"",""18"","""",""11"",""FV0991"",""2"",""30000"",""1"",""IV005"",""14"",""0.125000000000000000"&amp;"00"",""45"",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Filtered - 50 grain","50220","False","29","","50210","False","18","","11","FV0991","2","30000","1","IV005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729" s="15"/>
      <c r="D729" s="16" t="str">
        <f>"IV005"</f>
        <v>IV005</v>
      </c>
      <c r="E729" s="16">
        <v>30000</v>
      </c>
      <c r="F729" s="16" t="str">
        <f>"FV0991"</f>
        <v>FV0991</v>
      </c>
      <c r="G729" s="17" t="str">
        <f>"Commercial AC Vinegar - BULK Filtered - 50 grain"</f>
        <v>Commercial AC Vinegar - BULK Filtered - 50 grain</v>
      </c>
      <c r="H729" s="18" t="str">
        <f t="shared" si="89"/>
        <v>GAL</v>
      </c>
      <c r="I729" s="19">
        <v>0.125</v>
      </c>
      <c r="J729" s="20">
        <v>0.125</v>
      </c>
    </row>
    <row r="730" spans="1:10" ht="15.75" thickBot="1" x14ac:dyDescent="0.3">
      <c r="A730" t="s">
        <v>31</v>
      </c>
      <c r="B730" s="15" t="str">
        <f>"""Manzana NAV"",""MANZANA"",""99000772"",""44"","" "",""22"",""False"",""43"",""0.00000000000000000000"",""12"",""Commercial AC Vinegar - BULK Filtered - 50 grain"",""50220"",""False"",""29"","""",""50210"",""False"",""18"","""",""11"",""FV0991"",""2"",""30000"",""1"",""IV015"",""14"",""0.250000000000000000"&amp;"00"",""45"",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Filtered - 50 grain","50220","False","29","","50210","False","18","","11","FV0991","2","30000","1","IV015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730" s="15"/>
      <c r="D730" s="16" t="str">
        <f>"IV015"</f>
        <v>IV015</v>
      </c>
      <c r="E730" s="16">
        <v>30000</v>
      </c>
      <c r="F730" s="16" t="str">
        <f>"FV0991"</f>
        <v>FV0991</v>
      </c>
      <c r="G730" s="17" t="str">
        <f>"Commercial AC Vinegar - BULK Filtered - 50 grain"</f>
        <v>Commercial AC Vinegar - BULK Filtered - 50 grain</v>
      </c>
      <c r="H730" s="18" t="str">
        <f t="shared" si="89"/>
        <v>GAL</v>
      </c>
      <c r="I730" s="19">
        <v>0.25</v>
      </c>
      <c r="J730" s="20">
        <v>0.25</v>
      </c>
    </row>
    <row r="731" spans="1:10" ht="15.75" thickBot="1" x14ac:dyDescent="0.3">
      <c r="A731" t="s">
        <v>31</v>
      </c>
      <c r="B731" s="15" t="str">
        <f>"""Manzana NAV"",""MANZANA"",""99000772"",""44"","" "",""22"",""False"",""43"",""0.00000000000000000000"",""12"",""Commercial AC Vinegar STOCK - in TANK"",""50220"",""False"",""29"","""",""50210"",""False"",""18"","""",""11"",""IV897"",""2"",""10000"",""1"",""FV0999"",""14"",""1.00000000000000000000"",""45"",""1"&amp;"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STOCK - in TANK","50220","False","29","","50210","False","18","","11","IV897","2","10000","1","FV0999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31" s="15"/>
      <c r="D731" s="16" t="str">
        <f>"FV0999"</f>
        <v>FV0999</v>
      </c>
      <c r="E731" s="16">
        <v>10000</v>
      </c>
      <c r="F731" s="16" t="str">
        <f>"IV897"</f>
        <v>IV897</v>
      </c>
      <c r="G731" s="17" t="str">
        <f>"Commercial AC Vinegar STOCK - in TANK"</f>
        <v>Commercial AC Vinegar STOCK - in TANK</v>
      </c>
      <c r="H731" s="18" t="str">
        <f t="shared" si="89"/>
        <v>GAL</v>
      </c>
      <c r="I731" s="19">
        <v>1</v>
      </c>
      <c r="J731" s="20">
        <v>1</v>
      </c>
    </row>
    <row r="732" spans="1:10" ht="15.75" thickBot="1" x14ac:dyDescent="0.3">
      <c r="A732" t="s">
        <v>31</v>
      </c>
      <c r="B732" s="15" t="str">
        <f>"""Manzana NAV"",""MANZANA"",""99000772"",""44"","" "",""22"",""False"",""43"",""0.00000000000000000000"",""12"",""Commercial GRAV AC Vinegar - BULK - 50 grain"",""50220"",""False"",""29"","""",""50210"",""False"",""18"","""",""11"",""FV0994"",""2"",""10000"",""1"",""FV0992"",""14"",""55.00000000000000000000"&amp;"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AC Vinegar - BULK - 50 grain","50220","False","29","","50210","False","18","","11","FV0994","2","10000","1","FV0992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32" s="15"/>
      <c r="D732" s="16" t="str">
        <f>"FV0992"</f>
        <v>FV0992</v>
      </c>
      <c r="E732" s="16">
        <v>10000</v>
      </c>
      <c r="F732" s="16" t="str">
        <f>"FV0994"</f>
        <v>FV0994</v>
      </c>
      <c r="G732" s="17" t="str">
        <f>"Commercial GRAV AC Vinegar - BULK - 50 grain"</f>
        <v>Commercial GRAV AC Vinegar - BULK - 50 grain</v>
      </c>
      <c r="H732" s="18" t="str">
        <f t="shared" si="89"/>
        <v>GAL</v>
      </c>
      <c r="I732" s="19">
        <v>55</v>
      </c>
      <c r="J732" s="20">
        <v>55</v>
      </c>
    </row>
    <row r="733" spans="1:10" ht="15.75" thickBot="1" x14ac:dyDescent="0.3">
      <c r="A733" t="s">
        <v>31</v>
      </c>
      <c r="B733" s="15" t="str">
        <f>"""Manzana NAV"",""MANZANA"",""99000772"",""44"","" "",""22"",""False"",""43"",""0.00000000000000000000"",""12"",""Commercial GRAV AC Vinegar - BULK - 60 grain"",""50220"",""False"",""29"","""",""50210"",""False"",""18"","""",""11"",""FV0998"",""2"",""10000"",""1"",""FV0994"",""14"",""1.00000000000000000000"""&amp;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AC Vinegar - BULK - 60 grain","50220","False","29","","50210","False","18","","11","FV0998","2","10000","1","FV0994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33" s="15"/>
      <c r="D733" s="16" t="str">
        <f>"FV0994"</f>
        <v>FV0994</v>
      </c>
      <c r="E733" s="16">
        <v>10000</v>
      </c>
      <c r="F733" s="16" t="str">
        <f>"FV0998"</f>
        <v>FV0998</v>
      </c>
      <c r="G733" s="17" t="str">
        <f>"Commercial GRAV AC Vinegar - BULK - 60 grain"</f>
        <v>Commercial GRAV AC Vinegar - BULK - 60 grain</v>
      </c>
      <c r="H733" s="18" t="str">
        <f t="shared" si="89"/>
        <v>GAL</v>
      </c>
      <c r="I733" s="19">
        <v>1</v>
      </c>
      <c r="J733" s="20">
        <v>1</v>
      </c>
    </row>
    <row r="734" spans="1:10" ht="15.75" thickBot="1" x14ac:dyDescent="0.3">
      <c r="A734" t="s">
        <v>31</v>
      </c>
      <c r="B734" s="15" t="str">
        <f>"""Manzana NAV"",""MANZANA"",""99000772"",""44"","" "",""22"",""False"",""43"",""0.00000000000000000000"",""12"",""Commercial GRAV AC Vinegar - BULK - 60 grain"",""50220"",""False"",""29"","""",""50210"",""False"",""18"","""",""11"",""FV0998"",""2"",""30000"",""1"",""FV0996"",""14"",""55.00000000000000000000"&amp;"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AC Vinegar - BULK - 60 grain","50220","False","29","","50210","False","18","","11","FV0998","2","30000","1","FV0996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34" s="15"/>
      <c r="D734" s="16" t="str">
        <f>"FV0996"</f>
        <v>FV0996</v>
      </c>
      <c r="E734" s="16">
        <v>30000</v>
      </c>
      <c r="F734" s="16" t="str">
        <f>"FV0998"</f>
        <v>FV0998</v>
      </c>
      <c r="G734" s="17" t="str">
        <f>"Commercial GRAV AC Vinegar - BULK - 60 grain"</f>
        <v>Commercial GRAV AC Vinegar - BULK - 60 grain</v>
      </c>
      <c r="H734" s="18" t="str">
        <f t="shared" si="89"/>
        <v>GAL</v>
      </c>
      <c r="I734" s="19">
        <v>55</v>
      </c>
      <c r="J734" s="20">
        <v>55</v>
      </c>
    </row>
    <row r="735" spans="1:10" ht="15.75" thickBot="1" x14ac:dyDescent="0.3">
      <c r="A735" t="s">
        <v>31</v>
      </c>
      <c r="B735" s="15" t="str">
        <f>"""Manzana NAV"",""MANZANA"",""99000772"",""44"","" "",""22"",""False"",""43"",""0.00000000000000000000"",""12"",""Commercial GRAV Vinegar STOCK - in TANK"",""50220"",""False"",""29"","""",""50210"",""False"",""18"","""",""11"",""IV896"",""2"",""10000"",""1"",""FV0998"",""14"",""1.00000000000000000000"",""45"","&amp;"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Vinegar STOCK - in TANK","50220","False","29","","50210","False","18","","11","IV896","2","10000","1","FV0998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35" s="15"/>
      <c r="D735" s="16" t="str">
        <f>"FV0998"</f>
        <v>FV0998</v>
      </c>
      <c r="E735" s="16">
        <v>10000</v>
      </c>
      <c r="F735" s="16" t="str">
        <f>"IV896"</f>
        <v>IV896</v>
      </c>
      <c r="G735" s="17" t="str">
        <f>"Commercial GRAV Vinegar STOCK - in TANK"</f>
        <v>Commercial GRAV Vinegar STOCK - in TANK</v>
      </c>
      <c r="H735" s="18" t="str">
        <f t="shared" si="89"/>
        <v>GAL</v>
      </c>
      <c r="I735" s="19">
        <v>1</v>
      </c>
      <c r="J735" s="20">
        <v>1</v>
      </c>
    </row>
    <row r="736" spans="1:10" ht="15.75" thickBot="1" x14ac:dyDescent="0.3">
      <c r="A736" t="s">
        <v>31</v>
      </c>
      <c r="B736" s="15" t="str">
        <f>"""Manzana NAV"",""MANZANA"",""99000772"",""44"","" "",""22"",""False"",""43"",""0.00000000000000000000"",""12"",""Conv Blend Apple Mix for Pressing Juice"",""50220"",""False"",""29"","""",""50210"",""False"",""18"","""",""11"",""AMPJ01"",""2"",""10000"",""1"",""FJ0990"",""14"",""11.00000000000000000000"",""45"&amp;"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Pressing Juice","50220","False","29","","50210","False","18","","11","AMPJ01","2","10000","1","FJ0990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36" s="15"/>
      <c r="D736" s="16" t="str">
        <f>"FJ0990"</f>
        <v>FJ0990</v>
      </c>
      <c r="E736" s="16">
        <v>10000</v>
      </c>
      <c r="F736" s="16" t="str">
        <f>"AMPJ01"</f>
        <v>AMPJ01</v>
      </c>
      <c r="G736" s="17" t="str">
        <f>"Conv Blend Apple Mix for Pressing Juice"</f>
        <v>Conv Blend Apple Mix for Pressing Juice</v>
      </c>
      <c r="H736" s="18" t="str">
        <f t="shared" ref="H736:H799" si="90">"LBS"</f>
        <v>LBS</v>
      </c>
      <c r="I736" s="19">
        <v>11</v>
      </c>
      <c r="J736" s="20">
        <v>11</v>
      </c>
    </row>
    <row r="737" spans="1:10" ht="15.75" thickBot="1" x14ac:dyDescent="0.3">
      <c r="A737" t="s">
        <v>31</v>
      </c>
      <c r="B737" s="15" t="str">
        <f>"""Manzana NAV"",""MANZANA"",""99000772"",""44"","" "",""22"",""False"",""43"",""0.00000000000000000000"",""12"",""Conv Blend Apple Mix for Pressing Vinegar"",""50220"",""False"",""29"","""",""50210"",""False"",""18"","""",""11"",""AMPV00"",""2"",""10000"",""1"",""IV897"",""14"",""11.00000000000000000000"",""4"&amp;"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Pressing Vinegar","50220","False","29","","50210","False","18","","11","AMPV00","2","10000","1","IV897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37" s="15"/>
      <c r="D737" s="16" t="str">
        <f>"IV897"</f>
        <v>IV897</v>
      </c>
      <c r="E737" s="16">
        <v>10000</v>
      </c>
      <c r="F737" s="16" t="str">
        <f>"AMPV00"</f>
        <v>AMPV00</v>
      </c>
      <c r="G737" s="17" t="str">
        <f>"Conv Blend Apple Mix for Pressing Vinegar"</f>
        <v>Conv Blend Apple Mix for Pressing Vinegar</v>
      </c>
      <c r="H737" s="18" t="str">
        <f t="shared" si="90"/>
        <v>LBS</v>
      </c>
      <c r="I737" s="19">
        <v>11</v>
      </c>
      <c r="J737" s="20">
        <v>11</v>
      </c>
    </row>
    <row r="738" spans="1:10" ht="15.75" thickBot="1" x14ac:dyDescent="0.3">
      <c r="A738" t="s">
        <v>31</v>
      </c>
      <c r="B738" s="15" t="str">
        <f>"""Manzana NAV"",""MANZANA"",""99000772"",""44"","" "",""22"",""False"",""43"",""0.00000000000000000000"",""12"",""Conv Blend Apple Mix for Sauce"",""50220"",""False"",""29"","""",""50210"",""False"",""18"","""",""11"",""AMS01"",""2"",""10000"",""1"",""ABL04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BL04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38" s="15"/>
      <c r="D738" s="16" t="str">
        <f>"ABL04"</f>
        <v>ABL04</v>
      </c>
      <c r="E738" s="16">
        <v>10000</v>
      </c>
      <c r="F738" s="16" t="str">
        <f>"AMS01"</f>
        <v>AMS01</v>
      </c>
      <c r="G738" s="17" t="str">
        <f>"Conv Blend Apple Mix for Sauce"</f>
        <v>Conv Blend Apple Mix for Sauce</v>
      </c>
      <c r="H738" s="18" t="str">
        <f t="shared" si="90"/>
        <v>LBS</v>
      </c>
      <c r="I738" s="19">
        <v>1</v>
      </c>
      <c r="J738" s="20">
        <v>1</v>
      </c>
    </row>
    <row r="739" spans="1:10" ht="15.75" thickBot="1" x14ac:dyDescent="0.3">
      <c r="A739" t="s">
        <v>31</v>
      </c>
      <c r="B739" s="15" t="str">
        <f>"""Manzana NAV"",""MANZANA"",""99000772"",""44"","" "",""22"",""False"",""43"",""0.00000000000000000000"",""12"",""Conv Blend Apple Mix for Sauce"",""50220"",""False"",""29"","""",""50210"",""False"",""18"","""",""11"",""AMS01"",""2"",""10000"",""1"",""ABL05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BL05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39" s="15"/>
      <c r="D739" s="16" t="str">
        <f>"ABL05"</f>
        <v>ABL05</v>
      </c>
      <c r="E739" s="16">
        <v>10000</v>
      </c>
      <c r="F739" s="16" t="str">
        <f>"AMS01"</f>
        <v>AMS01</v>
      </c>
      <c r="G739" s="17" t="str">
        <f>"Conv Blend Apple Mix for Sauce"</f>
        <v>Conv Blend Apple Mix for Sauce</v>
      </c>
      <c r="H739" s="18" t="str">
        <f t="shared" si="90"/>
        <v>LBS</v>
      </c>
      <c r="I739" s="19">
        <v>1</v>
      </c>
      <c r="J739" s="20">
        <v>1</v>
      </c>
    </row>
    <row r="740" spans="1:10" ht="15.75" thickBot="1" x14ac:dyDescent="0.3">
      <c r="A740" t="s">
        <v>31</v>
      </c>
      <c r="B740" s="15" t="str">
        <f>"""Manzana NAV"",""MANZANA"",""99000772"",""44"","" "",""22"",""False"",""43"",""0.00000000000000000000"",""12"",""Conv Blend Apple Mix for Sauce"",""50220"",""False"",""29"","""",""50210"",""False"",""18"","""",""11"",""AMS01"",""2"",""10000"",""1"",""ABL06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BL06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40" s="15"/>
      <c r="D740" s="16" t="str">
        <f>"ABL06"</f>
        <v>ABL06</v>
      </c>
      <c r="E740" s="16">
        <v>10000</v>
      </c>
      <c r="F740" s="16" t="str">
        <f>"AMS01"</f>
        <v>AMS01</v>
      </c>
      <c r="G740" s="17" t="str">
        <f>"Conv Blend Apple Mix for Sauce"</f>
        <v>Conv Blend Apple Mix for Sauce</v>
      </c>
      <c r="H740" s="18" t="str">
        <f t="shared" si="90"/>
        <v>LBS</v>
      </c>
      <c r="I740" s="19">
        <v>1</v>
      </c>
      <c r="J740" s="20">
        <v>1</v>
      </c>
    </row>
    <row r="741" spans="1:10" ht="15.75" thickBot="1" x14ac:dyDescent="0.3">
      <c r="A741" t="s">
        <v>31</v>
      </c>
      <c r="B741" s="15" t="str">
        <f>"""Manzana NAV"",""MANZANA"",""99000772"",""44"","" "",""22"",""False"",""43"",""0.00000000000000000000"",""12"",""Conv Blend Apple Mix for Sauce"",""50220"",""False"",""29"","""",""50210"",""False"",""18"","""",""11"",""AMS01"",""2"",""10000"",""1"",""APU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PU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41" s="15"/>
      <c r="D741" s="16" t="str">
        <f>"APU01"</f>
        <v>APU01</v>
      </c>
      <c r="E741" s="16">
        <v>10000</v>
      </c>
      <c r="F741" s="16" t="str">
        <f>"AMS01"</f>
        <v>AMS01</v>
      </c>
      <c r="G741" s="17" t="str">
        <f>"Conv Blend Apple Mix for Sauce"</f>
        <v>Conv Blend Apple Mix for Sauce</v>
      </c>
      <c r="H741" s="18" t="str">
        <f t="shared" si="90"/>
        <v>LBS</v>
      </c>
      <c r="I741" s="19">
        <v>1</v>
      </c>
      <c r="J741" s="20">
        <v>1</v>
      </c>
    </row>
    <row r="742" spans="1:10" ht="15.75" thickBot="1" x14ac:dyDescent="0.3">
      <c r="A742" t="s">
        <v>31</v>
      </c>
      <c r="B742" s="15" t="str">
        <f>"""Manzana NAV"",""MANZANA"",""99000772"",""44"","" "",""22"",""False"",""43"",""0.00000000000000000000"",""12"",""Conv Blend Apple Puree"",""50220"",""False"",""29"","""",""50210"",""True"",""18"","""",""11"",""APU01"",""2"",""10000"",""1"",""ISC00"",""14"",""1.00000000000000000000"",""45"",""1.0000000000000000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10000","1","ISC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42" s="15"/>
      <c r="D742" s="16" t="str">
        <f>"ISC00"</f>
        <v>ISC00</v>
      </c>
      <c r="E742" s="16">
        <v>10000</v>
      </c>
      <c r="F742" s="16" t="str">
        <f>"APU01"</f>
        <v>APU01</v>
      </c>
      <c r="G742" s="17" t="str">
        <f>"Conv Blend Apple Puree"</f>
        <v>Conv Blend Apple Puree</v>
      </c>
      <c r="H742" s="18" t="str">
        <f t="shared" si="90"/>
        <v>LBS</v>
      </c>
      <c r="I742" s="19">
        <v>1</v>
      </c>
      <c r="J742" s="20">
        <v>1</v>
      </c>
    </row>
    <row r="743" spans="1:10" ht="15.75" thickBot="1" x14ac:dyDescent="0.3">
      <c r="A743" t="s">
        <v>31</v>
      </c>
      <c r="B743" s="15" t="str">
        <f>"""Manzana NAV"",""MANZANA"",""99000772"",""44"","" "",""22"",""False"",""43"",""0.00000000000000000000"",""12"",""Conv Blend Apple Puree"",""50220"",""False"",""29"","""",""50210"",""True"",""18"","""",""11"",""APU01"",""2"",""40000"",""1"",""ISC18"",""14"",""0.92360000000000000000"",""45"",""0.9236000000000000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40000","1","ISC18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743" s="15"/>
      <c r="D743" s="16" t="str">
        <f>"ISC18"</f>
        <v>ISC18</v>
      </c>
      <c r="E743" s="16">
        <v>40000</v>
      </c>
      <c r="F743" s="16" t="str">
        <f>"APU01"</f>
        <v>APU01</v>
      </c>
      <c r="G743" s="17" t="str">
        <f>"Conv Blend Apple Puree"</f>
        <v>Conv Blend Apple Puree</v>
      </c>
      <c r="H743" s="18" t="str">
        <f t="shared" si="90"/>
        <v>LBS</v>
      </c>
      <c r="I743" s="19">
        <v>0.92359999999999998</v>
      </c>
      <c r="J743" s="20">
        <v>0.92359999999999998</v>
      </c>
    </row>
    <row r="744" spans="1:10" ht="15.75" thickBot="1" x14ac:dyDescent="0.3">
      <c r="A744" t="s">
        <v>31</v>
      </c>
      <c r="B744" s="15" t="str">
        <f>"""Manzana NAV"",""MANZANA"",""99000772"",""44"","" "",""22"",""False"",""43"",""0.00000000000000000000"",""12"",""Conv Blend Apple Puree"",""50220"",""False"",""29"","""",""50210"",""True"",""18"","""",""11"",""APU01"",""2"",""50000"",""1"",""ISC04"",""14"",""0.89050000000000000000"",""45"",""0.8905000000000000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50000","1","ISC04","14","0.89050000000000000000","45","0.89050000000000000000","19","","20","0.00000000000000000000","50000","0.00000000000000000000","50230","False","28","","10","Item","13","LBS","21","","3","","42","0.00000000000000000000","50200","False","41","0.00000000000000000000"</v>
      </c>
      <c r="C744" s="15"/>
      <c r="D744" s="16" t="str">
        <f>"ISC04"</f>
        <v>ISC04</v>
      </c>
      <c r="E744" s="16">
        <v>50000</v>
      </c>
      <c r="F744" s="16" t="str">
        <f>"APU01"</f>
        <v>APU01</v>
      </c>
      <c r="G744" s="17" t="str">
        <f>"Conv Blend Apple Puree"</f>
        <v>Conv Blend Apple Puree</v>
      </c>
      <c r="H744" s="18" t="str">
        <f t="shared" si="90"/>
        <v>LBS</v>
      </c>
      <c r="I744" s="19">
        <v>0.89049999999999996</v>
      </c>
      <c r="J744" s="20">
        <v>0.89049999999999996</v>
      </c>
    </row>
    <row r="745" spans="1:10" ht="15.75" thickBot="1" x14ac:dyDescent="0.3">
      <c r="A745" t="s">
        <v>31</v>
      </c>
      <c r="B745" s="15" t="str">
        <f>"""Manzana NAV"",""MANZANA"",""99000772"",""44"","" "",""22"",""False"",""43"",""0.00000000000000000000"",""12"",""Conv Blend Apple Puree"",""50220"",""False"",""29"","""",""50210"",""True"",""18"","""",""11"",""APU01"",""2"",""60000"",""1"",""ISC02"",""14"",""0.85800000000000000000"",""45"",""0.8580000000000000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60000","1","ISC02","14","0.85800000000000000000","45","0.85800000000000000000","19","","20","0.00000000000000000000","50000","0.00000000000000000000","50230","False","28","","10","Item","13","LBS","21","","3","","42","0.00000000000000000000","50200","False","41","0.00000000000000000000"</v>
      </c>
      <c r="C745" s="15"/>
      <c r="D745" s="16" t="str">
        <f>"ISC02"</f>
        <v>ISC02</v>
      </c>
      <c r="E745" s="16">
        <v>60000</v>
      </c>
      <c r="F745" s="16" t="str">
        <f>"APU01"</f>
        <v>APU01</v>
      </c>
      <c r="G745" s="17" t="str">
        <f>"Conv Blend Apple Puree"</f>
        <v>Conv Blend Apple Puree</v>
      </c>
      <c r="H745" s="18" t="str">
        <f t="shared" si="90"/>
        <v>LBS</v>
      </c>
      <c r="I745" s="19">
        <v>0.85799999999999998</v>
      </c>
      <c r="J745" s="20">
        <v>0.85799999999999998</v>
      </c>
    </row>
    <row r="746" spans="1:10" ht="15.75" thickBot="1" x14ac:dyDescent="0.3">
      <c r="A746" t="s">
        <v>31</v>
      </c>
      <c r="B746" s="15" t="str">
        <f>"""Manzana NAV"",""MANZANA"",""99000772"",""44"","" "",""22"",""False"",""43"",""0.00000000000000000000"",""12"",""Conv Blend Apple Puree"",""50220"",""False"",""29"","""",""50210"",""True"",""18"","""",""11"",""APU01"",""2"",""70000"",""1"",""ISC03"",""14"",""0.84330000000000000000"",""45"",""0.8433000000000000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70000","1","ISC03","14","0.84330000000000000000","45","0.84330000000000000000","19","","20","0.00000000000000000000","50000","0.00000000000000000000","50230","False","28","","10","Item","13","LBS","21","","3","","42","0.00000000000000000000","50200","False","41","0.00000000000000000000"</v>
      </c>
      <c r="C746" s="15"/>
      <c r="D746" s="16" t="str">
        <f>"ISC03"</f>
        <v>ISC03</v>
      </c>
      <c r="E746" s="16">
        <v>70000</v>
      </c>
      <c r="F746" s="16" t="str">
        <f>"APU01"</f>
        <v>APU01</v>
      </c>
      <c r="G746" s="17" t="str">
        <f>"Conv Blend Apple Puree"</f>
        <v>Conv Blend Apple Puree</v>
      </c>
      <c r="H746" s="18" t="str">
        <f t="shared" si="90"/>
        <v>LBS</v>
      </c>
      <c r="I746" s="19">
        <v>0.84330000000000005</v>
      </c>
      <c r="J746" s="20">
        <v>0.84330000000000005</v>
      </c>
    </row>
    <row r="747" spans="1:10" ht="15.75" thickBot="1" x14ac:dyDescent="0.3">
      <c r="A747" t="s">
        <v>31</v>
      </c>
      <c r="B747" s="15" t="str">
        <f>"""Manzana NAV"",""MANZANA"",""99000772"",""44"","" "",""22"",""False"",""43"",""0.00000000000000000000"",""12"",""Conv Blend Apples - &lt;2.5"""" - HP "",""50220"",""False"",""29"","""",""50210"",""False"",""18"","""",""11"",""ABL01-B"",""2"",""50000"",""1"",""AMS01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- HP ","50220","False","29","","50210","False","18","","11","ABL01-B","2","50000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47" s="15"/>
      <c r="D747" s="16" t="str">
        <f>"AMS01"</f>
        <v>AMS01</v>
      </c>
      <c r="E747" s="16">
        <v>50000</v>
      </c>
      <c r="F747" s="16" t="str">
        <f>"ABL01-B"</f>
        <v>ABL01-B</v>
      </c>
      <c r="G747" s="17" t="str">
        <f>"Conv Blend Apples - &lt;2.5"" - HP "</f>
        <v xml:space="preserve">Conv Blend Apples - &lt;2.5" - HP </v>
      </c>
      <c r="H747" s="18" t="str">
        <f t="shared" si="90"/>
        <v>LBS</v>
      </c>
      <c r="I747" s="19">
        <v>1</v>
      </c>
      <c r="J747" s="20">
        <v>1</v>
      </c>
    </row>
    <row r="748" spans="1:10" ht="15.75" thickBot="1" x14ac:dyDescent="0.3">
      <c r="A748" t="s">
        <v>31</v>
      </c>
      <c r="B748" s="15" t="str">
        <f>"""Manzana NAV"",""MANZANA"",""99000772"",""44"","" "",""22"",""False"",""43"",""0.00000000000000000000"",""12"",""Conv Blend Apples - &lt;2.5"""" - HP "",""50220"",""False"",""29"","""",""50210"",""False"",""18"","""",""11"",""ABL01-B"",""2"",""80000"",""1"",""AMPJ01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- HP ","50220","False","29","","50210","False","18","","11","ABL01-B","2","80000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48" s="15"/>
      <c r="D748" s="16" t="str">
        <f>"AMPJ01"</f>
        <v>AMPJ01</v>
      </c>
      <c r="E748" s="16">
        <v>80000</v>
      </c>
      <c r="F748" s="16" t="str">
        <f>"ABL01-B"</f>
        <v>ABL01-B</v>
      </c>
      <c r="G748" s="17" t="str">
        <f>"Conv Blend Apples - &lt;2.5"" - HP "</f>
        <v xml:space="preserve">Conv Blend Apples - &lt;2.5" - HP </v>
      </c>
      <c r="H748" s="18" t="str">
        <f t="shared" si="90"/>
        <v>LBS</v>
      </c>
      <c r="I748" s="19">
        <v>1</v>
      </c>
      <c r="J748" s="20">
        <v>1</v>
      </c>
    </row>
    <row r="749" spans="1:10" ht="15.75" thickBot="1" x14ac:dyDescent="0.3">
      <c r="A749" t="s">
        <v>31</v>
      </c>
      <c r="B749" s="15" t="str">
        <f>"""Manzana NAV"",""MANZANA"",""99000772"",""44"","" "",""22"",""False"",""43"",""0.00000000000000000000"",""12"",""Conv Blend Apples - &lt;2.5"""" - HP "",""50220"",""False"",""29"","""",""50210"",""False"",""18"","""",""11"",""ABL01-B"",""2"",""80000"",""1"",""AMPV00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- HP ","50220","False","29","","50210","False","18","","11","ABL01-B","2","80000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49" s="15"/>
      <c r="D749" s="16" t="str">
        <f>"AMPV00"</f>
        <v>AMPV00</v>
      </c>
      <c r="E749" s="16">
        <v>80000</v>
      </c>
      <c r="F749" s="16" t="str">
        <f>"ABL01-B"</f>
        <v>ABL01-B</v>
      </c>
      <c r="G749" s="17" t="str">
        <f>"Conv Blend Apples - &lt;2.5"" - HP "</f>
        <v xml:space="preserve">Conv Blend Apples - &lt;2.5" - HP </v>
      </c>
      <c r="H749" s="18" t="str">
        <f t="shared" si="90"/>
        <v>LBS</v>
      </c>
      <c r="I749" s="19">
        <v>1</v>
      </c>
      <c r="J749" s="20">
        <v>1</v>
      </c>
    </row>
    <row r="750" spans="1:10" ht="15.75" thickBot="1" x14ac:dyDescent="0.3">
      <c r="A750" t="s">
        <v>31</v>
      </c>
      <c r="B750" s="15" t="str">
        <f>"""Manzana NAV"",""MANZANA"",""99000772"",""44"","" "",""22"",""False"",""43"",""0.00000000000000000000"",""12"",""Conv Blend Apples - &lt;2.5"""" OR#2"",""50220"",""False"",""29"","""",""50210"",""False"",""18"","""",""11"",""ABL02-B"",""2"",""60000"",""1"",""AMS01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OR#2","50220","False","29","","50210","False","18","","11","ABL02-B","2","60000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0" s="15"/>
      <c r="D750" s="16" t="str">
        <f>"AMS01"</f>
        <v>AMS01</v>
      </c>
      <c r="E750" s="16">
        <v>60000</v>
      </c>
      <c r="F750" s="16" t="str">
        <f>"ABL02-B"</f>
        <v>ABL02-B</v>
      </c>
      <c r="G750" s="17" t="str">
        <f>"Conv Blend Apples - &lt;2.5"" OR#2"</f>
        <v>Conv Blend Apples - &lt;2.5" OR#2</v>
      </c>
      <c r="H750" s="18" t="str">
        <f t="shared" si="90"/>
        <v>LBS</v>
      </c>
      <c r="I750" s="19">
        <v>1</v>
      </c>
      <c r="J750" s="20">
        <v>1</v>
      </c>
    </row>
    <row r="751" spans="1:10" ht="15.75" thickBot="1" x14ac:dyDescent="0.3">
      <c r="A751" t="s">
        <v>31</v>
      </c>
      <c r="B751" s="15" t="str">
        <f>"""Manzana NAV"",""MANZANA"",""99000772"",""44"","" "",""22"",""False"",""43"",""0.00000000000000000000"",""12"",""Conv Blend Apples - &lt;2.5"""" OR#2"",""50220"",""False"",""29"","""",""50210"",""False"",""18"","""",""11"",""ABL02-B"",""2"",""90000"",""1"",""AMPJ01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OR#2","50220","False","29","","50210","False","18","","11","ABL02-B","2","90000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1" s="15"/>
      <c r="D751" s="16" t="str">
        <f>"AMPJ01"</f>
        <v>AMPJ01</v>
      </c>
      <c r="E751" s="16">
        <v>90000</v>
      </c>
      <c r="F751" s="16" t="str">
        <f>"ABL02-B"</f>
        <v>ABL02-B</v>
      </c>
      <c r="G751" s="17" t="str">
        <f>"Conv Blend Apples - &lt;2.5"" OR#2"</f>
        <v>Conv Blend Apples - &lt;2.5" OR#2</v>
      </c>
      <c r="H751" s="18" t="str">
        <f t="shared" si="90"/>
        <v>LBS</v>
      </c>
      <c r="I751" s="19">
        <v>1</v>
      </c>
      <c r="J751" s="20">
        <v>1</v>
      </c>
    </row>
    <row r="752" spans="1:10" ht="15.75" thickBot="1" x14ac:dyDescent="0.3">
      <c r="A752" t="s">
        <v>31</v>
      </c>
      <c r="B752" s="15" t="str">
        <f>"""Manzana NAV"",""MANZANA"",""99000772"",""44"","" "",""22"",""False"",""43"",""0.00000000000000000000"",""12"",""Conv Blend Apples - &lt;2.5"""" OR#2"",""50220"",""False"",""29"","""",""50210"",""False"",""18"","""",""11"",""ABL02-B"",""2"",""90000"",""1"",""AMPV00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OR#2","50220","False","29","","50210","False","18","","11","ABL02-B","2","90000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2" s="15"/>
      <c r="D752" s="16" t="str">
        <f>"AMPV00"</f>
        <v>AMPV00</v>
      </c>
      <c r="E752" s="16">
        <v>90000</v>
      </c>
      <c r="F752" s="16" t="str">
        <f>"ABL02-B"</f>
        <v>ABL02-B</v>
      </c>
      <c r="G752" s="17" t="str">
        <f>"Conv Blend Apples - &lt;2.5"" OR#2"</f>
        <v>Conv Blend Apples - &lt;2.5" OR#2</v>
      </c>
      <c r="H752" s="18" t="str">
        <f t="shared" si="90"/>
        <v>LBS</v>
      </c>
      <c r="I752" s="19">
        <v>1</v>
      </c>
      <c r="J752" s="20">
        <v>1</v>
      </c>
    </row>
    <row r="753" spans="1:10" ht="15.75" thickBot="1" x14ac:dyDescent="0.3">
      <c r="A753" t="s">
        <v>31</v>
      </c>
      <c r="B753" s="15" t="str">
        <f>"""Manzana NAV"",""MANZANA"",""99000772"",""44"","" "",""22"",""False"",""43"",""0.00000000000000000000"",""12"",""Conv Blend Apples - Elim"",""50220"",""True"",""29"","""",""50210"",""False"",""18"","""",""11"",""ABL04"",""2"",""50000"",""1"",""AMPV00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Apples - Elim","50220","True","29","","50210","False","18","","11","ABL04","2","50000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53" s="15"/>
      <c r="D753" s="16" t="str">
        <f>"AMPV00"</f>
        <v>AMPV00</v>
      </c>
      <c r="E753" s="16">
        <v>50000</v>
      </c>
      <c r="F753" s="16" t="str">
        <f>"ABL04"</f>
        <v>ABL04</v>
      </c>
      <c r="G753" s="17" t="str">
        <f>"Conv Blend Apples - Elim"</f>
        <v>Conv Blend Apples - Elim</v>
      </c>
      <c r="H753" s="18" t="str">
        <f t="shared" si="90"/>
        <v>LBS</v>
      </c>
      <c r="I753" s="19">
        <v>1</v>
      </c>
      <c r="J753" s="20">
        <v>1</v>
      </c>
    </row>
    <row r="754" spans="1:10" ht="15.75" thickBot="1" x14ac:dyDescent="0.3">
      <c r="A754" t="s">
        <v>31</v>
      </c>
      <c r="B754" s="15" t="str">
        <f>"""Manzana NAV"",""MANZANA"",""99000772"",""44"","" "",""22"",""False"",""43"",""0.00000000000000000000"",""12"",""Conv Blend Apples - Elim"",""50220"",""True"",""29"","""",""50210"",""False"",""18"","""",""11"",""ABL04"",""2"",""60000"",""1"",""AMPJ01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Apples - Elim","50220","True","29","","50210","False","18","","11","ABL04","2","60000","1","AMPJ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54" s="15"/>
      <c r="D754" s="16" t="str">
        <f>"AMPJ01"</f>
        <v>AMPJ01</v>
      </c>
      <c r="E754" s="16">
        <v>60000</v>
      </c>
      <c r="F754" s="16" t="str">
        <f>"ABL04"</f>
        <v>ABL04</v>
      </c>
      <c r="G754" s="17" t="str">
        <f>"Conv Blend Apples - Elim"</f>
        <v>Conv Blend Apples - Elim</v>
      </c>
      <c r="H754" s="18" t="str">
        <f t="shared" si="90"/>
        <v>LBS</v>
      </c>
      <c r="I754" s="19">
        <v>1</v>
      </c>
      <c r="J754" s="20">
        <v>1</v>
      </c>
    </row>
    <row r="755" spans="1:10" ht="15.75" thickBot="1" x14ac:dyDescent="0.3">
      <c r="A755" t="s">
        <v>31</v>
      </c>
      <c r="B755" s="15" t="str">
        <f>"""Manzana NAV"",""MANZANA"",""99000772"",""44"","" "",""22"",""False"",""43"",""0.00000000000000000000"",""12"",""Conv Blend Apples - HP"",""50220"",""False"",""29"","""",""50210"",""False"",""18"","""",""11"",""ABL01"",""2"",""10000"",""1"",""AMS01"",""14"",""1.00000000000000000000"",""45"",""1.000000000000000"&amp;"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HP","50220","False","29","","50210","False","18","","11","ABL01","2","10000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5" s="15"/>
      <c r="D755" s="16" t="str">
        <f>"AMS01"</f>
        <v>AMS01</v>
      </c>
      <c r="E755" s="16">
        <v>10000</v>
      </c>
      <c r="F755" s="16" t="str">
        <f>"ABL01"</f>
        <v>ABL01</v>
      </c>
      <c r="G755" s="17" t="str">
        <f>"Conv Blend Apples - HP"</f>
        <v>Conv Blend Apples - HP</v>
      </c>
      <c r="H755" s="18" t="str">
        <f t="shared" si="90"/>
        <v>LBS</v>
      </c>
      <c r="I755" s="19">
        <v>1</v>
      </c>
      <c r="J755" s="20">
        <v>1</v>
      </c>
    </row>
    <row r="756" spans="1:10" ht="15.75" thickBot="1" x14ac:dyDescent="0.3">
      <c r="A756" t="s">
        <v>31</v>
      </c>
      <c r="B756" s="15" t="str">
        <f>"""Manzana NAV"",""MANZANA"",""99000772"",""44"","" "",""22"",""False"",""43"",""0.00000000000000000000"",""12"",""Conv Blend Apples - HP"",""50220"",""False"",""29"","""",""50210"",""False"",""18"","""",""11"",""ABL01"",""2"",""20000"",""1"",""AMPJ01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HP","50220","False","29","","50210","False","18","","11","ABL01","2","20000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6" s="15"/>
      <c r="D756" s="16" t="str">
        <f>"AMPJ01"</f>
        <v>AMPJ01</v>
      </c>
      <c r="E756" s="16">
        <v>20000</v>
      </c>
      <c r="F756" s="16" t="str">
        <f>"ABL01"</f>
        <v>ABL01</v>
      </c>
      <c r="G756" s="17" t="str">
        <f>"Conv Blend Apples - HP"</f>
        <v>Conv Blend Apples - HP</v>
      </c>
      <c r="H756" s="18" t="str">
        <f t="shared" si="90"/>
        <v>LBS</v>
      </c>
      <c r="I756" s="19">
        <v>1</v>
      </c>
      <c r="J756" s="20">
        <v>1</v>
      </c>
    </row>
    <row r="757" spans="1:10" ht="15.75" thickBot="1" x14ac:dyDescent="0.3">
      <c r="A757" t="s">
        <v>31</v>
      </c>
      <c r="B757" s="15" t="str">
        <f>"""Manzana NAV"",""MANZANA"",""99000772"",""44"","" "",""22"",""False"",""43"",""0.00000000000000000000"",""12"",""Conv Blend Apples - HP"",""50220"",""False"",""29"","""",""50210"",""False"",""18"","""",""11"",""ABL01"",""2"",""20000"",""1"",""AMPV00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HP","50220","False","29","","50210","False","18","","11","ABL01","2","20000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7" s="15"/>
      <c r="D757" s="16" t="str">
        <f>"AMPV00"</f>
        <v>AMPV00</v>
      </c>
      <c r="E757" s="16">
        <v>20000</v>
      </c>
      <c r="F757" s="16" t="str">
        <f>"ABL01"</f>
        <v>ABL01</v>
      </c>
      <c r="G757" s="17" t="str">
        <f>"Conv Blend Apples - HP"</f>
        <v>Conv Blend Apples - HP</v>
      </c>
      <c r="H757" s="18" t="str">
        <f t="shared" si="90"/>
        <v>LBS</v>
      </c>
      <c r="I757" s="19">
        <v>1</v>
      </c>
      <c r="J757" s="20">
        <v>1</v>
      </c>
    </row>
    <row r="758" spans="1:10" ht="15.75" thickBot="1" x14ac:dyDescent="0.3">
      <c r="A758" t="s">
        <v>31</v>
      </c>
      <c r="B758" s="15" t="str">
        <f>"""Manzana NAV"",""MANZANA"",""99000772"",""44"","" "",""22"",""False"",""43"",""0.00000000000000000000"",""12"",""Conv Blend Apples - OR#2"",""50220"",""False"",""29"","""",""50210"",""False"",""18"","""",""11"",""ABL02"",""2"",""30000"",""1"",""AMPJ01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OR#2","50220","False","29","","50210","False","18","","11","ABL02","2","30000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8" s="15"/>
      <c r="D758" s="16" t="str">
        <f>"AMPJ01"</f>
        <v>AMPJ01</v>
      </c>
      <c r="E758" s="16">
        <v>30000</v>
      </c>
      <c r="F758" s="16" t="str">
        <f>"ABL02"</f>
        <v>ABL02</v>
      </c>
      <c r="G758" s="17" t="str">
        <f>"Conv Blend Apples - OR#2"</f>
        <v>Conv Blend Apples - OR#2</v>
      </c>
      <c r="H758" s="18" t="str">
        <f t="shared" si="90"/>
        <v>LBS</v>
      </c>
      <c r="I758" s="19">
        <v>1</v>
      </c>
      <c r="J758" s="20">
        <v>1</v>
      </c>
    </row>
    <row r="759" spans="1:10" ht="15.75" thickBot="1" x14ac:dyDescent="0.3">
      <c r="A759" t="s">
        <v>31</v>
      </c>
      <c r="B759" s="15" t="str">
        <f>"""Manzana NAV"",""MANZANA"",""99000772"",""44"","" "",""22"",""False"",""43"",""0.00000000000000000000"",""12"",""Conv Blend Apples - OR#2"",""50220"",""False"",""29"","""",""50210"",""False"",""18"","""",""11"",""ABL02"",""2"",""30000"",""1"",""AMPV00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OR#2","50220","False","29","","50210","False","18","","11","ABL02","2","30000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9" s="15"/>
      <c r="D759" s="16" t="str">
        <f>"AMPV00"</f>
        <v>AMPV00</v>
      </c>
      <c r="E759" s="16">
        <v>30000</v>
      </c>
      <c r="F759" s="16" t="str">
        <f>"ABL02"</f>
        <v>ABL02</v>
      </c>
      <c r="G759" s="17" t="str">
        <f>"Conv Blend Apples - OR#2"</f>
        <v>Conv Blend Apples - OR#2</v>
      </c>
      <c r="H759" s="18" t="str">
        <f t="shared" si="90"/>
        <v>LBS</v>
      </c>
      <c r="I759" s="19">
        <v>1</v>
      </c>
      <c r="J759" s="20">
        <v>1</v>
      </c>
    </row>
    <row r="760" spans="1:10" ht="15.75" thickBot="1" x14ac:dyDescent="0.3">
      <c r="A760" t="s">
        <v>31</v>
      </c>
      <c r="B760" s="15" t="str">
        <f>"""Manzana NAV"",""MANZANA"",""99000772"",""44"","" "",""22"",""False"",""43"",""0.00000000000000000000"",""12"",""Conv Blend Apples - OR#2"",""50220"",""False"",""29"","""",""50210"",""False"",""18"","""",""11"",""ABL02"",""2"",""30000"",""1"",""AMS01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OR#2","50220","False","29","","50210","False","18","","11","ABL02","2","30000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0" s="15"/>
      <c r="D760" s="16" t="str">
        <f>"AMS01"</f>
        <v>AMS01</v>
      </c>
      <c r="E760" s="16">
        <v>30000</v>
      </c>
      <c r="F760" s="16" t="str">
        <f>"ABL02"</f>
        <v>ABL02</v>
      </c>
      <c r="G760" s="17" t="str">
        <f>"Conv Blend Apples - OR#2"</f>
        <v>Conv Blend Apples - OR#2</v>
      </c>
      <c r="H760" s="18" t="str">
        <f t="shared" si="90"/>
        <v>LBS</v>
      </c>
      <c r="I760" s="19">
        <v>1</v>
      </c>
      <c r="J760" s="20">
        <v>1</v>
      </c>
    </row>
    <row r="761" spans="1:10" ht="15.75" thickBot="1" x14ac:dyDescent="0.3">
      <c r="A761" t="s">
        <v>31</v>
      </c>
      <c r="B761" s="15" t="str">
        <f>"""Manzana NAV"",""MANZANA"",""99000772"",""44"","" "",""22"",""False"",""43"",""0.00000000000000000000"",""12"",""Conv Blend Apples - PHC"",""50220"",""False"",""29"","""",""50210"",""False"",""18"","""",""11"",""ABL03"",""2"",""40000"",""1"",""AMPJ01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","50220","False","29","","50210","False","18","","11","ABL03","2","40000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1" s="15"/>
      <c r="D761" s="16" t="str">
        <f>"AMPJ01"</f>
        <v>AMPJ01</v>
      </c>
      <c r="E761" s="16">
        <v>40000</v>
      </c>
      <c r="F761" s="16" t="str">
        <f>"ABL03"</f>
        <v>ABL03</v>
      </c>
      <c r="G761" s="17" t="str">
        <f>"Conv Blend Apples - PHC"</f>
        <v>Conv Blend Apples - PHC</v>
      </c>
      <c r="H761" s="18" t="str">
        <f t="shared" si="90"/>
        <v>LBS</v>
      </c>
      <c r="I761" s="19">
        <v>1</v>
      </c>
      <c r="J761" s="20">
        <v>1</v>
      </c>
    </row>
    <row r="762" spans="1:10" ht="15.75" thickBot="1" x14ac:dyDescent="0.3">
      <c r="A762" t="s">
        <v>31</v>
      </c>
      <c r="B762" s="15" t="str">
        <f>"""Manzana NAV"",""MANZANA"",""99000772"",""44"","" "",""22"",""False"",""43"",""0.00000000000000000000"",""12"",""Conv Blend Apples - PHC"",""50220"",""False"",""29"","""",""50210"",""False"",""18"","""",""11"",""ABL03"",""2"",""40000"",""1"",""AMPV00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","50220","False","29","","50210","False","18","","11","ABL03","2","40000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2" s="15"/>
      <c r="D762" s="16" t="str">
        <f>"AMPV00"</f>
        <v>AMPV00</v>
      </c>
      <c r="E762" s="16">
        <v>40000</v>
      </c>
      <c r="F762" s="16" t="str">
        <f>"ABL03"</f>
        <v>ABL03</v>
      </c>
      <c r="G762" s="17" t="str">
        <f>"Conv Blend Apples - PHC"</f>
        <v>Conv Blend Apples - PHC</v>
      </c>
      <c r="H762" s="18" t="str">
        <f t="shared" si="90"/>
        <v>LBS</v>
      </c>
      <c r="I762" s="19">
        <v>1</v>
      </c>
      <c r="J762" s="20">
        <v>1</v>
      </c>
    </row>
    <row r="763" spans="1:10" ht="15.75" thickBot="1" x14ac:dyDescent="0.3">
      <c r="A763" t="s">
        <v>31</v>
      </c>
      <c r="B763" s="15" t="str">
        <f>"""Manzana NAV"",""MANZANA"",""99000772"",""44"","" "",""22"",""False"",""43"",""0.00000000000000000000"",""12"",""Conv Blend Apples - PHC"",""50220"",""False"",""29"","""",""50210"",""False"",""18"","""",""11"",""ABL03"",""2"",""40000"",""1"",""AMS01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","50220","False","29","","50210","False","18","","11","ABL03","2","40000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3" s="15"/>
      <c r="D763" s="16" t="str">
        <f>"AMS01"</f>
        <v>AMS01</v>
      </c>
      <c r="E763" s="16">
        <v>40000</v>
      </c>
      <c r="F763" s="16" t="str">
        <f>"ABL03"</f>
        <v>ABL03</v>
      </c>
      <c r="G763" s="17" t="str">
        <f>"Conv Blend Apples - PHC"</f>
        <v>Conv Blend Apples - PHC</v>
      </c>
      <c r="H763" s="18" t="str">
        <f t="shared" si="90"/>
        <v>LBS</v>
      </c>
      <c r="I763" s="19">
        <v>1</v>
      </c>
      <c r="J763" s="20">
        <v>1</v>
      </c>
    </row>
    <row r="764" spans="1:10" ht="15.75" thickBot="1" x14ac:dyDescent="0.3">
      <c r="A764" t="s">
        <v>31</v>
      </c>
      <c r="B764" s="15" t="str">
        <f>"""Manzana NAV"",""MANZANA"",""99000772"",""44"","" "",""22"",""False"",""43"",""0.00000000000000000000"",""12"",""Conv Blend Apples - PHC Sauce Peelers"",""50220"",""False"",""29"","""",""50210"",""False"",""18"","""",""11"",""ABL03-P"",""2"",""45000"",""1"",""AMS01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 Sauce Peelers","50220","False","29","","50210","False","18","","11","ABL03-P","2","45000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4" s="15"/>
      <c r="D764" s="16" t="str">
        <f>"AMS01"</f>
        <v>AMS01</v>
      </c>
      <c r="E764" s="16">
        <v>45000</v>
      </c>
      <c r="F764" s="16" t="str">
        <f>"ABL03-P"</f>
        <v>ABL03-P</v>
      </c>
      <c r="G764" s="17" t="str">
        <f>"Conv Blend Apples - PHC Sauce Peelers"</f>
        <v>Conv Blend Apples - PHC Sauce Peelers</v>
      </c>
      <c r="H764" s="18" t="str">
        <f t="shared" si="90"/>
        <v>LBS</v>
      </c>
      <c r="I764" s="19">
        <v>1</v>
      </c>
      <c r="J764" s="20">
        <v>1</v>
      </c>
    </row>
    <row r="765" spans="1:10" ht="15.75" thickBot="1" x14ac:dyDescent="0.3">
      <c r="A765" t="s">
        <v>31</v>
      </c>
      <c r="B765" s="15" t="str">
        <f>"""Manzana NAV"",""MANZANA"",""99000772"",""44"","" "",""22"",""False"",""43"",""0.00000000000000000000"",""12"",""Conv Blend Apples - PHC Sauce Peelers"",""50220"",""False"",""29"","""",""50210"",""False"",""18"","""",""11"",""ABL03-P"",""2"",""50000"",""1"",""AMPJ01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 Sauce Peelers","50220","False","29","","50210","False","18","","11","ABL03-P","2","50000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5" s="15"/>
      <c r="D765" s="16" t="str">
        <f>"AMPJ01"</f>
        <v>AMPJ01</v>
      </c>
      <c r="E765" s="16">
        <v>50000</v>
      </c>
      <c r="F765" s="16" t="str">
        <f>"ABL03-P"</f>
        <v>ABL03-P</v>
      </c>
      <c r="G765" s="17" t="str">
        <f>"Conv Blend Apples - PHC Sauce Peelers"</f>
        <v>Conv Blend Apples - PHC Sauce Peelers</v>
      </c>
      <c r="H765" s="18" t="str">
        <f t="shared" si="90"/>
        <v>LBS</v>
      </c>
      <c r="I765" s="19">
        <v>1</v>
      </c>
      <c r="J765" s="20">
        <v>1</v>
      </c>
    </row>
    <row r="766" spans="1:10" ht="15.75" thickBot="1" x14ac:dyDescent="0.3">
      <c r="A766" t="s">
        <v>31</v>
      </c>
      <c r="B766" s="15" t="str">
        <f>"""Manzana NAV"",""MANZANA"",""99000772"",""44"","" "",""22"",""False"",""43"",""0.00000000000000000000"",""12"",""Conv Blend Apples - Sort-outs"",""50220"",""False"",""29"","""",""50210"",""False"",""18"","""",""11"",""ABL05"",""2"",""60000"",""1"",""AMPV00"",""14"",""1.00000000000000000000"",""45"",""1.0000000"&amp;"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Apples - Sort-outs","50220","False","29","","50210","False","18","","11","ABL05","2","60000","1","AMPV00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766" s="15"/>
      <c r="D766" s="16" t="str">
        <f>"AMPV00"</f>
        <v>AMPV00</v>
      </c>
      <c r="E766" s="16">
        <v>60000</v>
      </c>
      <c r="F766" s="16" t="str">
        <f>"ABL05"</f>
        <v>ABL05</v>
      </c>
      <c r="G766" s="17" t="str">
        <f>"Conv Blend Apples - Sort-outs"</f>
        <v>Conv Blend Apples - Sort-outs</v>
      </c>
      <c r="H766" s="18" t="str">
        <f t="shared" si="90"/>
        <v>LBS</v>
      </c>
      <c r="I766" s="19">
        <v>1</v>
      </c>
      <c r="J766" s="20">
        <v>1</v>
      </c>
    </row>
    <row r="767" spans="1:10" ht="15.75" thickBot="1" x14ac:dyDescent="0.3">
      <c r="A767" t="s">
        <v>31</v>
      </c>
      <c r="B767" s="15" t="str">
        <f>"""Manzana NAV"",""MANZANA"",""99000772"",""44"","" "",""22"",""False"",""43"",""0.00000000000000000000"",""12"",""Conv Blend Apples - Vinegar"",""50220"",""False"",""29"","""",""50210"",""False"",""18"","""",""11"",""ABL00"",""2"",""10000"",""1"",""AMPV00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Vinegar","50220","False","29","","50210","False","18","","11","ABL00","2","10000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7" s="15"/>
      <c r="D767" s="16" t="str">
        <f>"AMPV00"</f>
        <v>AMPV00</v>
      </c>
      <c r="E767" s="16">
        <v>10000</v>
      </c>
      <c r="F767" s="16" t="str">
        <f>"ABL00"</f>
        <v>ABL00</v>
      </c>
      <c r="G767" s="17" t="str">
        <f>"Conv Blend Apples - Vinegar"</f>
        <v>Conv Blend Apples - Vinegar</v>
      </c>
      <c r="H767" s="18" t="str">
        <f t="shared" si="90"/>
        <v>LBS</v>
      </c>
      <c r="I767" s="19">
        <v>1</v>
      </c>
      <c r="J767" s="20">
        <v>1</v>
      </c>
    </row>
    <row r="768" spans="1:10" ht="15.75" thickBot="1" x14ac:dyDescent="0.3">
      <c r="A768" t="s">
        <v>31</v>
      </c>
      <c r="B768" s="15" t="str">
        <f>"""Manzana NAV"",""MANZANA"",""99000772"",""44"","" "",""22"",""False"",""43"",""0.00000000000000000000"",""12"",""Conv Blend Peels and Cores"",""50220"",""False"",""29"","""",""50210"",""False"",""18"","""",""11"",""ABL06"",""2"",""70000"",""1"",""AMPJ01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Peels and Cores","50220","False","29","","50210","False","18","","11","ABL06","2","70000","1","AMPJ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68" s="15"/>
      <c r="D768" s="16" t="str">
        <f>"AMPJ01"</f>
        <v>AMPJ01</v>
      </c>
      <c r="E768" s="16">
        <v>70000</v>
      </c>
      <c r="F768" s="16" t="str">
        <f>"ABL06"</f>
        <v>ABL06</v>
      </c>
      <c r="G768" s="17" t="str">
        <f>"Conv Blend Peels and Cores"</f>
        <v>Conv Blend Peels and Cores</v>
      </c>
      <c r="H768" s="18" t="str">
        <f t="shared" si="90"/>
        <v>LBS</v>
      </c>
      <c r="I768" s="19">
        <v>1</v>
      </c>
      <c r="J768" s="20">
        <v>1</v>
      </c>
    </row>
    <row r="769" spans="1:10" ht="15.75" thickBot="1" x14ac:dyDescent="0.3">
      <c r="A769" t="s">
        <v>31</v>
      </c>
      <c r="B769" s="15" t="str">
        <f>"""Manzana NAV"",""MANZANA"",""99000772"",""44"","" "",""22"",""False"",""43"",""0.00000000000000000000"",""12"",""Conv Blend Peels and Cores"",""50220"",""False"",""29"","""",""50210"",""False"",""18"","""",""11"",""ABL06"",""2"",""70000"",""1"",""AMPV00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Peels and Cores","50220","False","29","","50210","False","18","","11","ABL06","2","70000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69" s="15"/>
      <c r="D769" s="16" t="str">
        <f>"AMPV00"</f>
        <v>AMPV00</v>
      </c>
      <c r="E769" s="16">
        <v>70000</v>
      </c>
      <c r="F769" s="16" t="str">
        <f>"ABL06"</f>
        <v>ABL06</v>
      </c>
      <c r="G769" s="17" t="str">
        <f>"Conv Blend Peels and Cores"</f>
        <v>Conv Blend Peels and Cores</v>
      </c>
      <c r="H769" s="18" t="str">
        <f t="shared" si="90"/>
        <v>LBS</v>
      </c>
      <c r="I769" s="19">
        <v>1</v>
      </c>
      <c r="J769" s="20">
        <v>1</v>
      </c>
    </row>
    <row r="770" spans="1:10" ht="15.75" thickBot="1" x14ac:dyDescent="0.3">
      <c r="A770" t="s">
        <v>31</v>
      </c>
      <c r="B770" s="15" t="str">
        <f>"""Manzana NAV"",""MANZANA"",""99000772"",""44"","" "",""22"",""False"",""43"",""0.00000000000000000000"",""12"",""Conv GRAV Apple Mix for Pressing Juice"",""50220"",""False"",""29"","""",""50210"",""False"",""18"","""",""11"",""AMPJ00"",""2"",""10000"",""1"",""FJ0980"",""14"",""11.00000000000000000000"",""45"""&amp;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Pressing Juice","50220","False","29","","50210","False","18","","11","AMPJ00","2","10000","1","FJ0980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70" s="15"/>
      <c r="D770" s="16" t="str">
        <f>"FJ0980"</f>
        <v>FJ0980</v>
      </c>
      <c r="E770" s="16">
        <v>10000</v>
      </c>
      <c r="F770" s="16" t="str">
        <f>"AMPJ00"</f>
        <v>AMPJ00</v>
      </c>
      <c r="G770" s="17" t="str">
        <f>"Conv GRAV Apple Mix for Pressing Juice"</f>
        <v>Conv GRAV Apple Mix for Pressing Juice</v>
      </c>
      <c r="H770" s="18" t="str">
        <f t="shared" si="90"/>
        <v>LBS</v>
      </c>
      <c r="I770" s="19">
        <v>11</v>
      </c>
      <c r="J770" s="20">
        <v>11</v>
      </c>
    </row>
    <row r="771" spans="1:10" ht="15.75" thickBot="1" x14ac:dyDescent="0.3">
      <c r="A771" t="s">
        <v>31</v>
      </c>
      <c r="B771" s="15" t="str">
        <f>"""Manzana NAV"",""MANZANA"",""99000772"",""44"","" "",""22"",""False"",""43"",""0.00000000000000000000"",""12"",""Conv GRAV Apple Mix for Pressing Vinegar"",""50220"",""False"",""29"","""",""50210"",""False"",""18"","""",""11"",""AMPV01"",""2"",""10000"",""1"",""IV896"",""14"",""11.00000000000000000000"",""45"&amp;"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Pressing Vinegar","50220","False","29","","50210","False","18","","11","AMPV01","2","10000","1","IV896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71" s="15"/>
      <c r="D771" s="16" t="str">
        <f>"IV896"</f>
        <v>IV896</v>
      </c>
      <c r="E771" s="16">
        <v>10000</v>
      </c>
      <c r="F771" s="16" t="str">
        <f>"AMPV01"</f>
        <v>AMPV01</v>
      </c>
      <c r="G771" s="17" t="str">
        <f>"Conv GRAV Apple Mix for Pressing Vinegar"</f>
        <v>Conv GRAV Apple Mix for Pressing Vinegar</v>
      </c>
      <c r="H771" s="18" t="str">
        <f t="shared" si="90"/>
        <v>LBS</v>
      </c>
      <c r="I771" s="19">
        <v>11</v>
      </c>
      <c r="J771" s="20">
        <v>11</v>
      </c>
    </row>
    <row r="772" spans="1:10" ht="15.75" thickBot="1" x14ac:dyDescent="0.3">
      <c r="A772" t="s">
        <v>31</v>
      </c>
      <c r="B772" s="15" t="str">
        <f>"""Manzana NAV"",""MANZANA"",""99000772"",""44"","" "",""22"",""False"",""43"",""0.00000000000000000000"",""12"",""Conv GRAV Apple Mix for Sauce"",""50220"",""False"",""29"","""",""50210"",""False"",""18"","""",""11"",""AMS00"",""2"",""10000"",""1"",""AGR04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GR04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2" s="15"/>
      <c r="D772" s="16" t="str">
        <f>"AGR04"</f>
        <v>AGR04</v>
      </c>
      <c r="E772" s="16">
        <v>10000</v>
      </c>
      <c r="F772" s="16" t="str">
        <f>"AMS00"</f>
        <v>AMS00</v>
      </c>
      <c r="G772" s="17" t="str">
        <f>"Conv GRAV Apple Mix for Sauce"</f>
        <v>Conv GRAV Apple Mix for Sauce</v>
      </c>
      <c r="H772" s="18" t="str">
        <f t="shared" si="90"/>
        <v>LBS</v>
      </c>
      <c r="I772" s="19">
        <v>1</v>
      </c>
      <c r="J772" s="20">
        <v>1</v>
      </c>
    </row>
    <row r="773" spans="1:10" ht="15.75" thickBot="1" x14ac:dyDescent="0.3">
      <c r="A773" t="s">
        <v>31</v>
      </c>
      <c r="B773" s="15" t="str">
        <f>"""Manzana NAV"",""MANZANA"",""99000772"",""44"","" "",""22"",""False"",""43"",""0.00000000000000000000"",""12"",""Conv GRAV Apple Mix for Sauce"",""50220"",""False"",""29"","""",""50210"",""False"",""18"","""",""11"",""AMS00"",""2"",""10000"",""1"",""AGR05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GR05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3" s="15"/>
      <c r="D773" s="16" t="str">
        <f>"AGR05"</f>
        <v>AGR05</v>
      </c>
      <c r="E773" s="16">
        <v>10000</v>
      </c>
      <c r="F773" s="16" t="str">
        <f>"AMS00"</f>
        <v>AMS00</v>
      </c>
      <c r="G773" s="17" t="str">
        <f>"Conv GRAV Apple Mix for Sauce"</f>
        <v>Conv GRAV Apple Mix for Sauce</v>
      </c>
      <c r="H773" s="18" t="str">
        <f t="shared" si="90"/>
        <v>LBS</v>
      </c>
      <c r="I773" s="19">
        <v>1</v>
      </c>
      <c r="J773" s="20">
        <v>1</v>
      </c>
    </row>
    <row r="774" spans="1:10" ht="15.75" thickBot="1" x14ac:dyDescent="0.3">
      <c r="A774" t="s">
        <v>31</v>
      </c>
      <c r="B774" s="15" t="str">
        <f>"""Manzana NAV"",""MANZANA"",""99000772"",""44"","" "",""22"",""False"",""43"",""0.00000000000000000000"",""12"",""Conv GRAV Apple Mix for Sauce"",""50220"",""False"",""29"","""",""50210"",""False"",""18"","""",""11"",""AMS00"",""2"",""10000"",""1"",""AGR06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GR06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4" s="15"/>
      <c r="D774" s="16" t="str">
        <f>"AGR06"</f>
        <v>AGR06</v>
      </c>
      <c r="E774" s="16">
        <v>10000</v>
      </c>
      <c r="F774" s="16" t="str">
        <f>"AMS00"</f>
        <v>AMS00</v>
      </c>
      <c r="G774" s="17" t="str">
        <f>"Conv GRAV Apple Mix for Sauce"</f>
        <v>Conv GRAV Apple Mix for Sauce</v>
      </c>
      <c r="H774" s="18" t="str">
        <f t="shared" si="90"/>
        <v>LBS</v>
      </c>
      <c r="I774" s="19">
        <v>1</v>
      </c>
      <c r="J774" s="20">
        <v>1</v>
      </c>
    </row>
    <row r="775" spans="1:10" ht="15.75" thickBot="1" x14ac:dyDescent="0.3">
      <c r="A775" t="s">
        <v>31</v>
      </c>
      <c r="B775" s="15" t="str">
        <f>"""Manzana NAV"",""MANZANA"",""99000772"",""44"","" "",""22"",""False"",""43"",""0.00000000000000000000"",""12"",""Conv GRAV Apple Mix for Sauce"",""50220"",""False"",""29"","""",""50210"",""False"",""18"","""",""11"",""AMS00"",""2"",""10000"",""1"",""APU00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PU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5" s="15"/>
      <c r="D775" s="16" t="str">
        <f>"APU00"</f>
        <v>APU00</v>
      </c>
      <c r="E775" s="16">
        <v>10000</v>
      </c>
      <c r="F775" s="16" t="str">
        <f>"AMS00"</f>
        <v>AMS00</v>
      </c>
      <c r="G775" s="17" t="str">
        <f>"Conv GRAV Apple Mix for Sauce"</f>
        <v>Conv GRAV Apple Mix for Sauce</v>
      </c>
      <c r="H775" s="18" t="str">
        <f t="shared" si="90"/>
        <v>LBS</v>
      </c>
      <c r="I775" s="19">
        <v>1</v>
      </c>
      <c r="J775" s="20">
        <v>1</v>
      </c>
    </row>
    <row r="776" spans="1:10" ht="15.75" thickBot="1" x14ac:dyDescent="0.3">
      <c r="A776" t="s">
        <v>31</v>
      </c>
      <c r="B776" s="15" t="str">
        <f>"""Manzana NAV"",""MANZANA"",""99000772"",""44"","" "",""22"",""False"",""43"",""0.00000000000000000000"",""12"",""Conv Grav Puree"",""50220"",""False"",""29"","""",""50210"",""True"",""18"","""",""11"",""APU00"",""2"",""10000"",""1"",""ISC01"",""14"",""1.00000000000000000000"",""45"",""1.00000000000000000000"","""&amp;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Puree","50220","False","29","","50210","True","18","","11","APU00","2","10000","1","ISC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6" s="15"/>
      <c r="D776" s="16" t="str">
        <f>"ISC01"</f>
        <v>ISC01</v>
      </c>
      <c r="E776" s="16">
        <v>10000</v>
      </c>
      <c r="F776" s="16" t="str">
        <f>"APU00"</f>
        <v>APU00</v>
      </c>
      <c r="G776" s="17" t="str">
        <f>"Conv Grav Puree"</f>
        <v>Conv Grav Puree</v>
      </c>
      <c r="H776" s="18" t="str">
        <f t="shared" si="90"/>
        <v>LBS</v>
      </c>
      <c r="I776" s="19">
        <v>1</v>
      </c>
      <c r="J776" s="20">
        <v>1</v>
      </c>
    </row>
    <row r="777" spans="1:10" ht="15.75" thickBot="1" x14ac:dyDescent="0.3">
      <c r="A777" t="s">
        <v>31</v>
      </c>
      <c r="B777" s="15" t="str">
        <f>"""Manzana NAV"",""MANZANA"",""99000772"",""44"","" "",""22"",""False"",""43"",""0.00000000000000000000"",""12"",""Conv Grav Puree"",""50220"",""False"",""29"","""",""50210"",""True"",""18"","""",""11"",""APU00"",""2"",""10000"",""1"",""ISC27"",""14"",""1.00000000000000000000"",""45"",""1.00000000000000000000"","""&amp;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Puree","50220","False","29","","50210","True","18","","11","APU00","2","10000","1","ISC27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7" s="15"/>
      <c r="D777" s="16" t="str">
        <f>"ISC27"</f>
        <v>ISC27</v>
      </c>
      <c r="E777" s="16">
        <v>10000</v>
      </c>
      <c r="F777" s="16" t="str">
        <f>"APU00"</f>
        <v>APU00</v>
      </c>
      <c r="G777" s="17" t="str">
        <f>"Conv Grav Puree"</f>
        <v>Conv Grav Puree</v>
      </c>
      <c r="H777" s="18" t="str">
        <f t="shared" si="90"/>
        <v>LBS</v>
      </c>
      <c r="I777" s="19">
        <v>1</v>
      </c>
      <c r="J777" s="20">
        <v>1</v>
      </c>
    </row>
    <row r="778" spans="1:10" ht="15.75" thickBot="1" x14ac:dyDescent="0.3">
      <c r="A778" t="s">
        <v>31</v>
      </c>
      <c r="B778" s="15" t="str">
        <f>"""Manzana NAV"",""MANZANA"",""99000772"",""44"","" "",""22"",""False"",""43"",""0.00000000000000000000"",""12"",""Conv Gravenstein Apples - Elim"",""50220"",""True"",""29"","""",""50210"",""False"",""18"","""",""11"",""AGR04"",""2"",""50000"",""1"",""AMPJ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50000","1","AMPJ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8" s="15"/>
      <c r="D778" s="16" t="str">
        <f>"AMPJ00"</f>
        <v>AMPJ00</v>
      </c>
      <c r="E778" s="16">
        <v>50000</v>
      </c>
      <c r="F778" s="16" t="str">
        <f>"AGR04"</f>
        <v>AGR04</v>
      </c>
      <c r="G778" s="17" t="str">
        <f>"Conv Gravenstein Apples - Elim"</f>
        <v>Conv Gravenstein Apples - Elim</v>
      </c>
      <c r="H778" s="18" t="str">
        <f t="shared" si="90"/>
        <v>LBS</v>
      </c>
      <c r="I778" s="19">
        <v>1</v>
      </c>
      <c r="J778" s="20">
        <v>1</v>
      </c>
    </row>
    <row r="779" spans="1:10" ht="15.75" thickBot="1" x14ac:dyDescent="0.3">
      <c r="A779" t="s">
        <v>31</v>
      </c>
      <c r="B779" s="15" t="str">
        <f>"""Manzana NAV"",""MANZANA"",""99000772"",""44"","" "",""22"",""False"",""43"",""0.00000000000000000000"",""12"",""Conv Gravenstein Apples - Elim"",""50220"",""True"",""29"","""",""50210"",""False"",""18"","""",""11"",""AGR04"",""2"",""50000"",""1"",""AMPV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50000","1","AMPV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9" s="15"/>
      <c r="D779" s="16" t="str">
        <f>"AMPV01"</f>
        <v>AMPV01</v>
      </c>
      <c r="E779" s="16">
        <v>50000</v>
      </c>
      <c r="F779" s="16" t="str">
        <f>"AGR04"</f>
        <v>AGR04</v>
      </c>
      <c r="G779" s="17" t="str">
        <f>"Conv Gravenstein Apples - Elim"</f>
        <v>Conv Gravenstein Apples - Elim</v>
      </c>
      <c r="H779" s="18" t="str">
        <f t="shared" si="90"/>
        <v>LBS</v>
      </c>
      <c r="I779" s="19">
        <v>1</v>
      </c>
      <c r="J779" s="20">
        <v>1</v>
      </c>
    </row>
    <row r="780" spans="1:10" ht="15.75" thickBot="1" x14ac:dyDescent="0.3">
      <c r="A780" t="s">
        <v>31</v>
      </c>
      <c r="B780" s="15" t="str">
        <f>"""Manzana NAV"",""MANZANA"",""99000772"",""44"","" "",""22"",""False"",""43"",""0.00000000000000000000"",""12"",""Conv Gravenstein Apples - Elim"",""50220"",""True"",""29"","""",""50210"",""False"",""18"","""",""11"",""AGR04"",""2"",""130000"",""1"",""AMPJ01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130000","1","AMPJ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80" s="15"/>
      <c r="D780" s="16" t="str">
        <f>"AMPJ01"</f>
        <v>AMPJ01</v>
      </c>
      <c r="E780" s="16">
        <v>130000</v>
      </c>
      <c r="F780" s="16" t="str">
        <f>"AGR04"</f>
        <v>AGR04</v>
      </c>
      <c r="G780" s="17" t="str">
        <f>"Conv Gravenstein Apples - Elim"</f>
        <v>Conv Gravenstein Apples - Elim</v>
      </c>
      <c r="H780" s="18" t="str">
        <f t="shared" si="90"/>
        <v>LBS</v>
      </c>
      <c r="I780" s="19">
        <v>1</v>
      </c>
      <c r="J780" s="20">
        <v>1</v>
      </c>
    </row>
    <row r="781" spans="1:10" ht="15.75" thickBot="1" x14ac:dyDescent="0.3">
      <c r="A781" t="s">
        <v>31</v>
      </c>
      <c r="B781" s="15" t="str">
        <f>"""Manzana NAV"",""MANZANA"",""99000772"",""44"","" "",""22"",""False"",""43"",""0.00000000000000000000"",""12"",""Conv Gravenstein Apples - Elim"",""50220"",""True"",""29"","""",""50210"",""False"",""18"","""",""11"",""AGR04"",""2"",""140000"",""1"",""AMPV00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140000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81" s="15"/>
      <c r="D781" s="16" t="str">
        <f>"AMPV00"</f>
        <v>AMPV00</v>
      </c>
      <c r="E781" s="16">
        <v>140000</v>
      </c>
      <c r="F781" s="16" t="str">
        <f>"AGR04"</f>
        <v>AGR04</v>
      </c>
      <c r="G781" s="17" t="str">
        <f>"Conv Gravenstein Apples - Elim"</f>
        <v>Conv Gravenstein Apples - Elim</v>
      </c>
      <c r="H781" s="18" t="str">
        <f t="shared" si="90"/>
        <v>LBS</v>
      </c>
      <c r="I781" s="19">
        <v>1</v>
      </c>
      <c r="J781" s="20">
        <v>1</v>
      </c>
    </row>
    <row r="782" spans="1:10" ht="15.75" thickBot="1" x14ac:dyDescent="0.3">
      <c r="A782" t="s">
        <v>31</v>
      </c>
      <c r="B782" s="15" t="str">
        <f>"""Manzana NAV"",""MANZANA"",""99000772"",""44"","" "",""22"",""False"",""43"",""0.00000000000000000000"",""12"",""Conv Gravenstein Apples - HP"",""50220"",""False"",""29"","""",""50210"",""False"",""18"","""",""11"",""AGR01"",""2"",""10000"",""1"",""AMS00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10000","1","AMS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2" s="15"/>
      <c r="D782" s="16" t="str">
        <f>"AMS00"</f>
        <v>AMS00</v>
      </c>
      <c r="E782" s="16">
        <v>10000</v>
      </c>
      <c r="F782" s="16" t="str">
        <f t="shared" ref="F782:F787" si="91">"AGR01"</f>
        <v>AGR01</v>
      </c>
      <c r="G782" s="17" t="str">
        <f t="shared" ref="G782:G787" si="92">"Conv Gravenstein Apples - HP"</f>
        <v>Conv Gravenstein Apples - HP</v>
      </c>
      <c r="H782" s="18" t="str">
        <f t="shared" si="90"/>
        <v>LBS</v>
      </c>
      <c r="I782" s="19">
        <v>1</v>
      </c>
      <c r="J782" s="20">
        <v>1</v>
      </c>
    </row>
    <row r="783" spans="1:10" ht="15.75" thickBot="1" x14ac:dyDescent="0.3">
      <c r="A783" t="s">
        <v>31</v>
      </c>
      <c r="B783" s="15" t="str">
        <f>"""Manzana NAV"",""MANZANA"",""99000772"",""44"","" "",""22"",""False"",""43"",""0.00000000000000000000"",""12"",""Conv Gravenstein Apples - HP"",""50220"",""False"",""29"","""",""50210"",""False"",""18"","""",""11"",""AGR01"",""2"",""20000"",""1"",""AMPJ00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20000","1","AMPJ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3" s="15"/>
      <c r="D783" s="16" t="str">
        <f>"AMPJ00"</f>
        <v>AMPJ00</v>
      </c>
      <c r="E783" s="16">
        <v>20000</v>
      </c>
      <c r="F783" s="16" t="str">
        <f t="shared" si="91"/>
        <v>AGR01</v>
      </c>
      <c r="G783" s="17" t="str">
        <f t="shared" si="92"/>
        <v>Conv Gravenstein Apples - HP</v>
      </c>
      <c r="H783" s="18" t="str">
        <f t="shared" si="90"/>
        <v>LBS</v>
      </c>
      <c r="I783" s="19">
        <v>1</v>
      </c>
      <c r="J783" s="20">
        <v>1</v>
      </c>
    </row>
    <row r="784" spans="1:10" ht="15.75" thickBot="1" x14ac:dyDescent="0.3">
      <c r="A784" t="s">
        <v>31</v>
      </c>
      <c r="B784" s="15" t="str">
        <f>"""Manzana NAV"",""MANZANA"",""99000772"",""44"","" "",""22"",""False"",""43"",""0.00000000000000000000"",""12"",""Conv Gravenstein Apples - HP"",""50220"",""False"",""29"","""",""50210"",""False"",""18"","""",""11"",""AGR01"",""2"",""20000"",""1"",""AMPV01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20000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4" s="15"/>
      <c r="D784" s="16" t="str">
        <f>"AMPV01"</f>
        <v>AMPV01</v>
      </c>
      <c r="E784" s="16">
        <v>20000</v>
      </c>
      <c r="F784" s="16" t="str">
        <f t="shared" si="91"/>
        <v>AGR01</v>
      </c>
      <c r="G784" s="17" t="str">
        <f t="shared" si="92"/>
        <v>Conv Gravenstein Apples - HP</v>
      </c>
      <c r="H784" s="18" t="str">
        <f t="shared" si="90"/>
        <v>LBS</v>
      </c>
      <c r="I784" s="19">
        <v>1</v>
      </c>
      <c r="J784" s="20">
        <v>1</v>
      </c>
    </row>
    <row r="785" spans="1:10" ht="15.75" thickBot="1" x14ac:dyDescent="0.3">
      <c r="A785" t="s">
        <v>31</v>
      </c>
      <c r="B785" s="15" t="str">
        <f>"""Manzana NAV"",""MANZANA"",""99000772"",""44"","" "",""22"",""False"",""43"",""0.00000000000000000000"",""12"",""Conv Gravenstein Apples - HP"",""50220"",""False"",""29"","""",""50210"",""False"",""18"","""",""11"",""AGR01"",""2"",""70000"",""1"",""AMS01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70000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5" s="15"/>
      <c r="D785" s="16" t="str">
        <f>"AMS01"</f>
        <v>AMS01</v>
      </c>
      <c r="E785" s="16">
        <v>70000</v>
      </c>
      <c r="F785" s="16" t="str">
        <f t="shared" si="91"/>
        <v>AGR01</v>
      </c>
      <c r="G785" s="17" t="str">
        <f t="shared" si="92"/>
        <v>Conv Gravenstein Apples - HP</v>
      </c>
      <c r="H785" s="18" t="str">
        <f t="shared" si="90"/>
        <v>LBS</v>
      </c>
      <c r="I785" s="19">
        <v>1</v>
      </c>
      <c r="J785" s="20">
        <v>1</v>
      </c>
    </row>
    <row r="786" spans="1:10" ht="15.75" thickBot="1" x14ac:dyDescent="0.3">
      <c r="A786" t="s">
        <v>31</v>
      </c>
      <c r="B786" s="15" t="str">
        <f>"""Manzana NAV"",""MANZANA"",""99000772"",""44"","" "",""22"",""False"",""43"",""0.00000000000000000000"",""12"",""Conv Gravenstein Apples - HP"",""50220"",""False"",""29"","""",""50210"",""False"",""18"","""",""11"",""AGR01"",""2"",""100000"",""1"",""AMPJ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100000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6" s="15"/>
      <c r="D786" s="16" t="str">
        <f>"AMPJ01"</f>
        <v>AMPJ01</v>
      </c>
      <c r="E786" s="16">
        <v>100000</v>
      </c>
      <c r="F786" s="16" t="str">
        <f t="shared" si="91"/>
        <v>AGR01</v>
      </c>
      <c r="G786" s="17" t="str">
        <f t="shared" si="92"/>
        <v>Conv Gravenstein Apples - HP</v>
      </c>
      <c r="H786" s="18" t="str">
        <f t="shared" si="90"/>
        <v>LBS</v>
      </c>
      <c r="I786" s="19">
        <v>1</v>
      </c>
      <c r="J786" s="20">
        <v>1</v>
      </c>
    </row>
    <row r="787" spans="1:10" ht="15.75" thickBot="1" x14ac:dyDescent="0.3">
      <c r="A787" t="s">
        <v>31</v>
      </c>
      <c r="B787" s="15" t="str">
        <f>"""Manzana NAV"",""MANZANA"",""99000772"",""44"","" "",""22"",""False"",""43"",""0.00000000000000000000"",""12"",""Conv Gravenstein Apples - HP"",""50220"",""False"",""29"","""",""50210"",""False"",""18"","""",""11"",""AGR01"",""2"",""110000"",""1"",""AMPV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110000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7" s="15"/>
      <c r="D787" s="16" t="str">
        <f>"AMPV00"</f>
        <v>AMPV00</v>
      </c>
      <c r="E787" s="16">
        <v>110000</v>
      </c>
      <c r="F787" s="16" t="str">
        <f t="shared" si="91"/>
        <v>AGR01</v>
      </c>
      <c r="G787" s="17" t="str">
        <f t="shared" si="92"/>
        <v>Conv Gravenstein Apples - HP</v>
      </c>
      <c r="H787" s="18" t="str">
        <f t="shared" si="90"/>
        <v>LBS</v>
      </c>
      <c r="I787" s="19">
        <v>1</v>
      </c>
      <c r="J787" s="20">
        <v>1</v>
      </c>
    </row>
    <row r="788" spans="1:10" ht="15.75" thickBot="1" x14ac:dyDescent="0.3">
      <c r="A788" t="s">
        <v>31</v>
      </c>
      <c r="B788" s="15" t="str">
        <f>"""Manzana NAV"",""MANZANA"",""99000772"",""44"","" "",""22"",""False"",""43"",""0.00000000000000000000"",""12"",""Conv Gravenstein Apples - OR#2"",""50220"",""False"",""29"","""",""50210"",""False"",""18"","""",""11"",""AGR02"",""2"",""30000"",""1"",""AMPJ00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30000","1","AMPJ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8" s="15"/>
      <c r="D788" s="16" t="str">
        <f>"AMPJ00"</f>
        <v>AMPJ00</v>
      </c>
      <c r="E788" s="16">
        <v>30000</v>
      </c>
      <c r="F788" s="16" t="str">
        <f t="shared" ref="F788:F793" si="93">"AGR02"</f>
        <v>AGR02</v>
      </c>
      <c r="G788" s="17" t="str">
        <f t="shared" ref="G788:G793" si="94">"Conv Gravenstein Apples - OR#2"</f>
        <v>Conv Gravenstein Apples - OR#2</v>
      </c>
      <c r="H788" s="18" t="str">
        <f t="shared" si="90"/>
        <v>LBS</v>
      </c>
      <c r="I788" s="19">
        <v>1</v>
      </c>
      <c r="J788" s="20">
        <v>1</v>
      </c>
    </row>
    <row r="789" spans="1:10" ht="15.75" thickBot="1" x14ac:dyDescent="0.3">
      <c r="A789" t="s">
        <v>31</v>
      </c>
      <c r="B789" s="15" t="str">
        <f>"""Manzana NAV"",""MANZANA"",""99000772"",""44"","" "",""22"",""False"",""43"",""0.00000000000000000000"",""12"",""Conv Gravenstein Apples - OR#2"",""50220"",""False"",""29"","""",""50210"",""False"",""18"","""",""11"",""AGR02"",""2"",""30000"",""1"",""AMPV01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30000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9" s="15"/>
      <c r="D789" s="16" t="str">
        <f>"AMPV01"</f>
        <v>AMPV01</v>
      </c>
      <c r="E789" s="16">
        <v>30000</v>
      </c>
      <c r="F789" s="16" t="str">
        <f t="shared" si="93"/>
        <v>AGR02</v>
      </c>
      <c r="G789" s="17" t="str">
        <f t="shared" si="94"/>
        <v>Conv Gravenstein Apples - OR#2</v>
      </c>
      <c r="H789" s="18" t="str">
        <f t="shared" si="90"/>
        <v>LBS</v>
      </c>
      <c r="I789" s="19">
        <v>1</v>
      </c>
      <c r="J789" s="20">
        <v>1</v>
      </c>
    </row>
    <row r="790" spans="1:10" ht="15.75" thickBot="1" x14ac:dyDescent="0.3">
      <c r="A790" t="s">
        <v>31</v>
      </c>
      <c r="B790" s="15" t="str">
        <f>"""Manzana NAV"",""MANZANA"",""99000772"",""44"","" "",""22"",""False"",""43"",""0.00000000000000000000"",""12"",""Conv Gravenstein Apples - OR#2"",""50220"",""False"",""29"","""",""50210"",""False"",""18"","""",""11"",""AGR02"",""2"",""30000"",""1"",""AMS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30000","1","AMS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0" s="15"/>
      <c r="D790" s="16" t="str">
        <f>"AMS00"</f>
        <v>AMS00</v>
      </c>
      <c r="E790" s="16">
        <v>30000</v>
      </c>
      <c r="F790" s="16" t="str">
        <f t="shared" si="93"/>
        <v>AGR02</v>
      </c>
      <c r="G790" s="17" t="str">
        <f t="shared" si="94"/>
        <v>Conv Gravenstein Apples - OR#2</v>
      </c>
      <c r="H790" s="18" t="str">
        <f t="shared" si="90"/>
        <v>LBS</v>
      </c>
      <c r="I790" s="19">
        <v>1</v>
      </c>
      <c r="J790" s="20">
        <v>1</v>
      </c>
    </row>
    <row r="791" spans="1:10" ht="15.75" thickBot="1" x14ac:dyDescent="0.3">
      <c r="A791" t="s">
        <v>31</v>
      </c>
      <c r="B791" s="15" t="str">
        <f>"""Manzana NAV"",""MANZANA"",""99000772"",""44"","" "",""22"",""False"",""43"",""0.00000000000000000000"",""12"",""Conv Gravenstein Apples - OR#2"",""50220"",""False"",""29"","""",""50210"",""False"",""18"","""",""11"",""AGR02"",""2"",""80000"",""1"",""AMS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80000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1" s="15"/>
      <c r="D791" s="16" t="str">
        <f>"AMS01"</f>
        <v>AMS01</v>
      </c>
      <c r="E791" s="16">
        <v>80000</v>
      </c>
      <c r="F791" s="16" t="str">
        <f t="shared" si="93"/>
        <v>AGR02</v>
      </c>
      <c r="G791" s="17" t="str">
        <f t="shared" si="94"/>
        <v>Conv Gravenstein Apples - OR#2</v>
      </c>
      <c r="H791" s="18" t="str">
        <f t="shared" si="90"/>
        <v>LBS</v>
      </c>
      <c r="I791" s="19">
        <v>1</v>
      </c>
      <c r="J791" s="20">
        <v>1</v>
      </c>
    </row>
    <row r="792" spans="1:10" ht="15.75" thickBot="1" x14ac:dyDescent="0.3">
      <c r="A792" t="s">
        <v>31</v>
      </c>
      <c r="B792" s="15" t="str">
        <f>"""Manzana NAV"",""MANZANA"",""99000772"",""44"","" "",""22"",""False"",""43"",""0.00000000000000000000"",""12"",""Conv Gravenstein Apples - OR#2"",""50220"",""False"",""29"","""",""50210"",""False"",""18"","""",""11"",""AGR02"",""2"",""110000"",""1"",""AMPJ01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110000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2" s="15"/>
      <c r="D792" s="16" t="str">
        <f>"AMPJ01"</f>
        <v>AMPJ01</v>
      </c>
      <c r="E792" s="16">
        <v>110000</v>
      </c>
      <c r="F792" s="16" t="str">
        <f t="shared" si="93"/>
        <v>AGR02</v>
      </c>
      <c r="G792" s="17" t="str">
        <f t="shared" si="94"/>
        <v>Conv Gravenstein Apples - OR#2</v>
      </c>
      <c r="H792" s="18" t="str">
        <f t="shared" si="90"/>
        <v>LBS</v>
      </c>
      <c r="I792" s="19">
        <v>1</v>
      </c>
      <c r="J792" s="20">
        <v>1</v>
      </c>
    </row>
    <row r="793" spans="1:10" ht="15.75" thickBot="1" x14ac:dyDescent="0.3">
      <c r="A793" t="s">
        <v>31</v>
      </c>
      <c r="B793" s="15" t="str">
        <f>"""Manzana NAV"",""MANZANA"",""99000772"",""44"","" "",""22"",""False"",""43"",""0.00000000000000000000"",""12"",""Conv Gravenstein Apples - OR#2"",""50220"",""False"",""29"","""",""50210"",""False"",""18"","""",""11"",""AGR02"",""2"",""120000"",""1"",""AMPV00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120000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3" s="15"/>
      <c r="D793" s="16" t="str">
        <f>"AMPV00"</f>
        <v>AMPV00</v>
      </c>
      <c r="E793" s="16">
        <v>120000</v>
      </c>
      <c r="F793" s="16" t="str">
        <f t="shared" si="93"/>
        <v>AGR02</v>
      </c>
      <c r="G793" s="17" t="str">
        <f t="shared" si="94"/>
        <v>Conv Gravenstein Apples - OR#2</v>
      </c>
      <c r="H793" s="18" t="str">
        <f t="shared" si="90"/>
        <v>LBS</v>
      </c>
      <c r="I793" s="19">
        <v>1</v>
      </c>
      <c r="J793" s="20">
        <v>1</v>
      </c>
    </row>
    <row r="794" spans="1:10" ht="15.75" thickBot="1" x14ac:dyDescent="0.3">
      <c r="A794" t="s">
        <v>31</v>
      </c>
      <c r="B794" s="15" t="str">
        <f>"""Manzana NAV"",""MANZANA"",""99000772"",""44"","" "",""22"",""False"",""43"",""0.00000000000000000000"",""12"",""Conv Gravenstein Apples - PHC"",""50220"",""False"",""29"","""",""50210"",""False"",""18"","""",""11"",""AGR03"",""2"",""40000"",""1"",""AMPJ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40000","1","AMPJ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4" s="15"/>
      <c r="D794" s="16" t="str">
        <f>"AMPJ00"</f>
        <v>AMPJ00</v>
      </c>
      <c r="E794" s="16">
        <v>40000</v>
      </c>
      <c r="F794" s="16" t="str">
        <f t="shared" ref="F794:F799" si="95">"AGR03"</f>
        <v>AGR03</v>
      </c>
      <c r="G794" s="17" t="str">
        <f t="shared" ref="G794:G799" si="96">"Conv Gravenstein Apples - PHC"</f>
        <v>Conv Gravenstein Apples - PHC</v>
      </c>
      <c r="H794" s="18" t="str">
        <f t="shared" si="90"/>
        <v>LBS</v>
      </c>
      <c r="I794" s="19">
        <v>1</v>
      </c>
      <c r="J794" s="20">
        <v>1</v>
      </c>
    </row>
    <row r="795" spans="1:10" ht="15.75" thickBot="1" x14ac:dyDescent="0.3">
      <c r="A795" t="s">
        <v>31</v>
      </c>
      <c r="B795" s="15" t="str">
        <f>"""Manzana NAV"",""MANZANA"",""99000772"",""44"","" "",""22"",""False"",""43"",""0.00000000000000000000"",""12"",""Conv Gravenstein Apples - PHC"",""50220"",""False"",""29"","""",""50210"",""False"",""18"","""",""11"",""AGR03"",""2"",""40000"",""1"",""AMPV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40000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5" s="15"/>
      <c r="D795" s="16" t="str">
        <f>"AMPV01"</f>
        <v>AMPV01</v>
      </c>
      <c r="E795" s="16">
        <v>40000</v>
      </c>
      <c r="F795" s="16" t="str">
        <f t="shared" si="95"/>
        <v>AGR03</v>
      </c>
      <c r="G795" s="17" t="str">
        <f t="shared" si="96"/>
        <v>Conv Gravenstein Apples - PHC</v>
      </c>
      <c r="H795" s="18" t="str">
        <f t="shared" si="90"/>
        <v>LBS</v>
      </c>
      <c r="I795" s="19">
        <v>1</v>
      </c>
      <c r="J795" s="20">
        <v>1</v>
      </c>
    </row>
    <row r="796" spans="1:10" ht="15.75" thickBot="1" x14ac:dyDescent="0.3">
      <c r="A796" t="s">
        <v>31</v>
      </c>
      <c r="B796" s="15" t="str">
        <f>"""Manzana NAV"",""MANZANA"",""99000772"",""44"","" "",""22"",""False"",""43"",""0.00000000000000000000"",""12"",""Conv Gravenstein Apples - PHC"",""50220"",""False"",""29"","""",""50210"",""False"",""18"","""",""11"",""AGR03"",""2"",""40000"",""1"",""AMS00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40000","1","AMS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6" s="15"/>
      <c r="D796" s="16" t="str">
        <f>"AMS00"</f>
        <v>AMS00</v>
      </c>
      <c r="E796" s="16">
        <v>40000</v>
      </c>
      <c r="F796" s="16" t="str">
        <f t="shared" si="95"/>
        <v>AGR03</v>
      </c>
      <c r="G796" s="17" t="str">
        <f t="shared" si="96"/>
        <v>Conv Gravenstein Apples - PHC</v>
      </c>
      <c r="H796" s="18" t="str">
        <f t="shared" si="90"/>
        <v>LBS</v>
      </c>
      <c r="I796" s="19">
        <v>1</v>
      </c>
      <c r="J796" s="20">
        <v>1</v>
      </c>
    </row>
    <row r="797" spans="1:10" ht="15.75" thickBot="1" x14ac:dyDescent="0.3">
      <c r="A797" t="s">
        <v>31</v>
      </c>
      <c r="B797" s="15" t="str">
        <f>"""Manzana NAV"",""MANZANA"",""99000772"",""44"","" "",""22"",""False"",""43"",""0.00000000000000000000"",""12"",""Conv Gravenstein Apples - PHC"",""50220"",""False"",""29"","""",""50210"",""False"",""18"","""",""11"",""AGR03"",""2"",""90000"",""1"",""AMS01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90000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7" s="15"/>
      <c r="D797" s="16" t="str">
        <f>"AMS01"</f>
        <v>AMS01</v>
      </c>
      <c r="E797" s="16">
        <v>90000</v>
      </c>
      <c r="F797" s="16" t="str">
        <f t="shared" si="95"/>
        <v>AGR03</v>
      </c>
      <c r="G797" s="17" t="str">
        <f t="shared" si="96"/>
        <v>Conv Gravenstein Apples - PHC</v>
      </c>
      <c r="H797" s="18" t="str">
        <f t="shared" si="90"/>
        <v>LBS</v>
      </c>
      <c r="I797" s="19">
        <v>1</v>
      </c>
      <c r="J797" s="20">
        <v>1</v>
      </c>
    </row>
    <row r="798" spans="1:10" ht="15.75" thickBot="1" x14ac:dyDescent="0.3">
      <c r="A798" t="s">
        <v>31</v>
      </c>
      <c r="B798" s="15" t="str">
        <f>"""Manzana NAV"",""MANZANA"",""99000772"",""44"","" "",""22"",""False"",""43"",""0.00000000000000000000"",""12"",""Conv Gravenstein Apples - PHC"",""50220"",""False"",""29"","""",""50210"",""False"",""18"","""",""11"",""AGR03"",""2"",""120000"",""1"",""AMPJ01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120000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8" s="15"/>
      <c r="D798" s="16" t="str">
        <f>"AMPJ01"</f>
        <v>AMPJ01</v>
      </c>
      <c r="E798" s="16">
        <v>120000</v>
      </c>
      <c r="F798" s="16" t="str">
        <f t="shared" si="95"/>
        <v>AGR03</v>
      </c>
      <c r="G798" s="17" t="str">
        <f t="shared" si="96"/>
        <v>Conv Gravenstein Apples - PHC</v>
      </c>
      <c r="H798" s="18" t="str">
        <f t="shared" si="90"/>
        <v>LBS</v>
      </c>
      <c r="I798" s="19">
        <v>1</v>
      </c>
      <c r="J798" s="20">
        <v>1</v>
      </c>
    </row>
    <row r="799" spans="1:10" ht="15.75" thickBot="1" x14ac:dyDescent="0.3">
      <c r="A799" t="s">
        <v>31</v>
      </c>
      <c r="B799" s="15" t="str">
        <f>"""Manzana NAV"",""MANZANA"",""99000772"",""44"","" "",""22"",""False"",""43"",""0.00000000000000000000"",""12"",""Conv Gravenstein Apples - PHC"",""50220"",""False"",""29"","""",""50210"",""False"",""18"","""",""11"",""AGR03"",""2"",""130000"",""1"",""AMPV00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130000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9" s="15"/>
      <c r="D799" s="16" t="str">
        <f>"AMPV00"</f>
        <v>AMPV00</v>
      </c>
      <c r="E799" s="16">
        <v>130000</v>
      </c>
      <c r="F799" s="16" t="str">
        <f t="shared" si="95"/>
        <v>AGR03</v>
      </c>
      <c r="G799" s="17" t="str">
        <f t="shared" si="96"/>
        <v>Conv Gravenstein Apples - PHC</v>
      </c>
      <c r="H799" s="18" t="str">
        <f t="shared" si="90"/>
        <v>LBS</v>
      </c>
      <c r="I799" s="19">
        <v>1</v>
      </c>
      <c r="J799" s="20">
        <v>1</v>
      </c>
    </row>
    <row r="800" spans="1:10" ht="15.75" thickBot="1" x14ac:dyDescent="0.3">
      <c r="A800" t="s">
        <v>31</v>
      </c>
      <c r="B800" s="15" t="str">
        <f>"""Manzana NAV"",""MANZANA"",""99000772"",""44"","" "",""22"",""False"",""43"",""0.00000000000000000000"",""12"",""Conv Gravenstein Apples - Sort-outs"",""50220"",""False"",""29"","""",""50210"",""False"",""18"","""",""11"",""AGR05"",""2"",""60000"",""1"",""AMPV01"",""14"",""1.00000000000000000000"",""45"",""1.0"&amp;"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Sort-outs","50220","False","29","","50210","False","18","","11","AGR05","2","60000","1","AMPV01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800" s="15"/>
      <c r="D800" s="16" t="str">
        <f>"AMPV01"</f>
        <v>AMPV01</v>
      </c>
      <c r="E800" s="16">
        <v>60000</v>
      </c>
      <c r="F800" s="16" t="str">
        <f>"AGR05"</f>
        <v>AGR05</v>
      </c>
      <c r="G800" s="17" t="str">
        <f>"Conv Gravenstein Apples - Sort-outs"</f>
        <v>Conv Gravenstein Apples - Sort-outs</v>
      </c>
      <c r="H800" s="18" t="str">
        <f t="shared" ref="H800:H806" si="97">"LBS"</f>
        <v>LBS</v>
      </c>
      <c r="I800" s="19">
        <v>1</v>
      </c>
      <c r="J800" s="20">
        <v>1</v>
      </c>
    </row>
    <row r="801" spans="1:10" ht="15.75" thickBot="1" x14ac:dyDescent="0.3">
      <c r="A801" t="s">
        <v>31</v>
      </c>
      <c r="B801" s="15" t="str">
        <f>"""Manzana NAV"",""MANZANA"",""99000772"",""44"","" "",""22"",""False"",""43"",""0.00000000000000000000"",""12"",""Conv Gravenstein Apples - Sort-outs"",""50220"",""False"",""29"","""",""50210"",""False"",""18"","""",""11"",""AGR05"",""2"",""150000"",""1"",""AMPV00"",""14"",""1.00000000000000000000"",""45"",""1."&amp;"00000000000000000000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Sort-outs","50220","False","29","","50210","False","18","","11","AGR05","2","150000","1","AMPV00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801" s="15"/>
      <c r="D801" s="16" t="str">
        <f>"AMPV00"</f>
        <v>AMPV00</v>
      </c>
      <c r="E801" s="16">
        <v>150000</v>
      </c>
      <c r="F801" s="16" t="str">
        <f>"AGR05"</f>
        <v>AGR05</v>
      </c>
      <c r="G801" s="17" t="str">
        <f>"Conv Gravenstein Apples - Sort-outs"</f>
        <v>Conv Gravenstein Apples - Sort-outs</v>
      </c>
      <c r="H801" s="18" t="str">
        <f t="shared" si="97"/>
        <v>LBS</v>
      </c>
      <c r="I801" s="19">
        <v>1</v>
      </c>
      <c r="J801" s="20">
        <v>1</v>
      </c>
    </row>
    <row r="802" spans="1:10" ht="15.75" thickBot="1" x14ac:dyDescent="0.3">
      <c r="A802" t="s">
        <v>31</v>
      </c>
      <c r="B802" s="15" t="str">
        <f>"""Manzana NAV"",""MANZANA"",""99000772"",""44"","" "",""22"",""False"",""43"",""0.00000000000000000000"",""12"",""Conv Gravenstein Apples - Vinegar"",""50220"",""False"",""29"","""",""50210"",""False"",""18"","""",""11"",""AGR00"",""2"",""10000"",""1"",""AMPV01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Vinegar","50220","False","29","","50210","False","18","","11","AGR00","2","10000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02" s="15"/>
      <c r="D802" s="16" t="str">
        <f>"AMPV01"</f>
        <v>AMPV01</v>
      </c>
      <c r="E802" s="16">
        <v>10000</v>
      </c>
      <c r="F802" s="16" t="str">
        <f>"AGR00"</f>
        <v>AGR00</v>
      </c>
      <c r="G802" s="17" t="str">
        <f>"Conv Gravenstein Apples - Vinegar"</f>
        <v>Conv Gravenstein Apples - Vinegar</v>
      </c>
      <c r="H802" s="18" t="str">
        <f t="shared" si="97"/>
        <v>LBS</v>
      </c>
      <c r="I802" s="19">
        <v>1</v>
      </c>
      <c r="J802" s="20">
        <v>1</v>
      </c>
    </row>
    <row r="803" spans="1:10" ht="15.75" thickBot="1" x14ac:dyDescent="0.3">
      <c r="A803" t="s">
        <v>31</v>
      </c>
      <c r="B803" s="15" t="str">
        <f>"""Manzana NAV"",""MANZANA"",""99000772"",""44"","" "",""22"",""False"",""43"",""0.00000000000000000000"",""12"",""Conv Gravenstein Apples - Vinegar"",""50220"",""False"",""29"","""",""50210"",""False"",""18"","""",""11"",""AGR00"",""2"",""100000"",""1"",""AMPV00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Vinegar","50220","False","29","","50210","False","18","","11","AGR00","2","100000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03" s="15"/>
      <c r="D803" s="16" t="str">
        <f>"AMPV00"</f>
        <v>AMPV00</v>
      </c>
      <c r="E803" s="16">
        <v>100000</v>
      </c>
      <c r="F803" s="16" t="str">
        <f>"AGR00"</f>
        <v>AGR00</v>
      </c>
      <c r="G803" s="17" t="str">
        <f>"Conv Gravenstein Apples - Vinegar"</f>
        <v>Conv Gravenstein Apples - Vinegar</v>
      </c>
      <c r="H803" s="18" t="str">
        <f t="shared" si="97"/>
        <v>LBS</v>
      </c>
      <c r="I803" s="19">
        <v>1</v>
      </c>
      <c r="J803" s="20">
        <v>1</v>
      </c>
    </row>
    <row r="804" spans="1:10" ht="15.75" thickBot="1" x14ac:dyDescent="0.3">
      <c r="A804" t="s">
        <v>31</v>
      </c>
      <c r="B804" s="15" t="str">
        <f>"""Manzana NAV"",""MANZANA"",""99000772"",""44"","" "",""22"",""False"",""43"",""0.00000000000000000000"",""12"",""Conv Gravenstein Peels and Cores"",""50220"",""False"",""29"","""",""50210"",""False"",""18"","""",""11"",""AGR06"",""2"",""70000"",""1"",""AMPJ00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Peels and Cores","50220","False","29","","50210","False","18","","11","AGR06","2","70000","1","AMPJ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04" s="15"/>
      <c r="D804" s="16" t="str">
        <f>"AMPJ00"</f>
        <v>AMPJ00</v>
      </c>
      <c r="E804" s="16">
        <v>70000</v>
      </c>
      <c r="F804" s="16" t="str">
        <f>"AGR06"</f>
        <v>AGR06</v>
      </c>
      <c r="G804" s="17" t="str">
        <f>"Conv Gravenstein Peels and Cores"</f>
        <v>Conv Gravenstein Peels and Cores</v>
      </c>
      <c r="H804" s="18" t="str">
        <f t="shared" si="97"/>
        <v>LBS</v>
      </c>
      <c r="I804" s="19">
        <v>1</v>
      </c>
      <c r="J804" s="20">
        <v>1</v>
      </c>
    </row>
    <row r="805" spans="1:10" ht="15.75" thickBot="1" x14ac:dyDescent="0.3">
      <c r="A805" t="s">
        <v>31</v>
      </c>
      <c r="B805" s="15" t="str">
        <f>"""Manzana NAV"",""MANZANA"",""99000772"",""44"","" "",""22"",""False"",""43"",""0.00000000000000000000"",""12"",""Conv Gravenstein Peels and Cores"",""50220"",""False"",""29"","""",""50210"",""False"",""18"","""",""11"",""AGR06"",""2"",""70000"",""1"",""AMPV01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Peels and Cores","50220","False","29","","50210","False","18","","11","AGR06","2","70000","1","AMPV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05" s="15"/>
      <c r="D805" s="16" t="str">
        <f>"AMPV01"</f>
        <v>AMPV01</v>
      </c>
      <c r="E805" s="16">
        <v>70000</v>
      </c>
      <c r="F805" s="16" t="str">
        <f>"AGR06"</f>
        <v>AGR06</v>
      </c>
      <c r="G805" s="17" t="str">
        <f>"Conv Gravenstein Peels and Cores"</f>
        <v>Conv Gravenstein Peels and Cores</v>
      </c>
      <c r="H805" s="18" t="str">
        <f t="shared" si="97"/>
        <v>LBS</v>
      </c>
      <c r="I805" s="19">
        <v>1</v>
      </c>
      <c r="J805" s="20">
        <v>1</v>
      </c>
    </row>
    <row r="806" spans="1:10" ht="15.75" thickBot="1" x14ac:dyDescent="0.3">
      <c r="A806" t="s">
        <v>31</v>
      </c>
      <c r="B806" s="15" t="str">
        <f>"""Manzana NAV"",""MANZANA"",""99000772"",""44"","" "",""22"",""False"",""43"",""0.00000000000000000000"",""12"",""Conv Gravenstein Peels and Cores"",""50220"",""False"",""29"","""",""50210"",""False"",""18"","""",""11"",""AGR06"",""2"",""160000"",""1"",""AMPV00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Peels and Cores","50220","False","29","","50210","False","18","","11","AGR06","2","160000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06" s="15"/>
      <c r="D806" s="16" t="str">
        <f>"AMPV00"</f>
        <v>AMPV00</v>
      </c>
      <c r="E806" s="16">
        <v>160000</v>
      </c>
      <c r="F806" s="16" t="str">
        <f>"AGR06"</f>
        <v>AGR06</v>
      </c>
      <c r="G806" s="17" t="str">
        <f>"Conv Gravenstein Peels and Cores"</f>
        <v>Conv Gravenstein Peels and Cores</v>
      </c>
      <c r="H806" s="18" t="str">
        <f t="shared" si="97"/>
        <v>LBS</v>
      </c>
      <c r="I806" s="19">
        <v>1</v>
      </c>
      <c r="J806" s="20">
        <v>1</v>
      </c>
    </row>
    <row r="807" spans="1:10" ht="15.75" thickBot="1" x14ac:dyDescent="0.3">
      <c r="A807" t="s">
        <v>31</v>
      </c>
      <c r="B807" s="15" t="str">
        <f>"""Manzana NAV"",""MANZANA"",""99000772"",""44"","" "",""22"",""False"",""43"",""0.00000000000000000000"",""12"",""Conventional Grape Juice"",""50220"",""False"",""29"","""",""50210"",""False"",""18"","""",""11"",""I0008B"",""2"",""40000"",""1"",""IJ016"",""14"",""64.00000000000000000000"",""45"",""64.0000000000"&amp;"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","22","False","43","0.00000000000000000000","12","Conventional Grape Juice","50220","False","29","","50210","False","18","","11","I0008B","2","40000","1","IJ016","14","64.00000000000000000000","45","64.00000000000000000000","19","","20","0.00000000000000000000","50000","0.00000000000000000000","50230","False","28","","10","Item","13","OZ","21","","3","","42","0.00000000000000000000","50200","False","41","0.00000000000000000000"</v>
      </c>
      <c r="C807" s="15"/>
      <c r="D807" s="16" t="str">
        <f>"IJ016"</f>
        <v>IJ016</v>
      </c>
      <c r="E807" s="16">
        <v>40000</v>
      </c>
      <c r="F807" s="16" t="str">
        <f>"I0008B"</f>
        <v>I0008B</v>
      </c>
      <c r="G807" s="17" t="str">
        <f>"Conventional Grape Juice"</f>
        <v>Conventional Grape Juice</v>
      </c>
      <c r="H807" s="18" t="str">
        <f>"OZ"</f>
        <v>OZ</v>
      </c>
      <c r="I807" s="19">
        <v>64</v>
      </c>
      <c r="J807" s="20">
        <v>64</v>
      </c>
    </row>
    <row r="808" spans="1:10" ht="15.75" thickBot="1" x14ac:dyDescent="0.3">
      <c r="A808" t="s">
        <v>31</v>
      </c>
      <c r="B808" s="15" t="str">
        <f>"""Manzana NAV"",""MANZANA"",""99000772"",""44"","" "",""22"",""False"",""43"",""0.00000000000000000000"",""12"",""Co-Pack Conv Blend Mix for Pressing Juice"",""50220"",""False"",""29"","""",""50210"",""False"",""18"","""",""11"",""AMPJ03"",""2"",""10000"",""1"",""FJ0960"",""14"",""11.00000000000000000000"","""&amp;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Conv Blend Mix for Pressing Juice","50220","False","29","","50210","False","18","","11","AMPJ03","2","10000","1","FJ0960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08" s="15"/>
      <c r="D808" s="16" t="str">
        <f>"FJ0960"</f>
        <v>FJ0960</v>
      </c>
      <c r="E808" s="16">
        <v>10000</v>
      </c>
      <c r="F808" s="16" t="str">
        <f>"AMPJ03"</f>
        <v>AMPJ03</v>
      </c>
      <c r="G808" s="17" t="str">
        <f>"Co-Pack Conv Blend Mix for Pressing Juice"</f>
        <v>Co-Pack Conv Blend Mix for Pressing Juice</v>
      </c>
      <c r="H808" s="18" t="str">
        <f t="shared" ref="H808:H853" si="98">"LBS"</f>
        <v>LBS</v>
      </c>
      <c r="I808" s="19">
        <v>11</v>
      </c>
      <c r="J808" s="20">
        <v>11</v>
      </c>
    </row>
    <row r="809" spans="1:10" ht="15.75" thickBot="1" x14ac:dyDescent="0.3">
      <c r="A809" t="s">
        <v>31</v>
      </c>
      <c r="B809" s="15" t="str">
        <f>"""Manzana NAV"",""MANZANA"",""99000772"",""44"","" "",""22"",""False"",""43"",""0.00000000000000000000"",""12"",""Co-Pack Conv Gravenstein Apples-HP"",""50220"",""False"",""29"","""",""50210"",""False"",""18"","""",""11"",""AGR07"",""2"",""20000"",""1"",""AMPJ03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Conv Gravenstein Apples-HP","50220","False","29","","50210","False","18","","11","AGR07","2","20000","1","AMPJ03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09" s="15"/>
      <c r="D809" s="16" t="str">
        <f>"AMPJ03"</f>
        <v>AMPJ03</v>
      </c>
      <c r="E809" s="16">
        <v>20000</v>
      </c>
      <c r="F809" s="16" t="str">
        <f>"AGR07"</f>
        <v>AGR07</v>
      </c>
      <c r="G809" s="17" t="str">
        <f>"Co-Pack Conv Gravenstein Apples-HP"</f>
        <v>Co-Pack Conv Gravenstein Apples-HP</v>
      </c>
      <c r="H809" s="18" t="str">
        <f t="shared" si="98"/>
        <v>LBS</v>
      </c>
      <c r="I809" s="19">
        <v>1</v>
      </c>
      <c r="J809" s="20">
        <v>1</v>
      </c>
    </row>
    <row r="810" spans="1:10" ht="15.75" thickBot="1" x14ac:dyDescent="0.3">
      <c r="A810" t="s">
        <v>31</v>
      </c>
      <c r="B810" s="15" t="str">
        <f>"""Manzana NAV"",""MANZANA"",""99000772"",""44"","" "",""22"",""False"",""43"",""0.00000000000000000000"",""12"",""Co-Pack Conv Gravenstein Apples-HP"",""50220"",""False"",""29"","""",""50210"",""False"",""18"","""",""11"",""AGR07"",""2"",""140000"",""1"",""AMPJ01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Conv Gravenstein Apples-HP","50220","False","29","","50210","False","18","","11","AGR07","2","140000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0" s="15"/>
      <c r="D810" s="16" t="str">
        <f>"AMPJ01"</f>
        <v>AMPJ01</v>
      </c>
      <c r="E810" s="16">
        <v>140000</v>
      </c>
      <c r="F810" s="16" t="str">
        <f>"AGR07"</f>
        <v>AGR07</v>
      </c>
      <c r="G810" s="17" t="str">
        <f>"Co-Pack Conv Gravenstein Apples-HP"</f>
        <v>Co-Pack Conv Gravenstein Apples-HP</v>
      </c>
      <c r="H810" s="18" t="str">
        <f t="shared" si="98"/>
        <v>LBS</v>
      </c>
      <c r="I810" s="19">
        <v>1</v>
      </c>
      <c r="J810" s="20">
        <v>1</v>
      </c>
    </row>
    <row r="811" spans="1:10" ht="15.75" thickBot="1" x14ac:dyDescent="0.3">
      <c r="A811" t="s">
        <v>31</v>
      </c>
      <c r="B811" s="15" t="str">
        <f>"""Manzana NAV"",""MANZANA"",""99000772"",""44"","" "",""22"",""False"",""43"",""0.00000000000000000000"",""12"",""Co-Pack Conv Pear Mix for Pressing Juice"",""50220"",""False"",""29"","""",""50210"",""False"",""18"","""",""11"",""AMPJ02"",""2"",""10000"",""1"",""FJ0970"",""14"",""11.00000000000000000000"",""4"&amp;"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Conv Pear Mix for Pressing Juice","50220","False","29","","50210","False","18","","11","AMPJ02","2","10000","1","FJ0970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1" s="15"/>
      <c r="D811" s="16" t="str">
        <f>"FJ0970"</f>
        <v>FJ0970</v>
      </c>
      <c r="E811" s="16">
        <v>10000</v>
      </c>
      <c r="F811" s="16" t="str">
        <f>"AMPJ02"</f>
        <v>AMPJ02</v>
      </c>
      <c r="G811" s="17" t="str">
        <f>"Co-Pack Conv Pear Mix for Pressing Juice"</f>
        <v>Co-Pack Conv Pear Mix for Pressing Juice</v>
      </c>
      <c r="H811" s="18" t="str">
        <f t="shared" si="98"/>
        <v>LBS</v>
      </c>
      <c r="I811" s="19">
        <v>11</v>
      </c>
      <c r="J811" s="20">
        <v>11</v>
      </c>
    </row>
    <row r="812" spans="1:10" ht="15.75" thickBot="1" x14ac:dyDescent="0.3">
      <c r="A812" t="s">
        <v>31</v>
      </c>
      <c r="B812" s="15" t="str">
        <f>"""Manzana NAV"",""MANZANA"",""99000772"",""44"","" "",""22"",""False"",""43"",""0.00000000000000000000"",""12"",""COPACK ORG BLEND OR#2"",""50220"",""False"",""29"","""",""50210"",""False"",""18"","""",""11"",""ABL97-B"",""2"",""30000"",""1"",""AMPJ92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 ORG BLEND OR#2","50220","False","29","","50210","False","18","","11","ABL97-B","2","30000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2" s="15"/>
      <c r="D812" s="16" t="str">
        <f>"AMPJ92"</f>
        <v>AMPJ92</v>
      </c>
      <c r="E812" s="16">
        <v>30000</v>
      </c>
      <c r="F812" s="16" t="str">
        <f>"ABL97-B"</f>
        <v>ABL97-B</v>
      </c>
      <c r="G812" s="17" t="str">
        <f>"COPACK ORG BLEND OR#2"</f>
        <v>COPACK ORG BLEND OR#2</v>
      </c>
      <c r="H812" s="18" t="str">
        <f t="shared" si="98"/>
        <v>LBS</v>
      </c>
      <c r="I812" s="19">
        <v>1</v>
      </c>
      <c r="J812" s="20">
        <v>1</v>
      </c>
    </row>
    <row r="813" spans="1:10" ht="15.75" thickBot="1" x14ac:dyDescent="0.3">
      <c r="A813" t="s">
        <v>31</v>
      </c>
      <c r="B813" s="15" t="str">
        <f>"""Manzana NAV"",""MANZANA"",""99000772"",""44"","" "",""22"",""False"",""43"",""0.00000000000000000000"",""12"",""COPACK ORG BLEND OR#2"",""50220"",""False"",""29"","""",""50210"",""False"",""18"","""",""11"",""ABL97-B"",""2"",""30000"",""1"",""AMPV92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 ORG BLEND OR#2","50220","False","29","","50210","False","18","","11","ABL97-B","2","30000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3" s="15"/>
      <c r="D813" s="16" t="str">
        <f>"AMPV92"</f>
        <v>AMPV92</v>
      </c>
      <c r="E813" s="16">
        <v>30000</v>
      </c>
      <c r="F813" s="16" t="str">
        <f>"ABL97-B"</f>
        <v>ABL97-B</v>
      </c>
      <c r="G813" s="17" t="str">
        <f>"COPACK ORG BLEND OR#2"</f>
        <v>COPACK ORG BLEND OR#2</v>
      </c>
      <c r="H813" s="18" t="str">
        <f t="shared" si="98"/>
        <v>LBS</v>
      </c>
      <c r="I813" s="19">
        <v>1</v>
      </c>
      <c r="J813" s="20">
        <v>1</v>
      </c>
    </row>
    <row r="814" spans="1:10" ht="15.75" thickBot="1" x14ac:dyDescent="0.3">
      <c r="A814" t="s">
        <v>31</v>
      </c>
      <c r="B814" s="15" t="str">
        <f>"""Manzana NAV"",""MANZANA"",""99000772"",""44"","" "",""22"",""False"",""43"",""0.00000000000000000000"",""12"",""COPACK ORG BLEND OR#2"",""50220"",""False"",""29"","""",""50210"",""False"",""18"","""",""11"",""ABL97-B"",""2"",""30000"",""1"",""AMS93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 ORG BLEND OR#2","50220","False","29","","50210","False","18","","11","ABL97-B","2","30000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4" s="15"/>
      <c r="D814" s="16" t="str">
        <f>"AMS93"</f>
        <v>AMS93</v>
      </c>
      <c r="E814" s="16">
        <v>30000</v>
      </c>
      <c r="F814" s="16" t="str">
        <f>"ABL97-B"</f>
        <v>ABL97-B</v>
      </c>
      <c r="G814" s="17" t="str">
        <f>"COPACK ORG BLEND OR#2"</f>
        <v>COPACK ORG BLEND OR#2</v>
      </c>
      <c r="H814" s="18" t="str">
        <f t="shared" si="98"/>
        <v>LBS</v>
      </c>
      <c r="I814" s="19">
        <v>1</v>
      </c>
      <c r="J814" s="20">
        <v>1</v>
      </c>
    </row>
    <row r="815" spans="1:10" ht="15.75" thickBot="1" x14ac:dyDescent="0.3">
      <c r="A815" t="s">
        <v>31</v>
      </c>
      <c r="B815" s="15" t="str">
        <f>"""Manzana NAV"",""MANZANA"",""99000772"",""44"","" "",""22"",""False"",""43"",""0.00000000000000000000"",""12"",""Co-Pack Organic Apple Mix for Pressing Vinegar"",""50220"",""False"",""29"","""",""50210"",""False"",""18"","""",""11"",""AMPV92"",""2"",""10000"",""1"",""IV893"",""14"",""11.0000000000000000000"&amp;"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Apple Mix for Pressing Vinegar","50220","False","29","","50210","False","18","","11","AMPV92","2","10000","1","IV893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5" s="15"/>
      <c r="D815" s="16" t="str">
        <f>"IV893"</f>
        <v>IV893</v>
      </c>
      <c r="E815" s="16">
        <v>10000</v>
      </c>
      <c r="F815" s="16" t="str">
        <f>"AMPV92"</f>
        <v>AMPV92</v>
      </c>
      <c r="G815" s="17" t="str">
        <f>"Co-Pack Organic Apple Mix for Pressing Vinegar"</f>
        <v>Co-Pack Organic Apple Mix for Pressing Vinegar</v>
      </c>
      <c r="H815" s="18" t="str">
        <f t="shared" si="98"/>
        <v>LBS</v>
      </c>
      <c r="I815" s="19">
        <v>11</v>
      </c>
      <c r="J815" s="20">
        <v>11</v>
      </c>
    </row>
    <row r="816" spans="1:10" ht="15.75" thickBot="1" x14ac:dyDescent="0.3">
      <c r="A816" t="s">
        <v>31</v>
      </c>
      <c r="B816" s="15" t="str">
        <f>"""Manzana NAV"",""MANZANA"",""99000772"",""44"","" "",""22"",""False"",""43"",""0.00000000000000000000"",""12"",""Co-Pack Organic Apple Mix for Pressing Vinegar"",""50220"",""False"",""29"","""",""50210"",""False"",""18"","""",""11"",""AMPV92"",""2"",""10000"",""1"",""IV894"",""14"",""11.0000000000000000000"&amp;"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Apple Mix for Pressing Vinegar","50220","False","29","","50210","False","18","","11","AMPV92","2","10000","1","IV894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6" s="15"/>
      <c r="D816" s="16" t="str">
        <f>"IV894"</f>
        <v>IV894</v>
      </c>
      <c r="E816" s="16">
        <v>10000</v>
      </c>
      <c r="F816" s="16" t="str">
        <f>"AMPV92"</f>
        <v>AMPV92</v>
      </c>
      <c r="G816" s="17" t="str">
        <f>"Co-Pack Organic Apple Mix for Pressing Vinegar"</f>
        <v>Co-Pack Organic Apple Mix for Pressing Vinegar</v>
      </c>
      <c r="H816" s="18" t="str">
        <f t="shared" si="98"/>
        <v>LBS</v>
      </c>
      <c r="I816" s="19">
        <v>11</v>
      </c>
      <c r="J816" s="20">
        <v>11</v>
      </c>
    </row>
    <row r="817" spans="1:10" ht="15.75" thickBot="1" x14ac:dyDescent="0.3">
      <c r="A817" t="s">
        <v>31</v>
      </c>
      <c r="B817" s="15" t="str">
        <f>"""Manzana NAV"",""MANZANA"",""99000772"",""44"","" "",""22"",""False"",""43"",""0.00000000000000000000"",""12"",""Co-Pack Organic Apple Mix for Pressing Vinegar"",""50220"",""False"",""29"","""",""50210"",""False"",""18"","""",""11"",""AMPV92"",""2"",""10000"",""1"",""IV895"",""14"",""11.0000000000000000000"&amp;"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Apple Mix for Pressing Vinegar","50220","False","29","","50210","False","18","","11","AMPV92","2","10000","1","IV895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7" s="15"/>
      <c r="D817" s="16" t="str">
        <f>"IV895"</f>
        <v>IV895</v>
      </c>
      <c r="E817" s="16">
        <v>10000</v>
      </c>
      <c r="F817" s="16" t="str">
        <f>"AMPV92"</f>
        <v>AMPV92</v>
      </c>
      <c r="G817" s="17" t="str">
        <f>"Co-Pack Organic Apple Mix for Pressing Vinegar"</f>
        <v>Co-Pack Organic Apple Mix for Pressing Vinegar</v>
      </c>
      <c r="H817" s="18" t="str">
        <f t="shared" si="98"/>
        <v>LBS</v>
      </c>
      <c r="I817" s="19">
        <v>11</v>
      </c>
      <c r="J817" s="20">
        <v>11</v>
      </c>
    </row>
    <row r="818" spans="1:10" ht="15.75" thickBot="1" x14ac:dyDescent="0.3">
      <c r="A818" t="s">
        <v>31</v>
      </c>
      <c r="B818" s="15" t="str">
        <f>"""Manzana NAV"",""MANZANA"",""99000772"",""44"","" "",""22"",""False"",""43"",""0.00000000000000000000"",""12"",""Co-Pack Organic Blend Apple Mix for Pressing Juice"",""50220"",""False"",""29"","""",""50210"",""False"",""18"","""",""11"",""AMPJ92"",""2"",""10000"",""1"",""FJ9090"",""14"",""11.00000000000000"&amp;"000000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 Mix for Pressing Juice","50220","False","29","","50210","False","18","","11","AMPJ92","2","10000","1","FJ9090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8" s="15"/>
      <c r="D818" s="16" t="str">
        <f>"FJ9090"</f>
        <v>FJ9090</v>
      </c>
      <c r="E818" s="16">
        <v>10000</v>
      </c>
      <c r="F818" s="16" t="str">
        <f>"AMPJ92"</f>
        <v>AMPJ92</v>
      </c>
      <c r="G818" s="17" t="str">
        <f>"Co-Pack Organic Blend Apple Mix for Pressing Juice"</f>
        <v>Co-Pack Organic Blend Apple Mix for Pressing Juice</v>
      </c>
      <c r="H818" s="18" t="str">
        <f t="shared" si="98"/>
        <v>LBS</v>
      </c>
      <c r="I818" s="19">
        <v>11</v>
      </c>
      <c r="J818" s="20">
        <v>11</v>
      </c>
    </row>
    <row r="819" spans="1:10" ht="15.75" thickBot="1" x14ac:dyDescent="0.3">
      <c r="A819" t="s">
        <v>31</v>
      </c>
      <c r="B819" s="15" t="str">
        <f>"""Manzana NAV"",""MANZANA"",""99000772"",""44"","" "",""22"",""False"",""43"",""0.00000000000000000000"",""12"",""Co-Pack Organic Blend Apple Mix for Sauce"",""50220"",""False"",""29"","""",""50210"",""False"",""18"","""",""11"",""AMS93"",""2"",""10000"",""1"",""ABL100"",""14"",""1.00000000000000000000"",""45"&amp;""",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 Mix for Sauce","50220","False","29","","50210","False","18","","11","AMS93","2","10000","1","ABL100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19" s="15"/>
      <c r="D819" s="16" t="str">
        <f>"ABL100"</f>
        <v>ABL100</v>
      </c>
      <c r="E819" s="16">
        <v>10000</v>
      </c>
      <c r="F819" s="16" t="str">
        <f>"AMS93"</f>
        <v>AMS93</v>
      </c>
      <c r="G819" s="17" t="str">
        <f>"Co-Pack Organic Blend Apple Mix for Sauce"</f>
        <v>Co-Pack Organic Blend Apple Mix for Sauce</v>
      </c>
      <c r="H819" s="18" t="str">
        <f t="shared" si="98"/>
        <v>LBS</v>
      </c>
      <c r="I819" s="19">
        <v>1</v>
      </c>
      <c r="J819" s="20">
        <v>1</v>
      </c>
    </row>
    <row r="820" spans="1:10" ht="15.75" thickBot="1" x14ac:dyDescent="0.3">
      <c r="A820" t="s">
        <v>31</v>
      </c>
      <c r="B820" s="15" t="str">
        <f>"""Manzana NAV"",""MANZANA"",""99000772"",""44"","" "",""22"",""False"",""43"",""0.00000000000000000000"",""12"",""Co-Pack Organic Blend Apple Mix for Sauce"",""50220"",""False"",""29"","""",""50210"",""False"",""18"","""",""11"",""AMS93"",""2"",""10000"",""1"",""APU92"",""14"",""1.00000000000000000000"",""45"""&amp;",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 Mix for Sauce","50220","False","29","","50210","False","18","","11","AMS93","2","10000","1","APU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0" s="15"/>
      <c r="D820" s="16" t="str">
        <f>"APU92"</f>
        <v>APU92</v>
      </c>
      <c r="E820" s="16">
        <v>10000</v>
      </c>
      <c r="F820" s="16" t="str">
        <f>"AMS93"</f>
        <v>AMS93</v>
      </c>
      <c r="G820" s="17" t="str">
        <f>"Co-Pack Organic Blend Apple Mix for Sauce"</f>
        <v>Co-Pack Organic Blend Apple Mix for Sauce</v>
      </c>
      <c r="H820" s="18" t="str">
        <f t="shared" si="98"/>
        <v>LBS</v>
      </c>
      <c r="I820" s="19">
        <v>1</v>
      </c>
      <c r="J820" s="20">
        <v>1</v>
      </c>
    </row>
    <row r="821" spans="1:10" ht="15.75" thickBot="1" x14ac:dyDescent="0.3">
      <c r="A821" t="s">
        <v>31</v>
      </c>
      <c r="B821" s="15" t="str">
        <f>"""Manzana NAV"",""MANZANA"",""99000772"",""44"","" "",""22"",""False"",""43"",""0.00000000000000000000"",""12"",""CoPack Organic Blend Apple Puree"",""50220"",""False"",""29"","""",""50210"",""True"",""18"","""",""11"",""APU92"",""2"",""10000"",""1"",""ISC11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10000","1","ISC11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1" s="15"/>
      <c r="D821" s="16" t="str">
        <f>"ISC11"</f>
        <v>ISC11</v>
      </c>
      <c r="E821" s="16">
        <v>10000</v>
      </c>
      <c r="F821" s="16" t="str">
        <f t="shared" ref="F821:F827" si="99">"APU92"</f>
        <v>APU92</v>
      </c>
      <c r="G821" s="17" t="str">
        <f t="shared" ref="G821:G827" si="100">"CoPack Organic Blend Apple Puree"</f>
        <v>CoPack Organic Blend Apple Puree</v>
      </c>
      <c r="H821" s="18" t="str">
        <f t="shared" si="98"/>
        <v>LBS</v>
      </c>
      <c r="I821" s="19">
        <v>1</v>
      </c>
      <c r="J821" s="20">
        <v>1</v>
      </c>
    </row>
    <row r="822" spans="1:10" ht="15.75" thickBot="1" x14ac:dyDescent="0.3">
      <c r="A822" t="s">
        <v>31</v>
      </c>
      <c r="B822" s="15" t="str">
        <f>"""Manzana NAV"",""MANZANA"",""99000772"",""44"","" "",""22"",""False"",""43"",""0.00000000000000000000"",""12"",""CoPack Organic Blend Apple Puree"",""50220"",""False"",""29"","""",""50210"",""True"",""18"","""",""11"",""APU92"",""2"",""30000"",""1"",""ISC23"",""14"",""0.89860000000000000000"",""45"",""0.898600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30000","1","ISC23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822" s="15"/>
      <c r="D822" s="16" t="str">
        <f>"ISC23"</f>
        <v>ISC23</v>
      </c>
      <c r="E822" s="16">
        <v>30000</v>
      </c>
      <c r="F822" s="16" t="str">
        <f t="shared" si="99"/>
        <v>APU92</v>
      </c>
      <c r="G822" s="17" t="str">
        <f t="shared" si="100"/>
        <v>CoPack Organic Blend Apple Puree</v>
      </c>
      <c r="H822" s="18" t="str">
        <f t="shared" si="98"/>
        <v>LBS</v>
      </c>
      <c r="I822" s="19">
        <v>0.89859999999999995</v>
      </c>
      <c r="J822" s="20">
        <v>0.89859999999999995</v>
      </c>
    </row>
    <row r="823" spans="1:10" ht="15.75" thickBot="1" x14ac:dyDescent="0.3">
      <c r="A823" t="s">
        <v>31</v>
      </c>
      <c r="B823" s="15" t="str">
        <f>"""Manzana NAV"",""MANZANA"",""99000772"",""44"","" "",""22"",""False"",""43"",""0.00000000000000000000"",""12"",""CoPack Organic Blend Apple Puree"",""50220"",""False"",""29"","""",""50210"",""True"",""18"","""",""11"",""APU92"",""2"",""30000"",""1"",""ISC24"",""14"",""0.89860000000000000000"",""45"",""0.898600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30000","1","ISC24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823" s="15"/>
      <c r="D823" s="16" t="str">
        <f>"ISC24"</f>
        <v>ISC24</v>
      </c>
      <c r="E823" s="16">
        <v>30000</v>
      </c>
      <c r="F823" s="16" t="str">
        <f t="shared" si="99"/>
        <v>APU92</v>
      </c>
      <c r="G823" s="17" t="str">
        <f t="shared" si="100"/>
        <v>CoPack Organic Blend Apple Puree</v>
      </c>
      <c r="H823" s="18" t="str">
        <f t="shared" si="98"/>
        <v>LBS</v>
      </c>
      <c r="I823" s="19">
        <v>0.89859999999999995</v>
      </c>
      <c r="J823" s="20">
        <v>0.89859999999999995</v>
      </c>
    </row>
    <row r="824" spans="1:10" ht="15.75" thickBot="1" x14ac:dyDescent="0.3">
      <c r="A824" t="s">
        <v>31</v>
      </c>
      <c r="B824" s="15" t="str">
        <f>"""Manzana NAV"",""MANZANA"",""99000772"",""44"","" "",""22"",""False"",""43"",""0.00000000000000000000"",""12"",""CoPack Organic Blend Apple Puree"",""50220"",""False"",""29"","""",""50210"",""True"",""18"","""",""11"",""APU92"",""2"",""40000"",""1"",""ISC25"",""14"",""0.92870000000000000000"",""45"",""0.928700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40000","1","ISC25","14","0.92870000000000000000","45","0.92870000000000000000","19","","20","0.00000000000000000000","50000","0.00000000000000000000","50230","False","28","","10","Item","13","LBS","21","","3","","42","0.00000000000000000000","50200","False","41","0.00000000000000000000"</v>
      </c>
      <c r="C824" s="15"/>
      <c r="D824" s="16" t="str">
        <f>"ISC25"</f>
        <v>ISC25</v>
      </c>
      <c r="E824" s="16">
        <v>40000</v>
      </c>
      <c r="F824" s="16" t="str">
        <f t="shared" si="99"/>
        <v>APU92</v>
      </c>
      <c r="G824" s="17" t="str">
        <f t="shared" si="100"/>
        <v>CoPack Organic Blend Apple Puree</v>
      </c>
      <c r="H824" s="18" t="str">
        <f t="shared" si="98"/>
        <v>LBS</v>
      </c>
      <c r="I824" s="19">
        <v>0.92869999999999997</v>
      </c>
      <c r="J824" s="20">
        <v>0.92869999999999997</v>
      </c>
    </row>
    <row r="825" spans="1:10" ht="15.75" thickBot="1" x14ac:dyDescent="0.3">
      <c r="A825" t="s">
        <v>31</v>
      </c>
      <c r="B825" s="15" t="str">
        <f>"""Manzana NAV"",""MANZANA"",""99000772"",""44"","" "",""22"",""False"",""43"",""0.00000000000000000000"",""12"",""CoPack Organic Blend Apple Puree"",""50220"",""False"",""29"","""",""50210"",""True"",""18"","""",""11"",""APU92"",""2"",""40000"",""1"",""ISC26"",""14"",""0.92870000000000000000"",""45"",""0.928700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40000","1","ISC26","14","0.92870000000000000000","45","0.92870000000000000000","19","","20","0.00000000000000000000","50000","0.00000000000000000000","50230","False","28","","10","Item","13","LBS","21","","3","","42","0.00000000000000000000","50200","False","41","0.00000000000000000000"</v>
      </c>
      <c r="C825" s="15"/>
      <c r="D825" s="16" t="str">
        <f>"ISC26"</f>
        <v>ISC26</v>
      </c>
      <c r="E825" s="16">
        <v>40000</v>
      </c>
      <c r="F825" s="16" t="str">
        <f t="shared" si="99"/>
        <v>APU92</v>
      </c>
      <c r="G825" s="17" t="str">
        <f t="shared" si="100"/>
        <v>CoPack Organic Blend Apple Puree</v>
      </c>
      <c r="H825" s="18" t="str">
        <f t="shared" si="98"/>
        <v>LBS</v>
      </c>
      <c r="I825" s="19">
        <v>0.92869999999999997</v>
      </c>
      <c r="J825" s="20">
        <v>0.92869999999999997</v>
      </c>
    </row>
    <row r="826" spans="1:10" ht="15.75" thickBot="1" x14ac:dyDescent="0.3">
      <c r="A826" t="s">
        <v>31</v>
      </c>
      <c r="B826" s="15" t="str">
        <f>"""Manzana NAV"",""MANZANA"",""99000772"",""44"","" "",""22"",""False"",""43"",""0.00000000000000000000"",""12"",""CoPack Organic Blend Apple Puree"",""50220"",""False"",""29"","""",""50210"",""True"",""18"","""",""11"",""APU92"",""2"",""50000"",""1"",""ISC14"",""14"",""0.85050000000000000000"",""45"",""0.850500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50000","1","ISC14","14","0.85050000000000000000","45","0.85050000000000000000","19","","20","0.00000000000000000000","50000","0.00000000000000000000","50230","False","28","","10","Item","13","LBS","21","","3","","42","0.00000000000000000000","50200","False","41","0.00000000000000000000"</v>
      </c>
      <c r="C826" s="15"/>
      <c r="D826" s="16" t="str">
        <f>"ISC14"</f>
        <v>ISC14</v>
      </c>
      <c r="E826" s="16">
        <v>50000</v>
      </c>
      <c r="F826" s="16" t="str">
        <f t="shared" si="99"/>
        <v>APU92</v>
      </c>
      <c r="G826" s="17" t="str">
        <f t="shared" si="100"/>
        <v>CoPack Organic Blend Apple Puree</v>
      </c>
      <c r="H826" s="18" t="str">
        <f t="shared" si="98"/>
        <v>LBS</v>
      </c>
      <c r="I826" s="19">
        <v>0.85050000000000003</v>
      </c>
      <c r="J826" s="20">
        <v>0.85050000000000003</v>
      </c>
    </row>
    <row r="827" spans="1:10" ht="15.75" thickBot="1" x14ac:dyDescent="0.3">
      <c r="A827" t="s">
        <v>31</v>
      </c>
      <c r="B827" s="15" t="str">
        <f>"""Manzana NAV"",""MANZANA"",""99000772"",""44"","" "",""22"",""False"",""43"",""0.00000000000000000000"",""12"",""CoPack Organic Blend Apple Puree"",""50220"",""False"",""29"","""",""50210"",""True"",""18"","""",""11"",""APU92"",""2"",""60000"",""1"",""ISC13"",""14"",""0.85800000000000000000"",""45"",""0.858000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60000","1","ISC13","14","0.85800000000000000000","45","0.85800000000000000000","19","","20","0.00000000000000000000","50000","0.00000000000000000000","50230","False","28","","10","Item","13","LBS","21","","3","","42","0.00000000000000000000","50200","False","41","0.00000000000000000000"</v>
      </c>
      <c r="C827" s="15"/>
      <c r="D827" s="16" t="str">
        <f>"ISC13"</f>
        <v>ISC13</v>
      </c>
      <c r="E827" s="16">
        <v>60000</v>
      </c>
      <c r="F827" s="16" t="str">
        <f t="shared" si="99"/>
        <v>APU92</v>
      </c>
      <c r="G827" s="17" t="str">
        <f t="shared" si="100"/>
        <v>CoPack Organic Blend Apple Puree</v>
      </c>
      <c r="H827" s="18" t="str">
        <f t="shared" si="98"/>
        <v>LBS</v>
      </c>
      <c r="I827" s="19">
        <v>0.85799999999999998</v>
      </c>
      <c r="J827" s="20">
        <v>0.85799999999999998</v>
      </c>
    </row>
    <row r="828" spans="1:10" ht="15.75" thickBot="1" x14ac:dyDescent="0.3">
      <c r="A828" t="s">
        <v>31</v>
      </c>
      <c r="B828" s="15" t="str">
        <f>"""Manzana NAV"",""MANZANA"",""99000772"",""44"","" "",""22"",""False"",""43"",""0.00000000000000000000"",""12"",""Co-Pack Organic Blend Apples - Elim"",""50220"",""True"",""29"","""",""50210"",""False"",""18"","""",""11"",""ABL98"",""2"",""40000"",""1"",""AMPJ92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Apples - Elim","50220","True","29","","50210","False","18","","11","ABL98","2","40000","1","AMPJ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8" s="15"/>
      <c r="D828" s="16" t="str">
        <f>"AMPJ92"</f>
        <v>AMPJ92</v>
      </c>
      <c r="E828" s="16">
        <v>40000</v>
      </c>
      <c r="F828" s="16" t="str">
        <f>"ABL98"</f>
        <v>ABL98</v>
      </c>
      <c r="G828" s="17" t="str">
        <f>"Co-Pack Organic Blend Apples - Elim"</f>
        <v>Co-Pack Organic Blend Apples - Elim</v>
      </c>
      <c r="H828" s="18" t="str">
        <f t="shared" si="98"/>
        <v>LBS</v>
      </c>
      <c r="I828" s="19">
        <v>1</v>
      </c>
      <c r="J828" s="20">
        <v>1</v>
      </c>
    </row>
    <row r="829" spans="1:10" ht="15.75" thickBot="1" x14ac:dyDescent="0.3">
      <c r="A829" t="s">
        <v>31</v>
      </c>
      <c r="B829" s="15" t="str">
        <f>"""Manzana NAV"",""MANZANA"",""99000772"",""44"","" "",""22"",""False"",""43"",""0.00000000000000000000"",""12"",""Co-Pack Organic Blend Apples - Elim"",""50220"",""True"",""29"","""",""50210"",""False"",""18"","""",""11"",""ABL98"",""2"",""40000"",""1"",""AMPV92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Apples - Elim","50220","True","29","","50210","False","18","","11","ABL98","2","40000","1","AMPV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9" s="15"/>
      <c r="D829" s="16" t="str">
        <f>"AMPV92"</f>
        <v>AMPV92</v>
      </c>
      <c r="E829" s="16">
        <v>40000</v>
      </c>
      <c r="F829" s="16" t="str">
        <f>"ABL98"</f>
        <v>ABL98</v>
      </c>
      <c r="G829" s="17" t="str">
        <f>"Co-Pack Organic Blend Apples - Elim"</f>
        <v>Co-Pack Organic Blend Apples - Elim</v>
      </c>
      <c r="H829" s="18" t="str">
        <f t="shared" si="98"/>
        <v>LBS</v>
      </c>
      <c r="I829" s="19">
        <v>1</v>
      </c>
      <c r="J829" s="20">
        <v>1</v>
      </c>
    </row>
    <row r="830" spans="1:10" ht="15.75" thickBot="1" x14ac:dyDescent="0.3">
      <c r="A830" t="s">
        <v>31</v>
      </c>
      <c r="B830" s="15" t="str">
        <f>"""Manzana NAV"",""MANZANA"",""99000772"",""44"","" "",""22"",""False"",""43"",""0.00000000000000000000"",""12"",""Co-Pack Organic GRAV Apple Mix for Pressing Juice"",""50220"",""False"",""29"","""",""50210"",""False"",""18"","""",""11"",""AMPJ93"",""2"",""10000"",""1"",""FJ9080"",""14"",""11.000000000000000"&amp;"00000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 Mix for Pressing Juice","50220","False","29","","50210","False","18","","11","AMPJ93","2","10000","1","FJ9080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30" s="15"/>
      <c r="D830" s="16" t="str">
        <f>"FJ9080"</f>
        <v>FJ9080</v>
      </c>
      <c r="E830" s="16">
        <v>10000</v>
      </c>
      <c r="F830" s="16" t="str">
        <f>"AMPJ93"</f>
        <v>AMPJ93</v>
      </c>
      <c r="G830" s="17" t="str">
        <f>"Co-Pack Organic GRAV Apple Mix for Pressing Juice"</f>
        <v>Co-Pack Organic GRAV Apple Mix for Pressing Juice</v>
      </c>
      <c r="H830" s="18" t="str">
        <f t="shared" si="98"/>
        <v>LBS</v>
      </c>
      <c r="I830" s="19">
        <v>11</v>
      </c>
      <c r="J830" s="20">
        <v>11</v>
      </c>
    </row>
    <row r="831" spans="1:10" ht="15.75" thickBot="1" x14ac:dyDescent="0.3">
      <c r="A831" t="s">
        <v>31</v>
      </c>
      <c r="B831" s="15" t="str">
        <f>"""Manzana NAV"",""MANZANA"",""99000772"",""44"","" "",""22"",""False"",""43"",""0.00000000000000000000"",""12"",""Co-Pack Organic GRAV Apple Mix for Sauce"",""50220"",""False"",""29"","""",""50210"",""False"",""18"","""",""11"",""AMS92"",""2"",""10000"",""1"",""AGR99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 Mix for Sauce","50220","False","29","","50210","False","18","","11","AMS92","2","10000","1","AGR99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1" s="15"/>
      <c r="D831" s="16" t="str">
        <f>"AGR99"</f>
        <v>AGR99</v>
      </c>
      <c r="E831" s="16">
        <v>10000</v>
      </c>
      <c r="F831" s="16" t="str">
        <f>"AMS92"</f>
        <v>AMS92</v>
      </c>
      <c r="G831" s="17" t="str">
        <f>"Co-Pack Organic GRAV Apple Mix for Sauce"</f>
        <v>Co-Pack Organic GRAV Apple Mix for Sauce</v>
      </c>
      <c r="H831" s="18" t="str">
        <f t="shared" si="98"/>
        <v>LBS</v>
      </c>
      <c r="I831" s="19">
        <v>1</v>
      </c>
      <c r="J831" s="20">
        <v>1</v>
      </c>
    </row>
    <row r="832" spans="1:10" ht="15.75" thickBot="1" x14ac:dyDescent="0.3">
      <c r="A832" t="s">
        <v>31</v>
      </c>
      <c r="B832" s="15" t="str">
        <f>"""Manzana NAV"",""MANZANA"",""99000772"",""44"","" "",""22"",""False"",""43"",""0.00000000000000000000"",""12"",""Co-Pack Organic GRAV Apple Mix for Sauce"",""50220"",""False"",""29"","""",""50210"",""False"",""18"","""",""11"",""AMS92"",""2"",""10000"",""1"",""APU93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 Mix for Sauce","50220","False","29","","50210","False","18","","11","AMS92","2","10000","1","APU93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2" s="15"/>
      <c r="D832" s="16" t="str">
        <f>"APU93"</f>
        <v>APU93</v>
      </c>
      <c r="E832" s="16">
        <v>10000</v>
      </c>
      <c r="F832" s="16" t="str">
        <f>"AMS92"</f>
        <v>AMS92</v>
      </c>
      <c r="G832" s="17" t="str">
        <f>"Co-Pack Organic GRAV Apple Mix for Sauce"</f>
        <v>Co-Pack Organic GRAV Apple Mix for Sauce</v>
      </c>
      <c r="H832" s="18" t="str">
        <f t="shared" si="98"/>
        <v>LBS</v>
      </c>
      <c r="I832" s="19">
        <v>1</v>
      </c>
      <c r="J832" s="20">
        <v>1</v>
      </c>
    </row>
    <row r="833" spans="1:10" ht="15.75" thickBot="1" x14ac:dyDescent="0.3">
      <c r="A833" t="s">
        <v>31</v>
      </c>
      <c r="B833" s="15" t="str">
        <f>"""Manzana NAV"",""MANZANA"",""99000772"",""44"","" "",""22"",""False"",""43"",""0.00000000000000000000"",""12"",""CoPack Organic GRAV Apple Puree"",""50220"",""False"",""29"","""",""50210"",""True"",""18"","""",""11"",""APU93"",""2"",""10000"",""1"",""ISC12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GRAV Apple Puree","50220","False","29","","50210","True","18","","11","APU93","2","10000","1","ISC12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3" s="15"/>
      <c r="D833" s="16" t="str">
        <f>"ISC12"</f>
        <v>ISC12</v>
      </c>
      <c r="E833" s="16">
        <v>10000</v>
      </c>
      <c r="F833" s="16" t="str">
        <f>"APU93"</f>
        <v>APU93</v>
      </c>
      <c r="G833" s="17" t="str">
        <f>"CoPack Organic GRAV Apple Puree"</f>
        <v>CoPack Organic GRAV Apple Puree</v>
      </c>
      <c r="H833" s="18" t="str">
        <f t="shared" si="98"/>
        <v>LBS</v>
      </c>
      <c r="I833" s="19">
        <v>1</v>
      </c>
      <c r="J833" s="20">
        <v>1</v>
      </c>
    </row>
    <row r="834" spans="1:10" ht="15.75" thickBot="1" x14ac:dyDescent="0.3">
      <c r="A834" t="s">
        <v>31</v>
      </c>
      <c r="B834" s="15" t="str">
        <f>"""Manzana NAV"",""MANZANA"",""99000772"",""44"","" "",""22"",""False"",""43"",""0.00000000000000000000"",""12"",""Co-Pack Organic GRAV Apples - Elim"",""50220"",""True"",""29"","""",""50210"",""False"",""18"","""",""11"",""AGR98"",""2"",""30000"",""1"",""AMPJ93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Apples - Elim","50220","True","29","","50210","False","18","","11","AGR98","2","30000","1","AMPJ93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4" s="15"/>
      <c r="D834" s="16" t="str">
        <f>"AMPJ93"</f>
        <v>AMPJ93</v>
      </c>
      <c r="E834" s="16">
        <v>30000</v>
      </c>
      <c r="F834" s="16" t="str">
        <f>"AGR98"</f>
        <v>AGR98</v>
      </c>
      <c r="G834" s="17" t="str">
        <f>"Co-Pack Organic GRAV Apples - Elim"</f>
        <v>Co-Pack Organic GRAV Apples - Elim</v>
      </c>
      <c r="H834" s="18" t="str">
        <f t="shared" si="98"/>
        <v>LBS</v>
      </c>
      <c r="I834" s="19">
        <v>1</v>
      </c>
      <c r="J834" s="20">
        <v>1</v>
      </c>
    </row>
    <row r="835" spans="1:10" ht="15.75" thickBot="1" x14ac:dyDescent="0.3">
      <c r="A835" t="s">
        <v>31</v>
      </c>
      <c r="B835" s="15" t="str">
        <f>"""Manzana NAV"",""MANZANA"",""99000772"",""44"","" "",""22"",""False"",""43"",""0.00000000000000000000"",""12"",""Co-Pack Organic GRAV Apples - Elim"",""50220"",""True"",""29"","""",""50210"",""False"",""18"","""",""11"",""AGR98"",""2"",""70000"",""1"",""AMPJ92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Apples - Elim","50220","True","29","","50210","False","18","","11","AGR98","2","70000","1","AMPJ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5" s="15"/>
      <c r="D835" s="16" t="str">
        <f>"AMPJ92"</f>
        <v>AMPJ92</v>
      </c>
      <c r="E835" s="16">
        <v>70000</v>
      </c>
      <c r="F835" s="16" t="str">
        <f>"AGR98"</f>
        <v>AGR98</v>
      </c>
      <c r="G835" s="17" t="str">
        <f>"Co-Pack Organic GRAV Apples - Elim"</f>
        <v>Co-Pack Organic GRAV Apples - Elim</v>
      </c>
      <c r="H835" s="18" t="str">
        <f t="shared" si="98"/>
        <v>LBS</v>
      </c>
      <c r="I835" s="19">
        <v>1</v>
      </c>
      <c r="J835" s="20">
        <v>1</v>
      </c>
    </row>
    <row r="836" spans="1:10" ht="15.75" thickBot="1" x14ac:dyDescent="0.3">
      <c r="A836" t="s">
        <v>31</v>
      </c>
      <c r="B836" s="15" t="str">
        <f>"""Manzana NAV"",""MANZANA"",""99000772"",""44"","" "",""22"",""False"",""43"",""0.00000000000000000000"",""12"",""Co-Pack Organic GRAV Apples - Elim"",""50220"",""True"",""29"","""",""50210"",""False"",""18"","""",""11"",""AGR98"",""2"",""80000"",""1"",""AMPV92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Apples - Elim","50220","True","29","","50210","False","18","","11","AGR98","2","80000","1","AMPV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6" s="15"/>
      <c r="D836" s="16" t="str">
        <f>"AMPV92"</f>
        <v>AMPV92</v>
      </c>
      <c r="E836" s="16">
        <v>80000</v>
      </c>
      <c r="F836" s="16" t="str">
        <f>"AGR98"</f>
        <v>AGR98</v>
      </c>
      <c r="G836" s="17" t="str">
        <f>"Co-Pack Organic GRAV Apples - Elim"</f>
        <v>Co-Pack Organic GRAV Apples - Elim</v>
      </c>
      <c r="H836" s="18" t="str">
        <f t="shared" si="98"/>
        <v>LBS</v>
      </c>
      <c r="I836" s="19">
        <v>1</v>
      </c>
      <c r="J836" s="20">
        <v>1</v>
      </c>
    </row>
    <row r="837" spans="1:10" ht="15.75" thickBot="1" x14ac:dyDescent="0.3">
      <c r="A837" t="s">
        <v>31</v>
      </c>
      <c r="B837" s="15" t="str">
        <f>"""Manzana NAV"",""MANZANA"",""99000772"",""44"","" "",""22"",""False"",""43"",""0.00000000000000000000"",""12"",""Co-Pack Organic GRAV Apples -OR#2"",""50220"",""False"",""29"","""",""50210"",""False"",""18"","""",""11"",""AGR97-B"",""2"",""10000"",""1"",""AMPJ93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10000","1","AMPJ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37" s="15"/>
      <c r="D837" s="16" t="str">
        <f>"AMPJ93"</f>
        <v>AMPJ93</v>
      </c>
      <c r="E837" s="16">
        <v>10000</v>
      </c>
      <c r="F837" s="16" t="str">
        <f>"AGR97-B"</f>
        <v>AGR97-B</v>
      </c>
      <c r="G837" s="17" t="str">
        <f>"Co-Pack Organic GRAV Apples -OR#2"</f>
        <v>Co-Pack Organic GRAV Apples -OR#2</v>
      </c>
      <c r="H837" s="18" t="str">
        <f t="shared" si="98"/>
        <v>LBS</v>
      </c>
      <c r="I837" s="19">
        <v>1</v>
      </c>
      <c r="J837" s="20">
        <v>1</v>
      </c>
    </row>
    <row r="838" spans="1:10" ht="15.75" thickBot="1" x14ac:dyDescent="0.3">
      <c r="A838" t="s">
        <v>31</v>
      </c>
      <c r="B838" s="15" t="str">
        <f>"""Manzana NAV"",""MANZANA"",""99000772"",""44"","" "",""22"",""False"",""43"",""0.00000000000000000000"",""12"",""Co-Pack Organic GRAV Apples -OR#2"",""50220"",""False"",""29"","""",""50210"",""False"",""18"","""",""11"",""AGR97-B"",""2"",""10000"",""1"",""AMS92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10000","1","AMS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38" s="15"/>
      <c r="D838" s="16" t="str">
        <f>"AMS92"</f>
        <v>AMS92</v>
      </c>
      <c r="E838" s="16">
        <v>10000</v>
      </c>
      <c r="F838" s="16" t="str">
        <f>"AGR97-B"</f>
        <v>AGR97-B</v>
      </c>
      <c r="G838" s="17" t="str">
        <f>"Co-Pack Organic GRAV Apples -OR#2"</f>
        <v>Co-Pack Organic GRAV Apples -OR#2</v>
      </c>
      <c r="H838" s="18" t="str">
        <f t="shared" si="98"/>
        <v>LBS</v>
      </c>
      <c r="I838" s="19">
        <v>1</v>
      </c>
      <c r="J838" s="20">
        <v>1</v>
      </c>
    </row>
    <row r="839" spans="1:10" ht="15.75" thickBot="1" x14ac:dyDescent="0.3">
      <c r="A839" t="s">
        <v>31</v>
      </c>
      <c r="B839" s="15" t="str">
        <f>"""Manzana NAV"",""MANZANA"",""99000772"",""44"","" "",""22"",""False"",""43"",""0.00000000000000000000"",""12"",""Co-Pack Organic GRAV Apples -OR#2"",""50220"",""False"",""29"","""",""50210"",""False"",""18"","""",""11"",""AGR97-B"",""2"",""40000"",""1"",""AMS93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40000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39" s="15"/>
      <c r="D839" s="16" t="str">
        <f>"AMS93"</f>
        <v>AMS93</v>
      </c>
      <c r="E839" s="16">
        <v>40000</v>
      </c>
      <c r="F839" s="16" t="str">
        <f>"AGR97-B"</f>
        <v>AGR97-B</v>
      </c>
      <c r="G839" s="17" t="str">
        <f>"Co-Pack Organic GRAV Apples -OR#2"</f>
        <v>Co-Pack Organic GRAV Apples -OR#2</v>
      </c>
      <c r="H839" s="18" t="str">
        <f t="shared" si="98"/>
        <v>LBS</v>
      </c>
      <c r="I839" s="19">
        <v>1</v>
      </c>
      <c r="J839" s="20">
        <v>1</v>
      </c>
    </row>
    <row r="840" spans="1:10" ht="15.75" thickBot="1" x14ac:dyDescent="0.3">
      <c r="A840" t="s">
        <v>31</v>
      </c>
      <c r="B840" s="15" t="str">
        <f>"""Manzana NAV"",""MANZANA"",""99000772"",""44"","" "",""22"",""False"",""43"",""0.00000000000000000000"",""12"",""Co-Pack Organic GRAV Apples -OR#2"",""50220"",""False"",""29"","""",""50210"",""False"",""18"","""",""11"",""AGR97-B"",""2"",""50000"",""1"",""AMPJ92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50000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0" s="15"/>
      <c r="D840" s="16" t="str">
        <f>"AMPJ92"</f>
        <v>AMPJ92</v>
      </c>
      <c r="E840" s="16">
        <v>50000</v>
      </c>
      <c r="F840" s="16" t="str">
        <f>"AGR97-B"</f>
        <v>AGR97-B</v>
      </c>
      <c r="G840" s="17" t="str">
        <f>"Co-Pack Organic GRAV Apples -OR#2"</f>
        <v>Co-Pack Organic GRAV Apples -OR#2</v>
      </c>
      <c r="H840" s="18" t="str">
        <f t="shared" si="98"/>
        <v>LBS</v>
      </c>
      <c r="I840" s="19">
        <v>1</v>
      </c>
      <c r="J840" s="20">
        <v>1</v>
      </c>
    </row>
    <row r="841" spans="1:10" ht="15.75" thickBot="1" x14ac:dyDescent="0.3">
      <c r="A841" t="s">
        <v>31</v>
      </c>
      <c r="B841" s="15" t="str">
        <f>"""Manzana NAV"",""MANZANA"",""99000772"",""44"","" "",""22"",""False"",""43"",""0.00000000000000000000"",""12"",""Co-Pack Organic GRAV Apples -OR#2"",""50220"",""False"",""29"","""",""50210"",""False"",""18"","""",""11"",""AGR97-B"",""2"",""50000"",""1"",""AMPV92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50000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1" s="15"/>
      <c r="D841" s="16" t="str">
        <f>"AMPV92"</f>
        <v>AMPV92</v>
      </c>
      <c r="E841" s="16">
        <v>50000</v>
      </c>
      <c r="F841" s="16" t="str">
        <f>"AGR97-B"</f>
        <v>AGR97-B</v>
      </c>
      <c r="G841" s="17" t="str">
        <f>"Co-Pack Organic GRAV Apples -OR#2"</f>
        <v>Co-Pack Organic GRAV Apples -OR#2</v>
      </c>
      <c r="H841" s="18" t="str">
        <f t="shared" si="98"/>
        <v>LBS</v>
      </c>
      <c r="I841" s="19">
        <v>1</v>
      </c>
      <c r="J841" s="20">
        <v>1</v>
      </c>
    </row>
    <row r="842" spans="1:10" ht="15.75" thickBot="1" x14ac:dyDescent="0.3">
      <c r="A842" t="s">
        <v>31</v>
      </c>
      <c r="B842" s="15" t="str">
        <f>"""Manzana NAV"",""MANZANA"",""99000772"",""44"","" "",""22"",""False"",""43"",""0.00000000000000000000"",""12"",""Co-Pack Organic Gravenstein -HP"",""50220"",""False"",""29"","""",""50210"",""False"",""18"","""",""11"",""AGR97"",""2"",""20000"",""1"",""AMPJ93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20000","1","AMPJ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2" s="15"/>
      <c r="D842" s="16" t="str">
        <f>"AMPJ93"</f>
        <v>AMPJ93</v>
      </c>
      <c r="E842" s="16">
        <v>20000</v>
      </c>
      <c r="F842" s="16" t="str">
        <f t="shared" ref="F842:F847" si="101">"AGR97"</f>
        <v>AGR97</v>
      </c>
      <c r="G842" s="17" t="str">
        <f t="shared" ref="G842:G847" si="102">"Co-Pack Organic Gravenstein -HP"</f>
        <v>Co-Pack Organic Gravenstein -HP</v>
      </c>
      <c r="H842" s="18" t="str">
        <f t="shared" si="98"/>
        <v>LBS</v>
      </c>
      <c r="I842" s="19">
        <v>1</v>
      </c>
      <c r="J842" s="20">
        <v>1</v>
      </c>
    </row>
    <row r="843" spans="1:10" ht="15.75" thickBot="1" x14ac:dyDescent="0.3">
      <c r="A843" t="s">
        <v>31</v>
      </c>
      <c r="B843" s="15" t="str">
        <f>"""Manzana NAV"",""MANZANA"",""99000772"",""44"","" "",""22"",""False"",""43"",""0.00000000000000000000"",""12"",""Co-Pack Organic Gravenstein -HP"",""50220"",""False"",""29"","""",""50210"",""False"",""18"","""",""11"",""AGR97"",""2"",""20000"",""1"",""AMS92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20000","1","AMS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3" s="15"/>
      <c r="D843" s="16" t="str">
        <f>"AMS92"</f>
        <v>AMS92</v>
      </c>
      <c r="E843" s="16">
        <v>20000</v>
      </c>
      <c r="F843" s="16" t="str">
        <f t="shared" si="101"/>
        <v>AGR97</v>
      </c>
      <c r="G843" s="17" t="str">
        <f t="shared" si="102"/>
        <v>Co-Pack Organic Gravenstein -HP</v>
      </c>
      <c r="H843" s="18" t="str">
        <f t="shared" si="98"/>
        <v>LBS</v>
      </c>
      <c r="I843" s="19">
        <v>1</v>
      </c>
      <c r="J843" s="20">
        <v>1</v>
      </c>
    </row>
    <row r="844" spans="1:10" ht="15.75" thickBot="1" x14ac:dyDescent="0.3">
      <c r="A844" t="s">
        <v>31</v>
      </c>
      <c r="B844" s="15" t="str">
        <f>"""Manzana NAV"",""MANZANA"",""99000772"",""44"","" "",""22"",""False"",""43"",""0.00000000000000000000"",""12"",""Co-Pack Organic Gravenstein -HP"",""50220"",""False"",""29"","""",""50210"",""False"",""18"","""",""11"",""AGR97"",""2"",""50000"",""1"",""AMS93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50000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4" s="15"/>
      <c r="D844" s="16" t="str">
        <f>"AMS93"</f>
        <v>AMS93</v>
      </c>
      <c r="E844" s="16">
        <v>50000</v>
      </c>
      <c r="F844" s="16" t="str">
        <f t="shared" si="101"/>
        <v>AGR97</v>
      </c>
      <c r="G844" s="17" t="str">
        <f t="shared" si="102"/>
        <v>Co-Pack Organic Gravenstein -HP</v>
      </c>
      <c r="H844" s="18" t="str">
        <f t="shared" si="98"/>
        <v>LBS</v>
      </c>
      <c r="I844" s="19">
        <v>1</v>
      </c>
      <c r="J844" s="20">
        <v>1</v>
      </c>
    </row>
    <row r="845" spans="1:10" ht="15.75" thickBot="1" x14ac:dyDescent="0.3">
      <c r="A845" t="s">
        <v>31</v>
      </c>
      <c r="B845" s="15" t="str">
        <f>"""Manzana NAV"",""MANZANA"",""99000772"",""44"","" "",""22"",""False"",""43"",""0.00000000000000000000"",""12"",""Co-Pack Organic Gravenstein -HP"",""50220"",""False"",""29"","""",""50210"",""False"",""18"","""",""11"",""AGR97"",""2"",""60000"",""1"",""AMPJ92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60000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5" s="15"/>
      <c r="D845" s="16" t="str">
        <f>"AMPJ92"</f>
        <v>AMPJ92</v>
      </c>
      <c r="E845" s="16">
        <v>60000</v>
      </c>
      <c r="F845" s="16" t="str">
        <f t="shared" si="101"/>
        <v>AGR97</v>
      </c>
      <c r="G845" s="17" t="str">
        <f t="shared" si="102"/>
        <v>Co-Pack Organic Gravenstein -HP</v>
      </c>
      <c r="H845" s="18" t="str">
        <f t="shared" si="98"/>
        <v>LBS</v>
      </c>
      <c r="I845" s="19">
        <v>1</v>
      </c>
      <c r="J845" s="20">
        <v>1</v>
      </c>
    </row>
    <row r="846" spans="1:10" ht="15.75" thickBot="1" x14ac:dyDescent="0.3">
      <c r="A846" t="s">
        <v>31</v>
      </c>
      <c r="B846" s="15" t="str">
        <f>"""Manzana NAV"",""MANZANA"",""99000772"",""44"","" "",""22"",""False"",""43"",""0.00000000000000000000"",""12"",""Co-Pack Organic Gravenstein -HP"",""50220"",""False"",""29"","""",""50210"",""False"",""18"","""",""11"",""AGR97"",""2"",""60000"",""1"",""AMPV92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60000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6" s="15"/>
      <c r="D846" s="16" t="str">
        <f>"AMPV92"</f>
        <v>AMPV92</v>
      </c>
      <c r="E846" s="16">
        <v>60000</v>
      </c>
      <c r="F846" s="16" t="str">
        <f t="shared" si="101"/>
        <v>AGR97</v>
      </c>
      <c r="G846" s="17" t="str">
        <f t="shared" si="102"/>
        <v>Co-Pack Organic Gravenstein -HP</v>
      </c>
      <c r="H846" s="18" t="str">
        <f t="shared" si="98"/>
        <v>LBS</v>
      </c>
      <c r="I846" s="19">
        <v>1</v>
      </c>
      <c r="J846" s="20">
        <v>1</v>
      </c>
    </row>
    <row r="847" spans="1:10" ht="15.75" thickBot="1" x14ac:dyDescent="0.3">
      <c r="A847" t="s">
        <v>31</v>
      </c>
      <c r="B847" s="15" t="str">
        <f>"""Manzana NAV"",""MANZANA"",""99000772"",""44"","" "",""22"",""False"",""43"",""0.00000000000000000000"",""12"",""Co-Pack Organic Gravenstein -HP"",""50220"",""False"",""29"","""",""50210"",""False"",""18"","""",""11"",""AGR97"",""2"",""190000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190000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7" s="15"/>
      <c r="D847" s="16" t="str">
        <f>"AMPV90"</f>
        <v>AMPV90</v>
      </c>
      <c r="E847" s="16">
        <v>190000</v>
      </c>
      <c r="F847" s="16" t="str">
        <f t="shared" si="101"/>
        <v>AGR97</v>
      </c>
      <c r="G847" s="17" t="str">
        <f t="shared" si="102"/>
        <v>Co-Pack Organic Gravenstein -HP</v>
      </c>
      <c r="H847" s="18" t="str">
        <f t="shared" si="98"/>
        <v>LBS</v>
      </c>
      <c r="I847" s="19">
        <v>1</v>
      </c>
      <c r="J847" s="20">
        <v>1</v>
      </c>
    </row>
    <row r="848" spans="1:10" ht="15.75" thickBot="1" x14ac:dyDescent="0.3">
      <c r="A848" t="s">
        <v>31</v>
      </c>
      <c r="B848" s="15" t="str">
        <f>"""Manzana NAV"",""MANZANA"",""99000772"",""44"","" "",""22"",""False"",""43"",""0.00000000000000000000"",""12"",""Co-Pack Organic Gravenstein -Vinegar"",""50220"",""False"",""29"","""",""50210"",""False"",""18"","""",""11"",""AGR97-V"",""2"",""70000"",""1"",""AMPV92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Vinegar","50220","False","29","","50210","False","18","","11","AGR97-V","2","70000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8" s="15"/>
      <c r="D848" s="16" t="str">
        <f>"AMPV92"</f>
        <v>AMPV92</v>
      </c>
      <c r="E848" s="16">
        <v>70000</v>
      </c>
      <c r="F848" s="16" t="str">
        <f>"AGR97-V"</f>
        <v>AGR97-V</v>
      </c>
      <c r="G848" s="17" t="str">
        <f>"Co-Pack Organic Gravenstein -Vinegar"</f>
        <v>Co-Pack Organic Gravenstein -Vinegar</v>
      </c>
      <c r="H848" s="18" t="str">
        <f t="shared" si="98"/>
        <v>LBS</v>
      </c>
      <c r="I848" s="19">
        <v>1</v>
      </c>
      <c r="J848" s="20">
        <v>1</v>
      </c>
    </row>
    <row r="849" spans="1:10" ht="15.75" thickBot="1" x14ac:dyDescent="0.3">
      <c r="A849" t="s">
        <v>31</v>
      </c>
      <c r="B849" s="15" t="str">
        <f>"""Manzana NAV"",""MANZANA"",""99000772"",""44"","" "",""22"",""False"",""43"",""0.00000000000000000000"",""12"",""Co-Pack Organic Pear Mix for Pressing Pear Juice"",""50220"",""False"",""29"","""",""50210"",""False"",""18"","""",""11"",""AMPJ97"",""2"",""10000"",""1"",""FJ9050"",""14"",""11.0000000000000000"&amp;"0000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Pear Mix for Pressing Pear Juice","50220","False","29","","50210","False","18","","11","AMPJ97","2","10000","1","FJ9050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49" s="15"/>
      <c r="D849" s="16" t="str">
        <f>"FJ9050"</f>
        <v>FJ9050</v>
      </c>
      <c r="E849" s="16">
        <v>10000</v>
      </c>
      <c r="F849" s="16" t="str">
        <f>"AMPJ97"</f>
        <v>AMPJ97</v>
      </c>
      <c r="G849" s="17" t="str">
        <f>"Co-Pack Organic Pear Mix for Pressing Pear Juice"</f>
        <v>Co-Pack Organic Pear Mix for Pressing Pear Juice</v>
      </c>
      <c r="H849" s="18" t="str">
        <f t="shared" si="98"/>
        <v>LBS</v>
      </c>
      <c r="I849" s="19">
        <v>11</v>
      </c>
      <c r="J849" s="20">
        <v>11</v>
      </c>
    </row>
    <row r="850" spans="1:10" ht="15.75" thickBot="1" x14ac:dyDescent="0.3">
      <c r="A850" t="s">
        <v>31</v>
      </c>
      <c r="B850" s="15" t="str">
        <f>"""Manzana NAV"",""MANZANA"",""99000772"",""44"","" "",""22"",""False"",""43"",""0.00000000000000000000"",""12"",""Copack-Conv Blend Apples"",""50220"",""False"",""29"","""",""50210"",""False"",""18"","""",""11"",""ABL07"",""2"",""10000"",""1"",""AMPJ03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","22","False","43","0.00000000000000000000","12","Copack-Conv Blend Apples","50220","False","29","","50210","False","18","","11","ABL07","2","10000","1","AMPJ03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0" s="15"/>
      <c r="D850" s="16" t="str">
        <f>"AMPJ03"</f>
        <v>AMPJ03</v>
      </c>
      <c r="E850" s="16">
        <v>10000</v>
      </c>
      <c r="F850" s="16" t="str">
        <f>"ABL07"</f>
        <v>ABL07</v>
      </c>
      <c r="G850" s="17" t="str">
        <f>"Copack-Conv Blend Apples"</f>
        <v>Copack-Conv Blend Apples</v>
      </c>
      <c r="H850" s="18" t="str">
        <f t="shared" si="98"/>
        <v>LBS</v>
      </c>
      <c r="I850" s="19">
        <v>1</v>
      </c>
      <c r="J850" s="20">
        <v>1</v>
      </c>
    </row>
    <row r="851" spans="1:10" ht="15.75" thickBot="1" x14ac:dyDescent="0.3">
      <c r="A851" t="s">
        <v>31</v>
      </c>
      <c r="B851" s="15" t="str">
        <f>"""Manzana NAV"",""MANZANA"",""99000772"",""44"","" "",""22"",""False"",""43"",""0.00000000000000000000"",""12"",""Copack-Conv Pears"",""50220"",""False"",""29"","""",""50210"",""False"",""18"","""",""11"",""APE07"",""2"",""10000"",""1"",""AMPJ02"",""14"",""1.00000000000000000000"",""45"",""1.0000000000000000000"&amp;"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","22","False","43","0.00000000000000000000","12","Copack-Conv Pears","50220","False","29","","50210","False","18","","11","APE07","2","10000","1","AMPJ02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1" s="15"/>
      <c r="D851" s="16" t="str">
        <f>"AMPJ02"</f>
        <v>AMPJ02</v>
      </c>
      <c r="E851" s="16">
        <v>10000</v>
      </c>
      <c r="F851" s="16" t="str">
        <f>"APE07"</f>
        <v>APE07</v>
      </c>
      <c r="G851" s="17" t="str">
        <f>"Copack-Conv Pears"</f>
        <v>Copack-Conv Pears</v>
      </c>
      <c r="H851" s="18" t="str">
        <f t="shared" si="98"/>
        <v>LBS</v>
      </c>
      <c r="I851" s="19">
        <v>1</v>
      </c>
      <c r="J851" s="20">
        <v>1</v>
      </c>
    </row>
    <row r="852" spans="1:10" ht="15.75" thickBot="1" x14ac:dyDescent="0.3">
      <c r="A852" t="s">
        <v>31</v>
      </c>
      <c r="B852" s="15" t="str">
        <f>"""Manzana NAV"",""MANZANA"",""99000772"",""44"","" "",""22"",""False"",""43"",""0.00000000000000000000"",""12"",""Copack-Organic Blend Apples - HP"",""50220"",""False"",""29"","""",""50210"",""False"",""18"","""",""11"",""ABL97"",""2"",""10000"",""1"",""AMPJ92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","22","False","43","0.00000000000000000000","12","Copack-Organic Blend Apples - HP","50220","False","29","","50210","False","18","","11","ABL97","2","10000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2" s="15"/>
      <c r="D852" s="16" t="str">
        <f>"AMPJ92"</f>
        <v>AMPJ92</v>
      </c>
      <c r="E852" s="16">
        <v>10000</v>
      </c>
      <c r="F852" s="16" t="str">
        <f>"ABL97"</f>
        <v>ABL97</v>
      </c>
      <c r="G852" s="17" t="str">
        <f>"Copack-Organic Blend Apples - HP"</f>
        <v>Copack-Organic Blend Apples - HP</v>
      </c>
      <c r="H852" s="18" t="str">
        <f t="shared" si="98"/>
        <v>LBS</v>
      </c>
      <c r="I852" s="19">
        <v>1</v>
      </c>
      <c r="J852" s="20">
        <v>1</v>
      </c>
    </row>
    <row r="853" spans="1:10" ht="15.75" thickBot="1" x14ac:dyDescent="0.3">
      <c r="A853" t="s">
        <v>31</v>
      </c>
      <c r="B853" s="15" t="str">
        <f>"""Manzana NAV"",""MANZANA"",""99000772"",""44"","" "",""22"",""False"",""43"",""0.00000000000000000000"",""12"",""Copack-Organic Blend Apples-Vinegar"",""50220"",""False"",""29"","""",""50210"",""False"",""18"","""",""11"",""ABL97-V"",""2"",""20000"",""1"",""AMPV92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","22","False","43","0.00000000000000000000","12","Copack-Organic Blend Apples-Vinegar","50220","False","29","","50210","False","18","","11","ABL97-V","2","20000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3" s="15"/>
      <c r="D853" s="16" t="str">
        <f>"AMPV92"</f>
        <v>AMPV92</v>
      </c>
      <c r="E853" s="16">
        <v>20000</v>
      </c>
      <c r="F853" s="16" t="str">
        <f>"ABL97-V"</f>
        <v>ABL97-V</v>
      </c>
      <c r="G853" s="17" t="str">
        <f>"Copack-Organic Blend Apples-Vinegar"</f>
        <v>Copack-Organic Blend Apples-Vinegar</v>
      </c>
      <c r="H853" s="18" t="str">
        <f t="shared" si="98"/>
        <v>LBS</v>
      </c>
      <c r="I853" s="19">
        <v>1</v>
      </c>
      <c r="J853" s="20">
        <v>1</v>
      </c>
    </row>
    <row r="854" spans="1:10" ht="15.75" thickBot="1" x14ac:dyDescent="0.3">
      <c r="A854" t="s">
        <v>31</v>
      </c>
      <c r="B854" s="15" t="str">
        <f>"""Manzana NAV"",""MANZANA"",""99000772"",""44"","" "",""22"",""False"",""43"",""0.00000000000000000000"",""12"",""create if needed"",""50220"",""False"",""29"","""",""50210"",""False"",""18"","""",""11"","""",""2"",""20000"",""1"",""IJ003L"",""14"",""0.00000000000000000000"",""45"",""0.00000000000000000000"",""19"&amp;"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needed","50220","False","29","","50210","False","18","","11","","2","20000","1","IJ003L","14","0.00000000000000000000","45","0.00000000000000000000","19","","20","0.00000000000000000000","50000","0.00000000000000000000","50230","False","28","","10","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4" s="15"/>
      <c r="D854" s="16" t="str">
        <f>"IJ003L"</f>
        <v>IJ003L</v>
      </c>
      <c r="E854" s="16">
        <v>20000</v>
      </c>
      <c r="F854" s="16"/>
      <c r="G854" s="17" t="str">
        <f>"create if needed"</f>
        <v>create if needed</v>
      </c>
      <c r="H854" s="18"/>
      <c r="I854" s="19">
        <v>0</v>
      </c>
      <c r="J854" s="20">
        <v>0</v>
      </c>
    </row>
    <row r="855" spans="1:10" ht="15.75" thickBot="1" x14ac:dyDescent="0.3">
      <c r="A855" t="s">
        <v>31</v>
      </c>
      <c r="B855" s="15" t="str">
        <f>"""Manzana NAV"",""MANZANA"",""99000772"",""44"","" "",""22"",""False"",""43"",""0.00000000000000000000"",""12"",""create if needed and update BOM"",""50220"",""False"",""29"","""",""50210"",""False"",""18"","""",""11"","""",""2"",""20000"",""1"",""IJ006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BOM","50220","False","29","","50210","False","18","","11","","2","20000","1","IJ006L","14","0.00000000000000000000","45","0.00000000000000000000","19","","20","0.00000000000000000000","50000","0.00000000000000000000","50230","False","28","","10","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5" s="15"/>
      <c r="D855" s="16" t="str">
        <f>"IJ006L"</f>
        <v>IJ006L</v>
      </c>
      <c r="E855" s="16">
        <v>20000</v>
      </c>
      <c r="F855" s="16"/>
      <c r="G855" s="17" t="str">
        <f t="shared" ref="G855:G860" si="103">"create if needed and update BOM"</f>
        <v>create if needed and update BOM</v>
      </c>
      <c r="H855" s="18"/>
      <c r="I855" s="19">
        <v>0</v>
      </c>
      <c r="J855" s="20">
        <v>0</v>
      </c>
    </row>
    <row r="856" spans="1:10" ht="15.75" thickBot="1" x14ac:dyDescent="0.3">
      <c r="A856" t="s">
        <v>31</v>
      </c>
      <c r="B856" s="15" t="str">
        <f>"""Manzana NAV"",""MANZANA"",""99000772"",""44"","" "",""22"",""False"",""43"",""0.00000000000000000000"",""12"",""create if needed and update BOM"",""50220"",""False"",""29"","""",""50210"",""False"",""18"","""",""11"","""",""2"",""20000"",""1"",""IJ009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BOM","50220","False","29","","50210","False","18","","11","","2","20000","1","IJ009L","14","0.00000000000000000000","45","0.00000000000000000000","19","","20","0.00000000000000000000","50000","0.00000000000000000000","50230","False","28","","10","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6" s="15"/>
      <c r="D856" s="16" t="str">
        <f>"IJ009L"</f>
        <v>IJ009L</v>
      </c>
      <c r="E856" s="16">
        <v>20000</v>
      </c>
      <c r="F856" s="16"/>
      <c r="G856" s="17" t="str">
        <f t="shared" si="103"/>
        <v>create if needed and update BOM</v>
      </c>
      <c r="H856" s="18"/>
      <c r="I856" s="19">
        <v>0</v>
      </c>
      <c r="J856" s="20">
        <v>0</v>
      </c>
    </row>
    <row r="857" spans="1:10" ht="15.75" thickBot="1" x14ac:dyDescent="0.3">
      <c r="A857" t="s">
        <v>31</v>
      </c>
      <c r="B857" s="15" t="str">
        <f>"""Manzana NAV"",""MANZANA"",""99000772"",""44"","" "",""22"",""False"",""43"",""0.00000000000000000000"",""12"",""create if needed and update BOM"",""50220"",""False"",""29"","""",""50210"",""False"",""18"","""",""11"","""",""2"",""20000"",""1"",""IJ032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BOM","50220","False","29","","50210","False","18","","11","","2","20000","1","IJ032L","14","0.00000000000000000000","45","0.00000000000000000000","19","","20","0.00000000000000000000","50000","0.00000000000000000000","50230","False","28","","10","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7" s="15"/>
      <c r="D857" s="16" t="str">
        <f>"IJ032L"</f>
        <v>IJ032L</v>
      </c>
      <c r="E857" s="16">
        <v>20000</v>
      </c>
      <c r="F857" s="16"/>
      <c r="G857" s="17" t="str">
        <f t="shared" si="103"/>
        <v>create if needed and update BOM</v>
      </c>
      <c r="H857" s="18"/>
      <c r="I857" s="19">
        <v>0</v>
      </c>
      <c r="J857" s="20">
        <v>0</v>
      </c>
    </row>
    <row r="858" spans="1:10" ht="15.75" thickBot="1" x14ac:dyDescent="0.3">
      <c r="A858" t="s">
        <v>31</v>
      </c>
      <c r="B858" s="15" t="str">
        <f>"""Manzana NAV"",""MANZANA"",""99000772"",""44"","" "",""22"",""False"",""43"",""0.00000000000000000000"",""12"",""create if needed and update BOM"",""50220"",""False"",""29"","""",""50210"",""False"",""18"","""",""11"","""",""2"",""20000"",""1"",""IV004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BOM","50220","False","29","","50210","False","18","","11","","2","20000","1","IV004L","14","0.00000000000000000000","45","0.00000000000000000000","19","","20","0.00000000000000000000","50000","0.00000000000000000000","50230","False","28","","10","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8" s="15"/>
      <c r="D858" s="16" t="str">
        <f>"IV004L"</f>
        <v>IV004L</v>
      </c>
      <c r="E858" s="16">
        <v>20000</v>
      </c>
      <c r="F858" s="16"/>
      <c r="G858" s="17" t="str">
        <f t="shared" si="103"/>
        <v>create if needed and update BOM</v>
      </c>
      <c r="H858" s="18"/>
      <c r="I858" s="19">
        <v>0</v>
      </c>
      <c r="J858" s="20">
        <v>0</v>
      </c>
    </row>
    <row r="859" spans="1:10" ht="15.75" thickBot="1" x14ac:dyDescent="0.3">
      <c r="A859" t="s">
        <v>31</v>
      </c>
      <c r="B859" s="15" t="str">
        <f>"""Manzana NAV"",""MANZANA"",""99000772"",""44"","" "",""22"",""False"",""43"",""0.00000000000000000000"",""12"",""create if needed and update BOM"",""50220"",""False"",""29"","""",""50210"",""False"",""18"","""",""11"","""",""2"",""20000"",""1"",""IV014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BOM","50220","False","29","","50210","False","18","","11","","2","20000","1","IV014L","14","0.00000000000000000000","45","0.00000000000000000000","19","","20","0.00000000000000000000","50000","0.00000000000000000000","50230","False","28","","10","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9" s="15"/>
      <c r="D859" s="16" t="str">
        <f>"IV014L"</f>
        <v>IV014L</v>
      </c>
      <c r="E859" s="16">
        <v>20000</v>
      </c>
      <c r="F859" s="16"/>
      <c r="G859" s="17" t="str">
        <f t="shared" si="103"/>
        <v>create if needed and update BOM</v>
      </c>
      <c r="H859" s="18"/>
      <c r="I859" s="19">
        <v>0</v>
      </c>
      <c r="J859" s="20">
        <v>0</v>
      </c>
    </row>
    <row r="860" spans="1:10" ht="15.75" thickBot="1" x14ac:dyDescent="0.3">
      <c r="A860" t="s">
        <v>31</v>
      </c>
      <c r="B860" s="15" t="str">
        <f>"""Manzana NAV"",""MANZANA"",""99000772"",""44"","" "",""22"",""False"",""43"",""0.00000000000000000000"",""12"",""create if needed and update BOM"",""50220"",""False"",""29"","""",""50210"",""False"",""18"","""",""11"","""",""2"",""30000"",""1"",""IJ030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BOM","50220","False","29","","50210","False","18","","11","","2","30000","1","IJ030L","14","0.00000000000000000000","45","0.00000000000000000000","19","","20","0.00000000000000000000","50000","0.00000000000000000000","50230","False","28","","10","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60" s="15"/>
      <c r="D860" s="16" t="str">
        <f>"IJ030L"</f>
        <v>IJ030L</v>
      </c>
      <c r="E860" s="16">
        <v>30000</v>
      </c>
      <c r="F860" s="16"/>
      <c r="G860" s="17" t="str">
        <f t="shared" si="103"/>
        <v>create if needed and update BOM</v>
      </c>
      <c r="H860" s="18"/>
      <c r="I860" s="19">
        <v>0</v>
      </c>
      <c r="J860" s="20">
        <v>0</v>
      </c>
    </row>
    <row r="861" spans="1:10" ht="15.75" thickBot="1" x14ac:dyDescent="0.3">
      <c r="A861" t="s">
        <v>31</v>
      </c>
      <c r="B861" s="15" t="str">
        <f>"""Manzana NAV"",""MANZANA"",""99000772"",""44"","" "",""22"",""False"",""43"",""0.00000000000000000000"",""12"",""DO NOT USE - CHERRY TREE LABEL"",""50220"",""False"",""29"","""",""50210"",""False"",""18"","""",""11"",""LS0040"",""2"",""20000"",""1"",""FS0040"",""14"",""12.00000000000000000000"",""45"",""12.000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","22","False","43","0.00000000000000000000","12","DO NOT USE - CHERRY TREE LABEL","50220","False","29","","50210","False","18","","11","LS0040","2","20000","1","FS0040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861" s="15"/>
      <c r="D861" s="16" t="str">
        <f>"FS0040"</f>
        <v>FS0040</v>
      </c>
      <c r="E861" s="16">
        <v>20000</v>
      </c>
      <c r="F861" s="16" t="str">
        <f>"LS0040"</f>
        <v>LS0040</v>
      </c>
      <c r="G861" s="17" t="str">
        <f>"DO NOT USE - CHERRY TREE LABEL"</f>
        <v>DO NOT USE - CHERRY TREE LABEL</v>
      </c>
      <c r="H861" s="18" t="str">
        <f>"LABELS"</f>
        <v>LABELS</v>
      </c>
      <c r="I861" s="19">
        <v>12</v>
      </c>
      <c r="J861" s="20">
        <v>12</v>
      </c>
    </row>
    <row r="862" spans="1:10" ht="15.75" thickBot="1" x14ac:dyDescent="0.3">
      <c r="A862" t="s">
        <v>31</v>
      </c>
      <c r="B862" s="15" t="str">
        <f>"""Manzana NAV"",""MANZANA"",""99000772"",""44"","" "",""22"",""False"",""43"",""0.00000000000000000000"",""12"",""Filled 10oz ORG Blend Juice bottle"",""50220"",""False"",""29"","""",""50210"",""True"",""18"","""",""11"",""IJ001"",""2"",""10000"",""1"",""FJ0013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10000","1","FJ0013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2" s="15"/>
      <c r="D862" s="16" t="str">
        <f>"FJ0013"</f>
        <v>FJ0013</v>
      </c>
      <c r="E862" s="16">
        <v>10000</v>
      </c>
      <c r="F862" s="16" t="str">
        <f t="shared" ref="F862:F869" si="104">"IJ001"</f>
        <v>IJ001</v>
      </c>
      <c r="G862" s="17" t="str">
        <f t="shared" ref="G862:G869" si="105">"Filled 10oz ORG Blend Juice bottle"</f>
        <v>Filled 10oz ORG Blend Juice bottle</v>
      </c>
      <c r="H862" s="18" t="str">
        <f t="shared" ref="H862:H925" si="106">"BTLS"</f>
        <v>BTLS</v>
      </c>
      <c r="I862" s="19">
        <v>24</v>
      </c>
      <c r="J862" s="20">
        <v>24</v>
      </c>
    </row>
    <row r="863" spans="1:10" ht="15.75" thickBot="1" x14ac:dyDescent="0.3">
      <c r="A863" t="s">
        <v>31</v>
      </c>
      <c r="B863" s="15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0037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0037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3" s="15"/>
      <c r="D863" s="16" t="str">
        <f>"FJ0037"</f>
        <v>FJ0037</v>
      </c>
      <c r="E863" s="16">
        <v>20000</v>
      </c>
      <c r="F863" s="16" t="str">
        <f t="shared" si="104"/>
        <v>IJ001</v>
      </c>
      <c r="G863" s="17" t="str">
        <f t="shared" si="105"/>
        <v>Filled 10oz ORG Blend Juice bottle</v>
      </c>
      <c r="H863" s="18" t="str">
        <f t="shared" si="106"/>
        <v>BTLS</v>
      </c>
      <c r="I863" s="19">
        <v>24</v>
      </c>
      <c r="J863" s="20">
        <v>24</v>
      </c>
    </row>
    <row r="864" spans="1:10" ht="15.75" thickBot="1" x14ac:dyDescent="0.3">
      <c r="A864" t="s">
        <v>31</v>
      </c>
      <c r="B864" s="15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0050B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0050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4" s="15"/>
      <c r="D864" s="16" t="str">
        <f>"FJ0050B"</f>
        <v>FJ0050B</v>
      </c>
      <c r="E864" s="16">
        <v>20000</v>
      </c>
      <c r="F864" s="16" t="str">
        <f t="shared" si="104"/>
        <v>IJ001</v>
      </c>
      <c r="G864" s="17" t="str">
        <f t="shared" si="105"/>
        <v>Filled 10oz ORG Blend Juice bottle</v>
      </c>
      <c r="H864" s="18" t="str">
        <f t="shared" si="106"/>
        <v>BTLS</v>
      </c>
      <c r="I864" s="19">
        <v>24</v>
      </c>
      <c r="J864" s="20">
        <v>24</v>
      </c>
    </row>
    <row r="865" spans="1:10" ht="15.75" thickBot="1" x14ac:dyDescent="0.3">
      <c r="A865" t="s">
        <v>31</v>
      </c>
      <c r="B865" s="15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0082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0082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5" s="15"/>
      <c r="D865" s="16" t="str">
        <f>"FJ0082"</f>
        <v>FJ0082</v>
      </c>
      <c r="E865" s="16">
        <v>20000</v>
      </c>
      <c r="F865" s="16" t="str">
        <f t="shared" si="104"/>
        <v>IJ001</v>
      </c>
      <c r="G865" s="17" t="str">
        <f t="shared" si="105"/>
        <v>Filled 10oz ORG Blend Juice bottle</v>
      </c>
      <c r="H865" s="18" t="str">
        <f t="shared" si="106"/>
        <v>BTLS</v>
      </c>
      <c r="I865" s="19">
        <v>24</v>
      </c>
      <c r="J865" s="20">
        <v>24</v>
      </c>
    </row>
    <row r="866" spans="1:10" ht="15.75" thickBot="1" x14ac:dyDescent="0.3">
      <c r="A866" t="s">
        <v>31</v>
      </c>
      <c r="B866" s="15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0161B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0161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6" s="15"/>
      <c r="D866" s="16" t="str">
        <f>"FJ0161B"</f>
        <v>FJ0161B</v>
      </c>
      <c r="E866" s="16">
        <v>20000</v>
      </c>
      <c r="F866" s="16" t="str">
        <f t="shared" si="104"/>
        <v>IJ001</v>
      </c>
      <c r="G866" s="17" t="str">
        <f t="shared" si="105"/>
        <v>Filled 10oz ORG Blend Juice bottle</v>
      </c>
      <c r="H866" s="18" t="str">
        <f t="shared" si="106"/>
        <v>BTLS</v>
      </c>
      <c r="I866" s="19">
        <v>24</v>
      </c>
      <c r="J866" s="20">
        <v>24</v>
      </c>
    </row>
    <row r="867" spans="1:10" ht="15.75" thickBot="1" x14ac:dyDescent="0.3">
      <c r="A867" t="s">
        <v>31</v>
      </c>
      <c r="B867" s="15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0166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0166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7" s="15"/>
      <c r="D867" s="16" t="str">
        <f>"FJ0166"</f>
        <v>FJ0166</v>
      </c>
      <c r="E867" s="16">
        <v>20000</v>
      </c>
      <c r="F867" s="16" t="str">
        <f t="shared" si="104"/>
        <v>IJ001</v>
      </c>
      <c r="G867" s="17" t="str">
        <f t="shared" si="105"/>
        <v>Filled 10oz ORG Blend Juice bottle</v>
      </c>
      <c r="H867" s="18" t="str">
        <f t="shared" si="106"/>
        <v>BTLS</v>
      </c>
      <c r="I867" s="19">
        <v>24</v>
      </c>
      <c r="J867" s="20">
        <v>24</v>
      </c>
    </row>
    <row r="868" spans="1:10" ht="15.75" thickBot="1" x14ac:dyDescent="0.3">
      <c r="A868" t="s">
        <v>31</v>
      </c>
      <c r="B868" s="15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0208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0208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8" s="15"/>
      <c r="D868" s="16" t="str">
        <f>"FJ0208"</f>
        <v>FJ0208</v>
      </c>
      <c r="E868" s="16">
        <v>20000</v>
      </c>
      <c r="F868" s="16" t="str">
        <f t="shared" si="104"/>
        <v>IJ001</v>
      </c>
      <c r="G868" s="17" t="str">
        <f t="shared" si="105"/>
        <v>Filled 10oz ORG Blend Juice bottle</v>
      </c>
      <c r="H868" s="18" t="str">
        <f t="shared" si="106"/>
        <v>BTLS</v>
      </c>
      <c r="I868" s="19">
        <v>24</v>
      </c>
      <c r="J868" s="20">
        <v>24</v>
      </c>
    </row>
    <row r="869" spans="1:10" ht="15.75" thickBot="1" x14ac:dyDescent="0.3">
      <c r="A869" t="s">
        <v>31</v>
      </c>
      <c r="B869" s="15" t="str">
        <f>"""Manzana NAV"",""MANZANA"",""99000772"",""44"","" "",""22"",""False"",""43"",""0.00000000000000000000"",""12"",""Filled 10oz ORG Blend Juice bottle"",""50220"",""False"",""29"","""",""50210"",""True"",""18"","""",""11"",""IJ001"",""2"",""30000"",""1"",""FJ0226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30000","1","FJ0226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9" s="15"/>
      <c r="D869" s="16" t="str">
        <f>"FJ0226"</f>
        <v>FJ0226</v>
      </c>
      <c r="E869" s="16">
        <v>30000</v>
      </c>
      <c r="F869" s="16" t="str">
        <f t="shared" si="104"/>
        <v>IJ001</v>
      </c>
      <c r="G869" s="17" t="str">
        <f t="shared" si="105"/>
        <v>Filled 10oz ORG Blend Juice bottle</v>
      </c>
      <c r="H869" s="18" t="str">
        <f t="shared" si="106"/>
        <v>BTLS</v>
      </c>
      <c r="I869" s="19">
        <v>24</v>
      </c>
      <c r="J869" s="20">
        <v>24</v>
      </c>
    </row>
    <row r="870" spans="1:10" ht="15.75" thickBot="1" x14ac:dyDescent="0.3">
      <c r="A870" t="s">
        <v>31</v>
      </c>
      <c r="B870" s="15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0050C"",""14"",""24.00000000000000000000"","&amp;""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0050C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0" s="15"/>
      <c r="D870" s="16" t="str">
        <f>"FJ0050C"</f>
        <v>FJ0050C</v>
      </c>
      <c r="E870" s="16">
        <v>10000</v>
      </c>
      <c r="F870" s="16" t="str">
        <f t="shared" ref="F870:F876" si="107">"IJ101"</f>
        <v>IJ101</v>
      </c>
      <c r="G870" s="17" t="str">
        <f t="shared" ref="G870:G876" si="108">"Filled 10oz ORG Blend Juice bottle - Copack"</f>
        <v>Filled 10oz ORG Blend Juice bottle - Copack</v>
      </c>
      <c r="H870" s="18" t="str">
        <f t="shared" si="106"/>
        <v>BTLS</v>
      </c>
      <c r="I870" s="19">
        <v>24</v>
      </c>
      <c r="J870" s="20">
        <v>24</v>
      </c>
    </row>
    <row r="871" spans="1:10" ht="15.75" thickBot="1" x14ac:dyDescent="0.3">
      <c r="A871" t="s">
        <v>31</v>
      </c>
      <c r="B871" s="15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0198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0198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1" s="15"/>
      <c r="D871" s="16" t="str">
        <f>"FJ0198"</f>
        <v>FJ0198</v>
      </c>
      <c r="E871" s="16">
        <v>10000</v>
      </c>
      <c r="F871" s="16" t="str">
        <f t="shared" si="107"/>
        <v>IJ101</v>
      </c>
      <c r="G871" s="17" t="str">
        <f t="shared" si="108"/>
        <v>Filled 10oz ORG Blend Juice bottle - Copack</v>
      </c>
      <c r="H871" s="18" t="str">
        <f t="shared" si="106"/>
        <v>BTLS</v>
      </c>
      <c r="I871" s="19">
        <v>24</v>
      </c>
      <c r="J871" s="20">
        <v>24</v>
      </c>
    </row>
    <row r="872" spans="1:10" ht="15.75" thickBot="1" x14ac:dyDescent="0.3">
      <c r="A872" t="s">
        <v>31</v>
      </c>
      <c r="B872" s="15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0222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0222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2" s="15"/>
      <c r="D872" s="16" t="str">
        <f>"FJ0222"</f>
        <v>FJ0222</v>
      </c>
      <c r="E872" s="16">
        <v>10000</v>
      </c>
      <c r="F872" s="16" t="str">
        <f t="shared" si="107"/>
        <v>IJ101</v>
      </c>
      <c r="G872" s="17" t="str">
        <f t="shared" si="108"/>
        <v>Filled 10oz ORG Blend Juice bottle - Copack</v>
      </c>
      <c r="H872" s="18" t="str">
        <f t="shared" si="106"/>
        <v>BTLS</v>
      </c>
      <c r="I872" s="19">
        <v>24</v>
      </c>
      <c r="J872" s="20">
        <v>24</v>
      </c>
    </row>
    <row r="873" spans="1:10" ht="15.75" thickBot="1" x14ac:dyDescent="0.3">
      <c r="A873" t="s">
        <v>31</v>
      </c>
      <c r="B873" s="15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0227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0227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3" s="15"/>
      <c r="D873" s="16" t="str">
        <f>"FJ0227"</f>
        <v>FJ0227</v>
      </c>
      <c r="E873" s="16">
        <v>10000</v>
      </c>
      <c r="F873" s="16" t="str">
        <f t="shared" si="107"/>
        <v>IJ101</v>
      </c>
      <c r="G873" s="17" t="str">
        <f t="shared" si="108"/>
        <v>Filled 10oz ORG Blend Juice bottle - Copack</v>
      </c>
      <c r="H873" s="18" t="str">
        <f t="shared" si="106"/>
        <v>BTLS</v>
      </c>
      <c r="I873" s="19">
        <v>24</v>
      </c>
      <c r="J873" s="20">
        <v>24</v>
      </c>
    </row>
    <row r="874" spans="1:10" ht="15.75" thickBot="1" x14ac:dyDescent="0.3">
      <c r="A874" t="s">
        <v>31</v>
      </c>
      <c r="B874" s="15" t="str">
        <f>"""Manzana NAV"",""MANZANA"",""99000772"",""44"","" "",""22"",""False"",""43"",""0.00000000000000000000"",""12"",""Filled 10oz ORG Blend Juice bottle - Copack"",""50220"",""False"",""29"","""",""50210"",""True"",""18"","""",""11"",""IJ101"",""2"",""20000"",""1"",""FJ0050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20000","1","FJ0050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4" s="15"/>
      <c r="D874" s="16" t="str">
        <f>"FJ0050"</f>
        <v>FJ0050</v>
      </c>
      <c r="E874" s="16">
        <v>20000</v>
      </c>
      <c r="F874" s="16" t="str">
        <f t="shared" si="107"/>
        <v>IJ101</v>
      </c>
      <c r="G874" s="17" t="str">
        <f t="shared" si="108"/>
        <v>Filled 10oz ORG Blend Juice bottle - Copack</v>
      </c>
      <c r="H874" s="18" t="str">
        <f t="shared" si="106"/>
        <v>BTLS</v>
      </c>
      <c r="I874" s="19">
        <v>24</v>
      </c>
      <c r="J874" s="20">
        <v>24</v>
      </c>
    </row>
    <row r="875" spans="1:10" ht="15.75" thickBot="1" x14ac:dyDescent="0.3">
      <c r="A875" t="s">
        <v>31</v>
      </c>
      <c r="B875" s="15" t="str">
        <f>"""Manzana NAV"",""MANZANA"",""99000772"",""44"","" "",""22"",""False"",""43"",""0.00000000000000000000"",""12"",""Filled 10oz ORG Blend Juice bottle - Copack"",""50220"",""False"",""29"","""",""50210"",""True"",""18"","""",""11"",""IJ101"",""2"",""20000"",""1"",""FJ0161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20000","1","FJ0161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5" s="15"/>
      <c r="D875" s="16" t="str">
        <f>"FJ0161"</f>
        <v>FJ0161</v>
      </c>
      <c r="E875" s="16">
        <v>20000</v>
      </c>
      <c r="F875" s="16" t="str">
        <f t="shared" si="107"/>
        <v>IJ101</v>
      </c>
      <c r="G875" s="17" t="str">
        <f t="shared" si="108"/>
        <v>Filled 10oz ORG Blend Juice bottle - Copack</v>
      </c>
      <c r="H875" s="18" t="str">
        <f t="shared" si="106"/>
        <v>BTLS</v>
      </c>
      <c r="I875" s="19">
        <v>24</v>
      </c>
      <c r="J875" s="20">
        <v>24</v>
      </c>
    </row>
    <row r="876" spans="1:10" ht="15.75" thickBot="1" x14ac:dyDescent="0.3">
      <c r="A876" t="s">
        <v>31</v>
      </c>
      <c r="B876" s="15" t="str">
        <f>"""Manzana NAV"",""MANZANA"",""99000772"",""44"","" "",""22"",""False"",""43"",""0.00000000000000000000"",""12"",""Filled 10oz ORG Blend Juice bottle - Copack"",""50220"",""False"",""29"","""",""50210"",""True"",""18"","""",""11"",""IJ101"",""2"",""40000"",""1"",""FJ0116"",""14"",""4.00000000000000000000"",""4"&amp;"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40000","1","FJ0116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76" s="15"/>
      <c r="D876" s="16" t="str">
        <f>"FJ0116"</f>
        <v>FJ0116</v>
      </c>
      <c r="E876" s="16">
        <v>40000</v>
      </c>
      <c r="F876" s="16" t="str">
        <f t="shared" si="107"/>
        <v>IJ101</v>
      </c>
      <c r="G876" s="17" t="str">
        <f t="shared" si="108"/>
        <v>Filled 10oz ORG Blend Juice bottle - Copack</v>
      </c>
      <c r="H876" s="18" t="str">
        <f t="shared" si="106"/>
        <v>BTLS</v>
      </c>
      <c r="I876" s="19">
        <v>4</v>
      </c>
      <c r="J876" s="20">
        <v>4</v>
      </c>
    </row>
    <row r="877" spans="1:10" ht="15.75" thickBot="1" x14ac:dyDescent="0.3">
      <c r="A877" t="s">
        <v>31</v>
      </c>
      <c r="B877" s="15" t="str">
        <f>"""Manzana NAV"",""MANZANA"",""99000772"",""44"","" "",""22"",""False"",""43"",""0.00000000000000000000"",""12"",""Filled 10oz ORG GRAV Juice bottle"",""50220"",""False"",""29"","""",""50210"",""True"",""18"","""",""11"",""IJ009"",""2"",""20000"",""1"",""FJ0112B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","50220","False","29","","50210","True","18","","11","IJ009","2","20000","1","FJ0112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7" s="15"/>
      <c r="D877" s="16" t="str">
        <f>"FJ0112B"</f>
        <v>FJ0112B</v>
      </c>
      <c r="E877" s="16">
        <v>20000</v>
      </c>
      <c r="F877" s="16" t="str">
        <f>"IJ009"</f>
        <v>IJ009</v>
      </c>
      <c r="G877" s="17" t="str">
        <f>"Filled 10oz ORG GRAV Juice bottle"</f>
        <v>Filled 10oz ORG GRAV Juice bottle</v>
      </c>
      <c r="H877" s="18" t="str">
        <f t="shared" si="106"/>
        <v>BTLS</v>
      </c>
      <c r="I877" s="19">
        <v>24</v>
      </c>
      <c r="J877" s="20">
        <v>24</v>
      </c>
    </row>
    <row r="878" spans="1:10" ht="15.75" thickBot="1" x14ac:dyDescent="0.3">
      <c r="A878" t="s">
        <v>31</v>
      </c>
      <c r="B878" s="15" t="str">
        <f>"""Manzana NAV"",""MANZANA"",""99000772"",""44"","" "",""22"",""False"",""43"",""0.00000000000000000000"",""12"",""Filled 10oz ORG GRAV Juice bottle"",""50220"",""False"",""29"","""",""50210"",""True"",""18"","""",""11"",""IJ009"",""2"",""20000"",""1"",""FJ0122B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","50220","False","29","","50210","True","18","","11","IJ009","2","20000","1","FJ0122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8" s="15"/>
      <c r="D878" s="16" t="str">
        <f>"FJ0122B"</f>
        <v>FJ0122B</v>
      </c>
      <c r="E878" s="16">
        <v>20000</v>
      </c>
      <c r="F878" s="16" t="str">
        <f>"IJ009"</f>
        <v>IJ009</v>
      </c>
      <c r="G878" s="17" t="str">
        <f>"Filled 10oz ORG GRAV Juice bottle"</f>
        <v>Filled 10oz ORG GRAV Juice bottle</v>
      </c>
      <c r="H878" s="18" t="str">
        <f t="shared" si="106"/>
        <v>BTLS</v>
      </c>
      <c r="I878" s="19">
        <v>24</v>
      </c>
      <c r="J878" s="20">
        <v>24</v>
      </c>
    </row>
    <row r="879" spans="1:10" ht="15.75" thickBot="1" x14ac:dyDescent="0.3">
      <c r="A879" t="s">
        <v>31</v>
      </c>
      <c r="B879" s="15" t="str">
        <f>"""Manzana NAV"",""MANZANA"",""99000772"",""44"","" "",""22"",""False"",""43"",""0.00000000000000000000"",""12"",""Filled 10oz ORG GRAV Juice bottle - Copack"",""50220"",""False"",""29"","""",""50210"",""True"",""18"","""",""11"",""IJ106"",""2"",""10000"",""1"",""FJ0121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10000","1","FJ0121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9" s="15"/>
      <c r="D879" s="16" t="str">
        <f>"FJ0121"</f>
        <v>FJ0121</v>
      </c>
      <c r="E879" s="16">
        <v>10000</v>
      </c>
      <c r="F879" s="16" t="str">
        <f>"IJ106"</f>
        <v>IJ106</v>
      </c>
      <c r="G879" s="17" t="str">
        <f>"Filled 10oz ORG GRAV Juice bottle - Copack"</f>
        <v>Filled 10oz ORG GRAV Juice bottle - Copack</v>
      </c>
      <c r="H879" s="18" t="str">
        <f t="shared" si="106"/>
        <v>BTLS</v>
      </c>
      <c r="I879" s="19">
        <v>24</v>
      </c>
      <c r="J879" s="20">
        <v>24</v>
      </c>
    </row>
    <row r="880" spans="1:10" ht="15.75" thickBot="1" x14ac:dyDescent="0.3">
      <c r="A880" t="s">
        <v>31</v>
      </c>
      <c r="B880" s="15" t="str">
        <f>"""Manzana NAV"",""MANZANA"",""99000772"",""44"","" "",""22"",""False"",""43"",""0.00000000000000000000"",""12"",""Filled 10oz ORG GRAV Juice bottle - Copack"",""50220"",""False"",""29"","""",""50210"",""True"",""18"","""",""11"",""IJ106"",""2"",""10000"",""1"",""FJ0219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10000","1","FJ0219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0" s="15"/>
      <c r="D880" s="16" t="str">
        <f>"FJ0219"</f>
        <v>FJ0219</v>
      </c>
      <c r="E880" s="16">
        <v>10000</v>
      </c>
      <c r="F880" s="16" t="str">
        <f>"IJ106"</f>
        <v>IJ106</v>
      </c>
      <c r="G880" s="17" t="str">
        <f>"Filled 10oz ORG GRAV Juice bottle - Copack"</f>
        <v>Filled 10oz ORG GRAV Juice bottle - Copack</v>
      </c>
      <c r="H880" s="18" t="str">
        <f t="shared" si="106"/>
        <v>BTLS</v>
      </c>
      <c r="I880" s="19">
        <v>24</v>
      </c>
      <c r="J880" s="20">
        <v>24</v>
      </c>
    </row>
    <row r="881" spans="1:10" ht="15.75" thickBot="1" x14ac:dyDescent="0.3">
      <c r="A881" t="s">
        <v>31</v>
      </c>
      <c r="B881" s="15" t="str">
        <f>"""Manzana NAV"",""MANZANA"",""99000772"",""44"","" "",""22"",""False"",""43"",""0.00000000000000000000"",""12"",""Filled 10oz ORG GRAV Juice bottle - Copack"",""50220"",""False"",""29"","""",""50210"",""True"",""18"","""",""11"",""IJ106"",""2"",""20000"",""1"",""FJ0112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20000","1","FJ0112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1" s="15"/>
      <c r="D881" s="16" t="str">
        <f>"FJ0112"</f>
        <v>FJ0112</v>
      </c>
      <c r="E881" s="16">
        <v>20000</v>
      </c>
      <c r="F881" s="16" t="str">
        <f>"IJ106"</f>
        <v>IJ106</v>
      </c>
      <c r="G881" s="17" t="str">
        <f>"Filled 10oz ORG GRAV Juice bottle - Copack"</f>
        <v>Filled 10oz ORG GRAV Juice bottle - Copack</v>
      </c>
      <c r="H881" s="18" t="str">
        <f t="shared" si="106"/>
        <v>BTLS</v>
      </c>
      <c r="I881" s="19">
        <v>24</v>
      </c>
      <c r="J881" s="20">
        <v>24</v>
      </c>
    </row>
    <row r="882" spans="1:10" ht="15.75" thickBot="1" x14ac:dyDescent="0.3">
      <c r="A882" t="s">
        <v>31</v>
      </c>
      <c r="B882" s="15" t="str">
        <f>"""Manzana NAV"",""MANZANA"",""99000772"",""44"","" "",""22"",""False"",""43"",""0.00000000000000000000"",""12"",""Filled 10oz ORG GRAV Juice bottle - Copack"",""50220"",""False"",""29"","""",""50210"",""True"",""18"","""",""11"",""IJ106"",""2"",""20000"",""1"",""FJ0122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20000","1","FJ0122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2" s="15"/>
      <c r="D882" s="16" t="str">
        <f>"FJ0122"</f>
        <v>FJ0122</v>
      </c>
      <c r="E882" s="16">
        <v>20000</v>
      </c>
      <c r="F882" s="16" t="str">
        <f>"IJ106"</f>
        <v>IJ106</v>
      </c>
      <c r="G882" s="17" t="str">
        <f>"Filled 10oz ORG GRAV Juice bottle - Copack"</f>
        <v>Filled 10oz ORG GRAV Juice bottle - Copack</v>
      </c>
      <c r="H882" s="18" t="str">
        <f t="shared" si="106"/>
        <v>BTLS</v>
      </c>
      <c r="I882" s="19">
        <v>24</v>
      </c>
      <c r="J882" s="20">
        <v>24</v>
      </c>
    </row>
    <row r="883" spans="1:10" ht="15.75" thickBot="1" x14ac:dyDescent="0.3">
      <c r="A883" t="s">
        <v>31</v>
      </c>
      <c r="B883" s="15" t="str">
        <f>"""Manzana NAV"",""MANZANA"",""99000772"",""44"","" "",""22"",""False"",""43"",""0.00000000000000000000"",""12"",""Filled 10oz ORG GRAV Juice bottle - Copack"",""50220"",""False"",""29"","""",""50210"",""True"",""18"","""",""11"",""IJ106"",""2"",""20000"",""1"",""FJ0180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20000","1","FJ0180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3" s="15"/>
      <c r="D883" s="16" t="str">
        <f>"FJ0180"</f>
        <v>FJ0180</v>
      </c>
      <c r="E883" s="16">
        <v>20000</v>
      </c>
      <c r="F883" s="16" t="str">
        <f>"IJ106"</f>
        <v>IJ106</v>
      </c>
      <c r="G883" s="17" t="str">
        <f>"Filled 10oz ORG GRAV Juice bottle - Copack"</f>
        <v>Filled 10oz ORG GRAV Juice bottle - Copack</v>
      </c>
      <c r="H883" s="18" t="str">
        <f t="shared" si="106"/>
        <v>BTLS</v>
      </c>
      <c r="I883" s="19">
        <v>24</v>
      </c>
      <c r="J883" s="20">
        <v>24</v>
      </c>
    </row>
    <row r="884" spans="1:10" ht="15.75" thickBot="1" x14ac:dyDescent="0.3">
      <c r="A884" t="s">
        <v>31</v>
      </c>
      <c r="B884" s="15" t="str">
        <f>"""Manzana NAV"",""MANZANA"",""99000772"",""44"","" "",""22"",""False"",""43"",""0.00000000000000000000"",""12"",""Filled 10oz ORG PEAR Juice Bottle"",""50220"",""False"",""29"","""",""50210"",""True"",""18"","""",""11"",""IJ030"",""2"",""20000"",""1"",""FJ0113B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","50220","False","29","","50210","True","18","","11","IJ030","2","20000","1","FJ0113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4" s="15"/>
      <c r="D884" s="16" t="str">
        <f>"FJ0113B"</f>
        <v>FJ0113B</v>
      </c>
      <c r="E884" s="16">
        <v>20000</v>
      </c>
      <c r="F884" s="16" t="str">
        <f>"IJ030"</f>
        <v>IJ030</v>
      </c>
      <c r="G884" s="17" t="str">
        <f>"Filled 10oz ORG PEAR Juice Bottle"</f>
        <v>Filled 10oz ORG PEAR Juice Bottle</v>
      </c>
      <c r="H884" s="18" t="str">
        <f t="shared" si="106"/>
        <v>BTLS</v>
      </c>
      <c r="I884" s="19">
        <v>24</v>
      </c>
      <c r="J884" s="20">
        <v>24</v>
      </c>
    </row>
    <row r="885" spans="1:10" ht="15.75" thickBot="1" x14ac:dyDescent="0.3">
      <c r="A885" t="s">
        <v>31</v>
      </c>
      <c r="B885" s="15" t="str">
        <f>"""Manzana NAV"",""MANZANA"",""99000772"",""44"","" "",""22"",""False"",""43"",""0.00000000000000000000"",""12"",""Filled 10oz ORG Pear Juice bottle - Copack"",""50220"",""False"",""29"","""",""50210"",""True"",""18"","""",""11"",""IJ110"",""2"",""10000"",""1"",""FJ0218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 - Copack","50220","False","29","","50210","True","18","","11","IJ110","2","10000","1","FJ0218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5" s="15"/>
      <c r="D885" s="16" t="str">
        <f>"FJ0218"</f>
        <v>FJ0218</v>
      </c>
      <c r="E885" s="16">
        <v>10000</v>
      </c>
      <c r="F885" s="16" t="str">
        <f>"IJ110"</f>
        <v>IJ110</v>
      </c>
      <c r="G885" s="17" t="str">
        <f>"Filled 10oz ORG Pear Juice bottle - Copack"</f>
        <v>Filled 10oz ORG Pear Juice bottle - Copack</v>
      </c>
      <c r="H885" s="18" t="str">
        <f t="shared" si="106"/>
        <v>BTLS</v>
      </c>
      <c r="I885" s="19">
        <v>24</v>
      </c>
      <c r="J885" s="20">
        <v>24</v>
      </c>
    </row>
    <row r="886" spans="1:10" ht="15.75" thickBot="1" x14ac:dyDescent="0.3">
      <c r="A886" t="s">
        <v>31</v>
      </c>
      <c r="B886" s="15" t="str">
        <f>"""Manzana NAV"",""MANZANA"",""99000772"",""44"","" "",""22"",""False"",""43"",""0.00000000000000000000"",""12"",""Filled 10oz ORG Pear Juice bottle - Copack"",""50220"",""False"",""29"","""",""50210"",""True"",""18"","""",""11"",""IJ110"",""2"",""20000"",""1"",""FJ0113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 - Copack","50220","False","29","","50210","True","18","","11","IJ110","2","20000","1","FJ0113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6" s="15"/>
      <c r="D886" s="16" t="str">
        <f>"FJ0113"</f>
        <v>FJ0113</v>
      </c>
      <c r="E886" s="16">
        <v>20000</v>
      </c>
      <c r="F886" s="16" t="str">
        <f>"IJ110"</f>
        <v>IJ110</v>
      </c>
      <c r="G886" s="17" t="str">
        <f>"Filled 10oz ORG Pear Juice bottle - Copack"</f>
        <v>Filled 10oz ORG Pear Juice bottle - Copack</v>
      </c>
      <c r="H886" s="18" t="str">
        <f t="shared" si="106"/>
        <v>BTLS</v>
      </c>
      <c r="I886" s="19">
        <v>24</v>
      </c>
      <c r="J886" s="20">
        <v>24</v>
      </c>
    </row>
    <row r="887" spans="1:10" ht="15.75" thickBot="1" x14ac:dyDescent="0.3">
      <c r="A887" t="s">
        <v>31</v>
      </c>
      <c r="B887" s="15" t="str">
        <f>"""Manzana NAV"",""MANZANA"",""99000772"",""44"","" "",""22"",""False"",""43"",""0.00000000000000000000"",""12"",""Filled 10oz ORG Pear Juice bottle - Copack"",""50220"",""False"",""29"","""",""50210"",""True"",""18"","""",""11"",""IJ110"",""2"",""20000"",""1"",""FJ0113C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 - Copack","50220","False","29","","50210","True","18","","11","IJ110","2","20000","1","FJ0113C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7" s="15"/>
      <c r="D887" s="16" t="str">
        <f>"FJ0113C"</f>
        <v>FJ0113C</v>
      </c>
      <c r="E887" s="16">
        <v>20000</v>
      </c>
      <c r="F887" s="16" t="str">
        <f>"IJ110"</f>
        <v>IJ110</v>
      </c>
      <c r="G887" s="17" t="str">
        <f>"Filled 10oz ORG Pear Juice bottle - Copack"</f>
        <v>Filled 10oz ORG Pear Juice bottle - Copack</v>
      </c>
      <c r="H887" s="18" t="str">
        <f t="shared" si="106"/>
        <v>BTLS</v>
      </c>
      <c r="I887" s="19">
        <v>24</v>
      </c>
      <c r="J887" s="20">
        <v>24</v>
      </c>
    </row>
    <row r="888" spans="1:10" ht="15.75" thickBot="1" x14ac:dyDescent="0.3">
      <c r="A888" t="s">
        <v>31</v>
      </c>
      <c r="B888" s="15" t="str">
        <f>"""Manzana NAV"",""MANZANA"",""99000772"",""44"","" "",""22"",""False"",""43"",""0.00000000000000000000"",""12"",""Filled 10oz ORG Spiced Cider bottle"",""50220"",""False"",""29"","""",""50210"",""True"",""18"","""",""11"",""IJ042"",""2"",""10000"",""1"",""FJ0194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Spiced Cider bottle","50220","False","29","","50210","True","18","","11","IJ042","2","10000","1","FJ0194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8" s="15"/>
      <c r="D888" s="16" t="str">
        <f>"FJ0194"</f>
        <v>FJ0194</v>
      </c>
      <c r="E888" s="16">
        <v>10000</v>
      </c>
      <c r="F888" s="16" t="str">
        <f>"IJ042"</f>
        <v>IJ042</v>
      </c>
      <c r="G888" s="17" t="str">
        <f>"Filled 10oz ORG Spiced Cider bottle"</f>
        <v>Filled 10oz ORG Spiced Cider bottle</v>
      </c>
      <c r="H888" s="18" t="str">
        <f t="shared" si="106"/>
        <v>BTLS</v>
      </c>
      <c r="I888" s="19">
        <v>24</v>
      </c>
      <c r="J888" s="20">
        <v>24</v>
      </c>
    </row>
    <row r="889" spans="1:10" ht="15.75" thickBot="1" x14ac:dyDescent="0.3">
      <c r="A889" t="s">
        <v>31</v>
      </c>
      <c r="B889" s="15" t="str">
        <f>"""Manzana NAV"",""MANZANA"",""99000772"",""44"","" "",""22"",""False"",""43"",""0.00000000000000000000"",""12"",""Filled 10oz ORG Spiced Cider bottle"",""50220"",""False"",""29"","""",""50210"",""True"",""18"","""",""11"",""IJ042"",""2"",""20000"",""1"",""FJ0188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Spiced Cider bottle","50220","False","29","","50210","True","18","","11","IJ042","2","20000","1","FJ0188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9" s="15"/>
      <c r="D889" s="16" t="str">
        <f>"FJ0188"</f>
        <v>FJ0188</v>
      </c>
      <c r="E889" s="16">
        <v>20000</v>
      </c>
      <c r="F889" s="16" t="str">
        <f>"IJ042"</f>
        <v>IJ042</v>
      </c>
      <c r="G889" s="17" t="str">
        <f>"Filled 10oz ORG Spiced Cider bottle"</f>
        <v>Filled 10oz ORG Spiced Cider bottle</v>
      </c>
      <c r="H889" s="18" t="str">
        <f t="shared" si="106"/>
        <v>BTLS</v>
      </c>
      <c r="I889" s="19">
        <v>24</v>
      </c>
      <c r="J889" s="20">
        <v>24</v>
      </c>
    </row>
    <row r="890" spans="1:10" ht="15.75" thickBot="1" x14ac:dyDescent="0.3">
      <c r="A890" t="s">
        <v>31</v>
      </c>
      <c r="B890" s="15" t="str">
        <f>"""Manzana NAV"",""MANZANA"",""99000772"",""44"","" "",""22"",""False"",""43"",""0.00000000000000000000"",""12"",""Filled 128oz NAT Blend Jce glass bottle - Copack"",""50220"",""False"",""29"","""",""50210"",""True"",""18"","""",""11"",""IJ115"",""2"",""20000"",""1"",""FJ0210"",""14"",""4.0000000000000000000"&amp;"0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Jce glass bottle - Copack","50220","False","29","","50210","True","18","","11","IJ115","2","20000","1","FJ0210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0" s="15"/>
      <c r="D890" s="16" t="str">
        <f>"FJ0210"</f>
        <v>FJ0210</v>
      </c>
      <c r="E890" s="16">
        <v>20000</v>
      </c>
      <c r="F890" s="16" t="str">
        <f>"IJ115"</f>
        <v>IJ115</v>
      </c>
      <c r="G890" s="17" t="str">
        <f>"Filled 128oz NAT Blend Jce glass bottle - Copack"</f>
        <v>Filled 128oz NAT Blend Jce glass bottle - Copack</v>
      </c>
      <c r="H890" s="18" t="str">
        <f t="shared" si="106"/>
        <v>BTLS</v>
      </c>
      <c r="I890" s="19">
        <v>4</v>
      </c>
      <c r="J890" s="20">
        <v>4</v>
      </c>
    </row>
    <row r="891" spans="1:10" ht="15.75" thickBot="1" x14ac:dyDescent="0.3">
      <c r="A891" t="s">
        <v>31</v>
      </c>
      <c r="B891" s="15" t="str">
        <f>"""Manzana NAV"",""MANZANA"",""99000772"",""44"","" "",""22"",""False"",""43"",""0.00000000000000000000"",""12"",""Filled 128oz NAT Blend Juice glass bottle"",""50220"",""False"",""29"","""",""50210"",""True"",""18"","""",""11"",""IJ024"",""2"",""10000"",""1"",""FJ0139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10000","1","FJ0139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1" s="15"/>
      <c r="D891" s="16" t="str">
        <f>"FJ0139"</f>
        <v>FJ0139</v>
      </c>
      <c r="E891" s="16">
        <v>10000</v>
      </c>
      <c r="F891" s="16" t="str">
        <f t="shared" ref="F891:F899" si="109">"IJ024"</f>
        <v>IJ024</v>
      </c>
      <c r="G891" s="17" t="str">
        <f t="shared" ref="G891:G899" si="110">"Filled 128oz NAT Blend Juice glass bottle"</f>
        <v>Filled 128oz NAT Blend Juice glass bottle</v>
      </c>
      <c r="H891" s="18" t="str">
        <f t="shared" si="106"/>
        <v>BTLS</v>
      </c>
      <c r="I891" s="19">
        <v>4</v>
      </c>
      <c r="J891" s="20">
        <v>4</v>
      </c>
    </row>
    <row r="892" spans="1:10" ht="15.75" thickBot="1" x14ac:dyDescent="0.3">
      <c r="A892" t="s">
        <v>31</v>
      </c>
      <c r="B892" s="15" t="str">
        <f>"""Manzana NAV"",""MANZANA"",""99000772"",""44"","" "",""22"",""False"",""43"",""0.00000000000000000000"",""12"",""Filled 128oz NAT Blend Juice glass bottle"",""50220"",""False"",""29"","""",""50210"",""True"",""18"","""",""11"",""IJ024"",""2"",""20000"",""1"",""FJ0033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20000","1","FJ0033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2" s="15"/>
      <c r="D892" s="16" t="str">
        <f>"FJ0033"</f>
        <v>FJ0033</v>
      </c>
      <c r="E892" s="16">
        <v>20000</v>
      </c>
      <c r="F892" s="16" t="str">
        <f t="shared" si="109"/>
        <v>IJ024</v>
      </c>
      <c r="G892" s="17" t="str">
        <f t="shared" si="110"/>
        <v>Filled 128oz NAT Blend Juice glass bottle</v>
      </c>
      <c r="H892" s="18" t="str">
        <f t="shared" si="106"/>
        <v>BTLS</v>
      </c>
      <c r="I892" s="19">
        <v>4</v>
      </c>
      <c r="J892" s="20">
        <v>4</v>
      </c>
    </row>
    <row r="893" spans="1:10" ht="15.75" thickBot="1" x14ac:dyDescent="0.3">
      <c r="A893" t="s">
        <v>31</v>
      </c>
      <c r="B893" s="15" t="str">
        <f>"""Manzana NAV"",""MANZANA"",""99000772"",""44"","" "",""22"",""False"",""43"",""0.00000000000000000000"",""12"",""Filled 128oz NAT Blend Juice glass bottle"",""50220"",""False"",""29"","""",""50210"",""True"",""18"","""",""11"",""IJ024"",""2"",""20000"",""1"",""FJ0048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20000","1","FJ0048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3" s="15"/>
      <c r="D893" s="16" t="str">
        <f>"FJ0048"</f>
        <v>FJ0048</v>
      </c>
      <c r="E893" s="16">
        <v>20000</v>
      </c>
      <c r="F893" s="16" t="str">
        <f t="shared" si="109"/>
        <v>IJ024</v>
      </c>
      <c r="G893" s="17" t="str">
        <f t="shared" si="110"/>
        <v>Filled 128oz NAT Blend Juice glass bottle</v>
      </c>
      <c r="H893" s="18" t="str">
        <f t="shared" si="106"/>
        <v>BTLS</v>
      </c>
      <c r="I893" s="19">
        <v>4</v>
      </c>
      <c r="J893" s="20">
        <v>4</v>
      </c>
    </row>
    <row r="894" spans="1:10" ht="15.75" thickBot="1" x14ac:dyDescent="0.3">
      <c r="A894" t="s">
        <v>31</v>
      </c>
      <c r="B894" s="15" t="str">
        <f>"""Manzana NAV"",""MANZANA"",""99000772"",""44"","" "",""22"",""False"",""43"",""0.00000000000000000000"",""12"",""Filled 128oz NAT Blend Juice glass bottle"",""50220"",""False"",""29"","""",""50210"",""True"",""18"","""",""11"",""IJ024"",""2"",""20000"",""1"",""FJ0240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20000","1","FJ0240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4" s="15"/>
      <c r="D894" s="16" t="str">
        <f>"FJ0240"</f>
        <v>FJ0240</v>
      </c>
      <c r="E894" s="16">
        <v>20000</v>
      </c>
      <c r="F894" s="16" t="str">
        <f t="shared" si="109"/>
        <v>IJ024</v>
      </c>
      <c r="G894" s="17" t="str">
        <f t="shared" si="110"/>
        <v>Filled 128oz NAT Blend Juice glass bottle</v>
      </c>
      <c r="H894" s="18" t="str">
        <f t="shared" si="106"/>
        <v>BTLS</v>
      </c>
      <c r="I894" s="19">
        <v>4</v>
      </c>
      <c r="J894" s="20">
        <v>4</v>
      </c>
    </row>
    <row r="895" spans="1:10" ht="15.75" thickBot="1" x14ac:dyDescent="0.3">
      <c r="A895" t="s">
        <v>31</v>
      </c>
      <c r="B895" s="15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0006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0006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5" s="15"/>
      <c r="D895" s="16" t="str">
        <f>"FJ0006"</f>
        <v>FJ0006</v>
      </c>
      <c r="E895" s="16">
        <v>30000</v>
      </c>
      <c r="F895" s="16" t="str">
        <f t="shared" si="109"/>
        <v>IJ024</v>
      </c>
      <c r="G895" s="17" t="str">
        <f t="shared" si="110"/>
        <v>Filled 128oz NAT Blend Juice glass bottle</v>
      </c>
      <c r="H895" s="18" t="str">
        <f t="shared" si="106"/>
        <v>BTLS</v>
      </c>
      <c r="I895" s="19">
        <v>4</v>
      </c>
      <c r="J895" s="20">
        <v>4</v>
      </c>
    </row>
    <row r="896" spans="1:10" ht="15.75" thickBot="1" x14ac:dyDescent="0.3">
      <c r="A896" t="s">
        <v>31</v>
      </c>
      <c r="B896" s="15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0008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0008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6" s="15"/>
      <c r="D896" s="16" t="str">
        <f>"FJ0008"</f>
        <v>FJ0008</v>
      </c>
      <c r="E896" s="16">
        <v>30000</v>
      </c>
      <c r="F896" s="16" t="str">
        <f t="shared" si="109"/>
        <v>IJ024</v>
      </c>
      <c r="G896" s="17" t="str">
        <f t="shared" si="110"/>
        <v>Filled 128oz NAT Blend Juice glass bottle</v>
      </c>
      <c r="H896" s="18" t="str">
        <f t="shared" si="106"/>
        <v>BTLS</v>
      </c>
      <c r="I896" s="19">
        <v>4</v>
      </c>
      <c r="J896" s="20">
        <v>4</v>
      </c>
    </row>
    <row r="897" spans="1:10" ht="15.75" thickBot="1" x14ac:dyDescent="0.3">
      <c r="A897" t="s">
        <v>31</v>
      </c>
      <c r="B897" s="15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0021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0021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7" s="15"/>
      <c r="D897" s="16" t="str">
        <f>"FJ0021"</f>
        <v>FJ0021</v>
      </c>
      <c r="E897" s="16">
        <v>30000</v>
      </c>
      <c r="F897" s="16" t="str">
        <f t="shared" si="109"/>
        <v>IJ024</v>
      </c>
      <c r="G897" s="17" t="str">
        <f t="shared" si="110"/>
        <v>Filled 128oz NAT Blend Juice glass bottle</v>
      </c>
      <c r="H897" s="18" t="str">
        <f t="shared" si="106"/>
        <v>BTLS</v>
      </c>
      <c r="I897" s="19">
        <v>4</v>
      </c>
      <c r="J897" s="20">
        <v>4</v>
      </c>
    </row>
    <row r="898" spans="1:10" ht="15.75" thickBot="1" x14ac:dyDescent="0.3">
      <c r="A898" t="s">
        <v>31</v>
      </c>
      <c r="B898" s="15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0238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0238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8" s="15"/>
      <c r="D898" s="16" t="str">
        <f>"FJ0238"</f>
        <v>FJ0238</v>
      </c>
      <c r="E898" s="16">
        <v>30000</v>
      </c>
      <c r="F898" s="16" t="str">
        <f t="shared" si="109"/>
        <v>IJ024</v>
      </c>
      <c r="G898" s="17" t="str">
        <f t="shared" si="110"/>
        <v>Filled 128oz NAT Blend Juice glass bottle</v>
      </c>
      <c r="H898" s="18" t="str">
        <f t="shared" si="106"/>
        <v>BTLS</v>
      </c>
      <c r="I898" s="19">
        <v>4</v>
      </c>
      <c r="J898" s="20">
        <v>4</v>
      </c>
    </row>
    <row r="899" spans="1:10" ht="15.75" thickBot="1" x14ac:dyDescent="0.3">
      <c r="A899" t="s">
        <v>31</v>
      </c>
      <c r="B899" s="15" t="str">
        <f>"""Manzana NAV"",""MANZANA"",""99000772"",""44"","" "",""22"",""False"",""43"",""0.00000000000000000000"",""12"",""Filled 128oz NAT Blend Juice glass bottle"",""50220"",""False"",""29"","""",""50210"",""True"",""18"","""",""11"",""IJ024"",""2"",""40000"",""1"",""FJ0102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40000","1","FJ0102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9" s="15"/>
      <c r="D899" s="16" t="str">
        <f>"FJ0102"</f>
        <v>FJ0102</v>
      </c>
      <c r="E899" s="16">
        <v>40000</v>
      </c>
      <c r="F899" s="16" t="str">
        <f t="shared" si="109"/>
        <v>IJ024</v>
      </c>
      <c r="G899" s="17" t="str">
        <f t="shared" si="110"/>
        <v>Filled 128oz NAT Blend Juice glass bottle</v>
      </c>
      <c r="H899" s="18" t="str">
        <f t="shared" si="106"/>
        <v>BTLS</v>
      </c>
      <c r="I899" s="19">
        <v>4</v>
      </c>
      <c r="J899" s="20">
        <v>4</v>
      </c>
    </row>
    <row r="900" spans="1:10" ht="15.75" thickBot="1" x14ac:dyDescent="0.3">
      <c r="A900" t="s">
        <v>31</v>
      </c>
      <c r="B900" s="15" t="str">
        <f>"""Manzana NAV"",""MANZANA"",""99000772"",""44"","" "",""22"",""False"",""43"",""0.00000000000000000000"",""12"",""Filled 128oz NAT Filt. Blend Juice glass bottle"",""50220"",""False"",""29"","""",""50210"",""True"",""18"","""",""11"",""IJ113"",""2"",""10000"",""1"",""FJ0185"",""14"",""4.00000000000000000000"&amp;"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Filt. Blend Juice glass bottle","50220","False","29","","50210","True","18","","11","IJ113","2","10000","1","FJ0185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0" s="15"/>
      <c r="D900" s="16" t="str">
        <f>"FJ0185"</f>
        <v>FJ0185</v>
      </c>
      <c r="E900" s="16">
        <v>10000</v>
      </c>
      <c r="F900" s="16" t="str">
        <f>"IJ113"</f>
        <v>IJ113</v>
      </c>
      <c r="G900" s="17" t="str">
        <f>"Filled 128oz NAT Filt. Blend Juice glass bottle"</f>
        <v>Filled 128oz NAT Filt. Blend Juice glass bottle</v>
      </c>
      <c r="H900" s="18" t="str">
        <f t="shared" si="106"/>
        <v>BTLS</v>
      </c>
      <c r="I900" s="19">
        <v>4</v>
      </c>
      <c r="J900" s="20">
        <v>4</v>
      </c>
    </row>
    <row r="901" spans="1:10" ht="15.75" thickBot="1" x14ac:dyDescent="0.3">
      <c r="A901" t="s">
        <v>31</v>
      </c>
      <c r="B901" s="15" t="str">
        <f>"""Manzana NAV"",""MANZANA"",""99000772"",""44"","" "",""22"",""False"",""43"",""0.00000000000000000000"",""12"",""Filled 128oz NAT Filt. Blend Juice glass bottle"",""50220"",""False"",""29"","""",""50210"",""True"",""18"","""",""11"",""IJ113"",""2"",""20000"",""1"",""FJ0049"",""14"",""4.00000000000000000000"&amp;"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Filt. Blend Juice glass bottle","50220","False","29","","50210","True","18","","11","IJ113","2","20000","1","FJ0049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1" s="15"/>
      <c r="D901" s="16" t="str">
        <f>"FJ0049"</f>
        <v>FJ0049</v>
      </c>
      <c r="E901" s="16">
        <v>20000</v>
      </c>
      <c r="F901" s="16" t="str">
        <f>"IJ113"</f>
        <v>IJ113</v>
      </c>
      <c r="G901" s="17" t="str">
        <f>"Filled 128oz NAT Filt. Blend Juice glass bottle"</f>
        <v>Filled 128oz NAT Filt. Blend Juice glass bottle</v>
      </c>
      <c r="H901" s="18" t="str">
        <f t="shared" si="106"/>
        <v>BTLS</v>
      </c>
      <c r="I901" s="19">
        <v>4</v>
      </c>
      <c r="J901" s="20">
        <v>4</v>
      </c>
    </row>
    <row r="902" spans="1:10" ht="15.75" thickBot="1" x14ac:dyDescent="0.3">
      <c r="A902" t="s">
        <v>31</v>
      </c>
      <c r="B902" s="15" t="str">
        <f>"""Manzana NAV"",""MANZANA"",""99000772"",""44"","" "",""22"",""False"",""43"",""0.00000000000000000000"",""12"",""Filled 128oz NAT GRAV Juice Glass Bottle"",""50220"",""False"",""29"","""",""50210"",""True"",""18"","""",""11"",""IJ029"",""2"",""20000"",""1"",""FJ0095"",""14"",""4.00000000000000000000"",""45"","&amp;"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GRAV Juice Glass Bottle","50220","False","29","","50210","True","18","","11","IJ029","2","20000","1","FJ0095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2" s="15"/>
      <c r="D902" s="16" t="str">
        <f>"FJ0095"</f>
        <v>FJ0095</v>
      </c>
      <c r="E902" s="16">
        <v>20000</v>
      </c>
      <c r="F902" s="16" t="str">
        <f>"IJ029"</f>
        <v>IJ029</v>
      </c>
      <c r="G902" s="17" t="str">
        <f>"Filled 128oz NAT GRAV Juice Glass Bottle"</f>
        <v>Filled 128oz NAT GRAV Juice Glass Bottle</v>
      </c>
      <c r="H902" s="18" t="str">
        <f t="shared" si="106"/>
        <v>BTLS</v>
      </c>
      <c r="I902" s="19">
        <v>4</v>
      </c>
      <c r="J902" s="20">
        <v>4</v>
      </c>
    </row>
    <row r="903" spans="1:10" ht="15.75" thickBot="1" x14ac:dyDescent="0.3">
      <c r="A903" t="s">
        <v>31</v>
      </c>
      <c r="B903" s="15" t="str">
        <f>"""Manzana NAV"",""MANZANA"",""99000772"",""44"","" "",""22"",""False"",""43"",""0.00000000000000000000"",""12"",""Filled 128oz ORG Blend Jce glass bottle - Copack"",""50220"",""False"",""29"","""",""50210"",""True"",""18"","""",""11"",""IJ105"",""2"",""20000"",""1"",""FJ0117"",""14"",""4.0000000000000000000"&amp;"0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Jce glass bottle - Copack","50220","False","29","","50210","True","18","","11","IJ105","2","20000","1","FJ0117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3" s="15"/>
      <c r="D903" s="16" t="str">
        <f>"FJ0117"</f>
        <v>FJ0117</v>
      </c>
      <c r="E903" s="16">
        <v>20000</v>
      </c>
      <c r="F903" s="16" t="str">
        <f>"IJ105"</f>
        <v>IJ105</v>
      </c>
      <c r="G903" s="17" t="str">
        <f>"Filled 128oz ORG Blend Jce glass bottle - Copack"</f>
        <v>Filled 128oz ORG Blend Jce glass bottle - Copack</v>
      </c>
      <c r="H903" s="18" t="str">
        <f t="shared" si="106"/>
        <v>BTLS</v>
      </c>
      <c r="I903" s="19">
        <v>4</v>
      </c>
      <c r="J903" s="20">
        <v>4</v>
      </c>
    </row>
    <row r="904" spans="1:10" ht="15.75" thickBot="1" x14ac:dyDescent="0.3">
      <c r="A904" t="s">
        <v>31</v>
      </c>
      <c r="B904" s="15" t="str">
        <f>"""Manzana NAV"",""MANZANA"",""99000772"",""44"","" "",""22"",""False"",""43"",""0.00000000000000000000"",""12"",""Filled 128oz ORG Blend Jce glass bottle - Copack"",""50220"",""False"",""29"","""",""50210"",""True"",""18"","""",""11"",""IJ105"",""2"",""40000"",""1"",""FJ0115"",""14"",""4.0000000000000000000"&amp;"0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Jce glass bottle - Copack","50220","False","29","","50210","True","18","","11","IJ105","2","40000","1","FJ0115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4" s="15"/>
      <c r="D904" s="16" t="str">
        <f>"FJ0115"</f>
        <v>FJ0115</v>
      </c>
      <c r="E904" s="16">
        <v>40000</v>
      </c>
      <c r="F904" s="16" t="str">
        <f>"IJ105"</f>
        <v>IJ105</v>
      </c>
      <c r="G904" s="17" t="str">
        <f>"Filled 128oz ORG Blend Jce glass bottle - Copack"</f>
        <v>Filled 128oz ORG Blend Jce glass bottle - Copack</v>
      </c>
      <c r="H904" s="18" t="str">
        <f t="shared" si="106"/>
        <v>BTLS</v>
      </c>
      <c r="I904" s="19">
        <v>4</v>
      </c>
      <c r="J904" s="20">
        <v>4</v>
      </c>
    </row>
    <row r="905" spans="1:10" ht="15.75" thickBot="1" x14ac:dyDescent="0.3">
      <c r="A905" t="s">
        <v>31</v>
      </c>
      <c r="B905" s="15" t="str">
        <f>"""Manzana NAV"",""MANZANA"",""99000772"",""44"","" "",""22"",""False"",""43"",""0.00000000000000000000"",""12"",""Filled 128oz ORG Blend Juice glass bottle"",""50220"",""False"",""29"","""",""50210"",""True"",""18"","""",""11"",""IJ008"",""2"",""10000"",""1"",""FJ0020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10000","1","FJ0020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5" s="15"/>
      <c r="D905" s="16" t="str">
        <f>"FJ0020"</f>
        <v>FJ0020</v>
      </c>
      <c r="E905" s="16">
        <v>10000</v>
      </c>
      <c r="F905" s="16" t="str">
        <f t="shared" ref="F905:F921" si="111">"IJ008"</f>
        <v>IJ008</v>
      </c>
      <c r="G905" s="17" t="str">
        <f t="shared" ref="G905:G921" si="112">"Filled 128oz ORG Blend Juice glass bottle"</f>
        <v>Filled 128oz ORG Blend Juice glass bottle</v>
      </c>
      <c r="H905" s="18" t="str">
        <f t="shared" si="106"/>
        <v>BTLS</v>
      </c>
      <c r="I905" s="19">
        <v>4</v>
      </c>
      <c r="J905" s="20">
        <v>4</v>
      </c>
    </row>
    <row r="906" spans="1:10" ht="15.75" thickBot="1" x14ac:dyDescent="0.3">
      <c r="A906" t="s">
        <v>31</v>
      </c>
      <c r="B906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0035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0035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6" s="15"/>
      <c r="D906" s="16" t="str">
        <f>"FJ0035"</f>
        <v>FJ0035</v>
      </c>
      <c r="E906" s="16">
        <v>20000</v>
      </c>
      <c r="F906" s="16" t="str">
        <f t="shared" si="111"/>
        <v>IJ008</v>
      </c>
      <c r="G906" s="17" t="str">
        <f t="shared" si="112"/>
        <v>Filled 128oz ORG Blend Juice glass bottle</v>
      </c>
      <c r="H906" s="18" t="str">
        <f t="shared" si="106"/>
        <v>BTLS</v>
      </c>
      <c r="I906" s="19">
        <v>4</v>
      </c>
      <c r="J906" s="20">
        <v>4</v>
      </c>
    </row>
    <row r="907" spans="1:10" ht="15.75" thickBot="1" x14ac:dyDescent="0.3">
      <c r="A907" t="s">
        <v>31</v>
      </c>
      <c r="B907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0042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0042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7" s="15"/>
      <c r="D907" s="16" t="str">
        <f>"FJ0042"</f>
        <v>FJ0042</v>
      </c>
      <c r="E907" s="16">
        <v>20000</v>
      </c>
      <c r="F907" s="16" t="str">
        <f t="shared" si="111"/>
        <v>IJ008</v>
      </c>
      <c r="G907" s="17" t="str">
        <f t="shared" si="112"/>
        <v>Filled 128oz ORG Blend Juice glass bottle</v>
      </c>
      <c r="H907" s="18" t="str">
        <f t="shared" si="106"/>
        <v>BTLS</v>
      </c>
      <c r="I907" s="19">
        <v>4</v>
      </c>
      <c r="J907" s="20">
        <v>4</v>
      </c>
    </row>
    <row r="908" spans="1:10" ht="15.75" thickBot="1" x14ac:dyDescent="0.3">
      <c r="A908" t="s">
        <v>31</v>
      </c>
      <c r="B908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0057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0057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8" s="15"/>
      <c r="D908" s="16" t="str">
        <f>"FJ0057"</f>
        <v>FJ0057</v>
      </c>
      <c r="E908" s="16">
        <v>20000</v>
      </c>
      <c r="F908" s="16" t="str">
        <f t="shared" si="111"/>
        <v>IJ008</v>
      </c>
      <c r="G908" s="17" t="str">
        <f t="shared" si="112"/>
        <v>Filled 128oz ORG Blend Juice glass bottle</v>
      </c>
      <c r="H908" s="18" t="str">
        <f t="shared" si="106"/>
        <v>BTLS</v>
      </c>
      <c r="I908" s="19">
        <v>4</v>
      </c>
      <c r="J908" s="20">
        <v>4</v>
      </c>
    </row>
    <row r="909" spans="1:10" ht="15.75" thickBot="1" x14ac:dyDescent="0.3">
      <c r="A909" t="s">
        <v>31</v>
      </c>
      <c r="B909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0061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0061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9" s="15"/>
      <c r="D909" s="16" t="str">
        <f>"FJ0061"</f>
        <v>FJ0061</v>
      </c>
      <c r="E909" s="16">
        <v>20000</v>
      </c>
      <c r="F909" s="16" t="str">
        <f t="shared" si="111"/>
        <v>IJ008</v>
      </c>
      <c r="G909" s="17" t="str">
        <f t="shared" si="112"/>
        <v>Filled 128oz ORG Blend Juice glass bottle</v>
      </c>
      <c r="H909" s="18" t="str">
        <f t="shared" si="106"/>
        <v>BTLS</v>
      </c>
      <c r="I909" s="19">
        <v>4</v>
      </c>
      <c r="J909" s="20">
        <v>4</v>
      </c>
    </row>
    <row r="910" spans="1:10" ht="15.75" thickBot="1" x14ac:dyDescent="0.3">
      <c r="A910" t="s">
        <v>31</v>
      </c>
      <c r="B910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0074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0074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0" s="15"/>
      <c r="D910" s="16" t="str">
        <f>"FJ0074"</f>
        <v>FJ0074</v>
      </c>
      <c r="E910" s="16">
        <v>20000</v>
      </c>
      <c r="F910" s="16" t="str">
        <f t="shared" si="111"/>
        <v>IJ008</v>
      </c>
      <c r="G910" s="17" t="str">
        <f t="shared" si="112"/>
        <v>Filled 128oz ORG Blend Juice glass bottle</v>
      </c>
      <c r="H910" s="18" t="str">
        <f t="shared" si="106"/>
        <v>BTLS</v>
      </c>
      <c r="I910" s="19">
        <v>4</v>
      </c>
      <c r="J910" s="20">
        <v>4</v>
      </c>
    </row>
    <row r="911" spans="1:10" ht="15.75" thickBot="1" x14ac:dyDescent="0.3">
      <c r="A911" t="s">
        <v>31</v>
      </c>
      <c r="B911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0078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0078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1" s="15"/>
      <c r="D911" s="16" t="str">
        <f>"FJ0078"</f>
        <v>FJ0078</v>
      </c>
      <c r="E911" s="16">
        <v>20000</v>
      </c>
      <c r="F911" s="16" t="str">
        <f t="shared" si="111"/>
        <v>IJ008</v>
      </c>
      <c r="G911" s="17" t="str">
        <f t="shared" si="112"/>
        <v>Filled 128oz ORG Blend Juice glass bottle</v>
      </c>
      <c r="H911" s="18" t="str">
        <f t="shared" si="106"/>
        <v>BTLS</v>
      </c>
      <c r="I911" s="19">
        <v>4</v>
      </c>
      <c r="J911" s="20">
        <v>4</v>
      </c>
    </row>
    <row r="912" spans="1:10" ht="15.75" thickBot="1" x14ac:dyDescent="0.3">
      <c r="A912" t="s">
        <v>31</v>
      </c>
      <c r="B912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0086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0086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2" s="15"/>
      <c r="D912" s="16" t="str">
        <f>"FJ0086"</f>
        <v>FJ0086</v>
      </c>
      <c r="E912" s="16">
        <v>20000</v>
      </c>
      <c r="F912" s="16" t="str">
        <f t="shared" si="111"/>
        <v>IJ008</v>
      </c>
      <c r="G912" s="17" t="str">
        <f t="shared" si="112"/>
        <v>Filled 128oz ORG Blend Juice glass bottle</v>
      </c>
      <c r="H912" s="18" t="str">
        <f t="shared" si="106"/>
        <v>BTLS</v>
      </c>
      <c r="I912" s="19">
        <v>4</v>
      </c>
      <c r="J912" s="20">
        <v>4</v>
      </c>
    </row>
    <row r="913" spans="1:10" ht="15.75" thickBot="1" x14ac:dyDescent="0.3">
      <c r="A913" t="s">
        <v>31</v>
      </c>
      <c r="B913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0090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0090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3" s="15"/>
      <c r="D913" s="16" t="str">
        <f>"FJ0090"</f>
        <v>FJ0090</v>
      </c>
      <c r="E913" s="16">
        <v>20000</v>
      </c>
      <c r="F913" s="16" t="str">
        <f t="shared" si="111"/>
        <v>IJ008</v>
      </c>
      <c r="G913" s="17" t="str">
        <f t="shared" si="112"/>
        <v>Filled 128oz ORG Blend Juice glass bottle</v>
      </c>
      <c r="H913" s="18" t="str">
        <f t="shared" si="106"/>
        <v>BTLS</v>
      </c>
      <c r="I913" s="19">
        <v>4</v>
      </c>
      <c r="J913" s="20">
        <v>4</v>
      </c>
    </row>
    <row r="914" spans="1:10" ht="15.75" thickBot="1" x14ac:dyDescent="0.3">
      <c r="A914" t="s">
        <v>31</v>
      </c>
      <c r="B914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0115B"",""14"",""4.00000000000000000000"",""45"&amp;"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0115B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4" s="15"/>
      <c r="D914" s="16" t="str">
        <f>"FJ0115B"</f>
        <v>FJ0115B</v>
      </c>
      <c r="E914" s="16">
        <v>20000</v>
      </c>
      <c r="F914" s="16" t="str">
        <f t="shared" si="111"/>
        <v>IJ008</v>
      </c>
      <c r="G914" s="17" t="str">
        <f t="shared" si="112"/>
        <v>Filled 128oz ORG Blend Juice glass bottle</v>
      </c>
      <c r="H914" s="18" t="str">
        <f t="shared" si="106"/>
        <v>BTLS</v>
      </c>
      <c r="I914" s="19">
        <v>4</v>
      </c>
      <c r="J914" s="20">
        <v>4</v>
      </c>
    </row>
    <row r="915" spans="1:10" ht="15.75" thickBot="1" x14ac:dyDescent="0.3">
      <c r="A915" t="s">
        <v>31</v>
      </c>
      <c r="B915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0117B"",""14"",""4.00000000000000000000"",""45"&amp;"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0117B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5" s="15"/>
      <c r="D915" s="16" t="str">
        <f>"FJ0117B"</f>
        <v>FJ0117B</v>
      </c>
      <c r="E915" s="16">
        <v>20000</v>
      </c>
      <c r="F915" s="16" t="str">
        <f t="shared" si="111"/>
        <v>IJ008</v>
      </c>
      <c r="G915" s="17" t="str">
        <f t="shared" si="112"/>
        <v>Filled 128oz ORG Blend Juice glass bottle</v>
      </c>
      <c r="H915" s="18" t="str">
        <f t="shared" si="106"/>
        <v>BTLS</v>
      </c>
      <c r="I915" s="19">
        <v>4</v>
      </c>
      <c r="J915" s="20">
        <v>4</v>
      </c>
    </row>
    <row r="916" spans="1:10" ht="15.75" thickBot="1" x14ac:dyDescent="0.3">
      <c r="A916" t="s">
        <v>31</v>
      </c>
      <c r="B916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0127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0127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6" s="15"/>
      <c r="D916" s="16" t="str">
        <f>"FJ0127"</f>
        <v>FJ0127</v>
      </c>
      <c r="E916" s="16">
        <v>20000</v>
      </c>
      <c r="F916" s="16" t="str">
        <f t="shared" si="111"/>
        <v>IJ008</v>
      </c>
      <c r="G916" s="17" t="str">
        <f t="shared" si="112"/>
        <v>Filled 128oz ORG Blend Juice glass bottle</v>
      </c>
      <c r="H916" s="18" t="str">
        <f t="shared" si="106"/>
        <v>BTLS</v>
      </c>
      <c r="I916" s="19">
        <v>4</v>
      </c>
      <c r="J916" s="20">
        <v>4</v>
      </c>
    </row>
    <row r="917" spans="1:10" ht="15.75" thickBot="1" x14ac:dyDescent="0.3">
      <c r="A917" t="s">
        <v>31</v>
      </c>
      <c r="B917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0160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0160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7" s="15"/>
      <c r="D917" s="16" t="str">
        <f>"FJ0160"</f>
        <v>FJ0160</v>
      </c>
      <c r="E917" s="16">
        <v>20000</v>
      </c>
      <c r="F917" s="16" t="str">
        <f t="shared" si="111"/>
        <v>IJ008</v>
      </c>
      <c r="G917" s="17" t="str">
        <f t="shared" si="112"/>
        <v>Filled 128oz ORG Blend Juice glass bottle</v>
      </c>
      <c r="H917" s="18" t="str">
        <f t="shared" si="106"/>
        <v>BTLS</v>
      </c>
      <c r="I917" s="19">
        <v>4</v>
      </c>
      <c r="J917" s="20">
        <v>4</v>
      </c>
    </row>
    <row r="918" spans="1:10" ht="15.75" thickBot="1" x14ac:dyDescent="0.3">
      <c r="A918" t="s">
        <v>31</v>
      </c>
      <c r="B918" s="15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0213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0213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8" s="15"/>
      <c r="D918" s="16" t="str">
        <f>"FJ0213"</f>
        <v>FJ0213</v>
      </c>
      <c r="E918" s="16">
        <v>20000</v>
      </c>
      <c r="F918" s="16" t="str">
        <f t="shared" si="111"/>
        <v>IJ008</v>
      </c>
      <c r="G918" s="17" t="str">
        <f t="shared" si="112"/>
        <v>Filled 128oz ORG Blend Juice glass bottle</v>
      </c>
      <c r="H918" s="18" t="str">
        <f t="shared" si="106"/>
        <v>BTLS</v>
      </c>
      <c r="I918" s="19">
        <v>4</v>
      </c>
      <c r="J918" s="20">
        <v>4</v>
      </c>
    </row>
    <row r="919" spans="1:10" ht="15.75" thickBot="1" x14ac:dyDescent="0.3">
      <c r="A919" t="s">
        <v>31</v>
      </c>
      <c r="B919" s="15" t="str">
        <f>"""Manzana NAV"",""MANZANA"",""99000772"",""44"","" "",""22"",""False"",""43"",""0.00000000000000000000"",""12"",""Filled 128oz ORG Blend Juice glass bottle"",""50220"",""False"",""29"","""",""50210"",""True"",""18"","""",""11"",""IJ008"",""2"",""30000"",""1"",""FJ0022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30000","1","FJ0022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9" s="15"/>
      <c r="D919" s="16" t="str">
        <f>"FJ0022"</f>
        <v>FJ0022</v>
      </c>
      <c r="E919" s="16">
        <v>30000</v>
      </c>
      <c r="F919" s="16" t="str">
        <f t="shared" si="111"/>
        <v>IJ008</v>
      </c>
      <c r="G919" s="17" t="str">
        <f t="shared" si="112"/>
        <v>Filled 128oz ORG Blend Juice glass bottle</v>
      </c>
      <c r="H919" s="18" t="str">
        <f t="shared" si="106"/>
        <v>BTLS</v>
      </c>
      <c r="I919" s="19">
        <v>4</v>
      </c>
      <c r="J919" s="20">
        <v>4</v>
      </c>
    </row>
    <row r="920" spans="1:10" ht="15.75" thickBot="1" x14ac:dyDescent="0.3">
      <c r="A920" t="s">
        <v>31</v>
      </c>
      <c r="B920" s="15" t="str">
        <f>"""Manzana NAV"",""MANZANA"",""99000772"",""44"","" "",""22"",""False"",""43"",""0.00000000000000000000"",""12"",""Filled 128oz ORG Blend Juice glass bottle"",""50220"",""False"",""29"","""",""50210"",""True"",""18"","""",""11"",""IJ008"",""2"",""30000"",""1"",""FJ0029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30000","1","FJ0029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0" s="15"/>
      <c r="D920" s="16" t="str">
        <f>"FJ0029"</f>
        <v>FJ0029</v>
      </c>
      <c r="E920" s="16">
        <v>30000</v>
      </c>
      <c r="F920" s="16" t="str">
        <f t="shared" si="111"/>
        <v>IJ008</v>
      </c>
      <c r="G920" s="17" t="str">
        <f t="shared" si="112"/>
        <v>Filled 128oz ORG Blend Juice glass bottle</v>
      </c>
      <c r="H920" s="18" t="str">
        <f t="shared" si="106"/>
        <v>BTLS</v>
      </c>
      <c r="I920" s="19">
        <v>4</v>
      </c>
      <c r="J920" s="20">
        <v>4</v>
      </c>
    </row>
    <row r="921" spans="1:10" ht="15.75" thickBot="1" x14ac:dyDescent="0.3">
      <c r="A921" t="s">
        <v>31</v>
      </c>
      <c r="B921" s="15" t="str">
        <f>"""Manzana NAV"",""MANZANA"",""99000772"",""44"","" "",""22"",""False"",""43"",""0.00000000000000000000"",""12"",""Filled 128oz ORG Blend Juice glass bottle"",""50220"",""False"",""29"","""",""50210"",""True"",""18"","""",""11"",""IJ008"",""2"",""30000"",""1"",""FJ0101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30000","1","FJ0101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1" s="15"/>
      <c r="D921" s="16" t="str">
        <f>"FJ0101"</f>
        <v>FJ0101</v>
      </c>
      <c r="E921" s="16">
        <v>30000</v>
      </c>
      <c r="F921" s="16" t="str">
        <f t="shared" si="111"/>
        <v>IJ008</v>
      </c>
      <c r="G921" s="17" t="str">
        <f t="shared" si="112"/>
        <v>Filled 128oz ORG Blend Juice glass bottle</v>
      </c>
      <c r="H921" s="18" t="str">
        <f t="shared" si="106"/>
        <v>BTLS</v>
      </c>
      <c r="I921" s="19">
        <v>4</v>
      </c>
      <c r="J921" s="20">
        <v>4</v>
      </c>
    </row>
    <row r="922" spans="1:10" ht="15.75" thickBot="1" x14ac:dyDescent="0.3">
      <c r="A922" t="s">
        <v>31</v>
      </c>
      <c r="B922" s="15" t="str">
        <f>"""Manzana NAV"",""MANZANA"",""99000772"",""44"","" "",""22"",""False"",""43"",""0.00000000000000000000"",""12"",""Filled 128oz ORG GRAV Juice bottle - Copack"",""50220"",""False"",""29"","""",""50210"",""True"",""18"","""",""11"",""IJ112"",""2"",""10000"",""1"",""FJ0011"",""14"",""4.00000000000000000000"",""4"&amp;"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bottle - Copack","50220","False","29","","50210","True","18","","11","IJ112","2","10000","1","FJ0011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2" s="15"/>
      <c r="D922" s="16" t="str">
        <f>"FJ0011"</f>
        <v>FJ0011</v>
      </c>
      <c r="E922" s="16">
        <v>10000</v>
      </c>
      <c r="F922" s="16" t="str">
        <f>"IJ112"</f>
        <v>IJ112</v>
      </c>
      <c r="G922" s="17" t="str">
        <f>"Filled 128oz ORG GRAV Juice bottle - Copack"</f>
        <v>Filled 128oz ORG GRAV Juice bottle - Copack</v>
      </c>
      <c r="H922" s="18" t="str">
        <f t="shared" si="106"/>
        <v>BTLS</v>
      </c>
      <c r="I922" s="19">
        <v>4</v>
      </c>
      <c r="J922" s="20">
        <v>4</v>
      </c>
    </row>
    <row r="923" spans="1:10" ht="15.75" thickBot="1" x14ac:dyDescent="0.3">
      <c r="A923" t="s">
        <v>31</v>
      </c>
      <c r="B923" s="15" t="str">
        <f>"""Manzana NAV"",""MANZANA"",""99000772"",""44"","" "",""22"",""False"",""43"",""0.00000000000000000000"",""12"",""Filled 128oz ORG GRAV Juice Glass Bottle"",""50220"",""False"",""29"","""",""50210"",""True"",""18"","""",""11"",""IJ028"",""2"",""10000"",""1"",""FJ0011B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Glass Bottle","50220","False","29","","50210","True","18","","11","IJ028","2","10000","1","FJ0011B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3" s="15"/>
      <c r="D923" s="16" t="str">
        <f>"FJ0011B"</f>
        <v>FJ0011B</v>
      </c>
      <c r="E923" s="16">
        <v>10000</v>
      </c>
      <c r="F923" s="16" t="str">
        <f>"IJ028"</f>
        <v>IJ028</v>
      </c>
      <c r="G923" s="17" t="str">
        <f>"Filled 128oz ORG GRAV Juice Glass Bottle"</f>
        <v>Filled 128oz ORG GRAV Juice Glass Bottle</v>
      </c>
      <c r="H923" s="18" t="str">
        <f t="shared" si="106"/>
        <v>BTLS</v>
      </c>
      <c r="I923" s="19">
        <v>4</v>
      </c>
      <c r="J923" s="20">
        <v>4</v>
      </c>
    </row>
    <row r="924" spans="1:10" ht="15.75" thickBot="1" x14ac:dyDescent="0.3">
      <c r="A924" t="s">
        <v>31</v>
      </c>
      <c r="B924" s="15" t="str">
        <f>"""Manzana NAV"",""MANZANA"",""99000772"",""44"","" "",""22"",""False"",""43"",""0.00000000000000000000"",""12"",""Filled 128oz ORG GRAV Juice Glass Bottle"",""50220"",""False"",""29"","""",""50210"",""True"",""18"","""",""11"",""IJ028"",""2"",""20000"",""1"",""FJ0094"",""14"",""4.00000000000000000000"",""45"","&amp;"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Glass Bottle","50220","False","29","","50210","True","18","","11","IJ028","2","20000","1","FJ0094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4" s="15"/>
      <c r="D924" s="16" t="str">
        <f>"FJ0094"</f>
        <v>FJ0094</v>
      </c>
      <c r="E924" s="16">
        <v>20000</v>
      </c>
      <c r="F924" s="16" t="str">
        <f>"IJ028"</f>
        <v>IJ028</v>
      </c>
      <c r="G924" s="17" t="str">
        <f>"Filled 128oz ORG GRAV Juice Glass Bottle"</f>
        <v>Filled 128oz ORG GRAV Juice Glass Bottle</v>
      </c>
      <c r="H924" s="18" t="str">
        <f t="shared" si="106"/>
        <v>BTLS</v>
      </c>
      <c r="I924" s="19">
        <v>4</v>
      </c>
      <c r="J924" s="20">
        <v>4</v>
      </c>
    </row>
    <row r="925" spans="1:10" ht="15.75" thickBot="1" x14ac:dyDescent="0.3">
      <c r="A925" t="s">
        <v>31</v>
      </c>
      <c r="B925" s="15" t="str">
        <f>"""Manzana NAV"",""MANZANA"",""99000772"",""44"","" "",""22"",""False"",""43"",""0.00000000000000000000"",""12"",""Filled 128oz ORG GRAV Juice Glass Bottle"",""50220"",""False"",""29"","""",""50210"",""True"",""18"","""",""11"",""IJ028"",""2"",""20000"",""1"",""FJ0107"",""14"",""4.00000000000000000000"",""45"","&amp;"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Glass Bottle","50220","False","29","","50210","True","18","","11","IJ028","2","20000","1","FJ0107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5" s="15"/>
      <c r="D925" s="16" t="str">
        <f>"FJ0107"</f>
        <v>FJ0107</v>
      </c>
      <c r="E925" s="16">
        <v>20000</v>
      </c>
      <c r="F925" s="16" t="str">
        <f>"IJ028"</f>
        <v>IJ028</v>
      </c>
      <c r="G925" s="17" t="str">
        <f>"Filled 128oz ORG GRAV Juice Glass Bottle"</f>
        <v>Filled 128oz ORG GRAV Juice Glass Bottle</v>
      </c>
      <c r="H925" s="18" t="str">
        <f t="shared" si="106"/>
        <v>BTLS</v>
      </c>
      <c r="I925" s="19">
        <v>4</v>
      </c>
      <c r="J925" s="20">
        <v>4</v>
      </c>
    </row>
    <row r="926" spans="1:10" ht="15.75" thickBot="1" x14ac:dyDescent="0.3">
      <c r="A926" t="s">
        <v>31</v>
      </c>
      <c r="B926" s="15" t="str">
        <f>"""Manzana NAV"",""MANZANA"",""99000772"",""44"","" "",""22"",""False"",""43"",""0.00000000000000000000"",""12"",""Filled 128oz ORG Vinegar bottle - Pistol Grip"",""50220"",""False"",""29"","""",""50210"",""True"",""18"","""",""11"",""IV013"",""2"",""20000"",""1"",""FV0036"",""14"",""4.00000000000000000000"","&amp;"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Vinegar bottle - Pistol Grip","50220","False","29","","50210","True","18","","11","IV013","2","20000","1","FV0036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6" s="15"/>
      <c r="D926" s="16" t="str">
        <f>"FV0036"</f>
        <v>FV0036</v>
      </c>
      <c r="E926" s="16">
        <v>20000</v>
      </c>
      <c r="F926" s="16" t="str">
        <f>"IV013"</f>
        <v>IV013</v>
      </c>
      <c r="G926" s="17" t="str">
        <f>"Filled 128oz ORG Vinegar bottle - Pistol Grip"</f>
        <v>Filled 128oz ORG Vinegar bottle - Pistol Grip</v>
      </c>
      <c r="H926" s="18" t="str">
        <f t="shared" ref="H926:H947" si="113">"BTLS"</f>
        <v>BTLS</v>
      </c>
      <c r="I926" s="19">
        <v>4</v>
      </c>
      <c r="J926" s="20">
        <v>4</v>
      </c>
    </row>
    <row r="927" spans="1:10" ht="15.75" thickBot="1" x14ac:dyDescent="0.3">
      <c r="A927" t="s">
        <v>31</v>
      </c>
      <c r="B927" s="15" t="str">
        <f>"""Manzana NAV"",""MANZANA"",""99000772"",""44"","" "",""22"",""False"",""43"",""0.00000000000000000000"",""12"",""Filled 128oz ORG Vinegar bottle - Pistol Grip"",""50220"",""False"",""29"","""",""50210"",""True"",""18"","""",""11"",""IV013"",""2"",""30000"",""1"",""FV0018"",""14"",""4.00000000000000000000"","&amp;"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Vinegar bottle - Pistol Grip","50220","False","29","","50210","True","18","","11","IV013","2","30000","1","FV0018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7" s="15"/>
      <c r="D927" s="16" t="str">
        <f>"FV0018"</f>
        <v>FV0018</v>
      </c>
      <c r="E927" s="16">
        <v>30000</v>
      </c>
      <c r="F927" s="16" t="str">
        <f>"IV013"</f>
        <v>IV013</v>
      </c>
      <c r="G927" s="17" t="str">
        <f>"Filled 128oz ORG Vinegar bottle - Pistol Grip"</f>
        <v>Filled 128oz ORG Vinegar bottle - Pistol Grip</v>
      </c>
      <c r="H927" s="18" t="str">
        <f t="shared" si="113"/>
        <v>BTLS</v>
      </c>
      <c r="I927" s="19">
        <v>4</v>
      </c>
      <c r="J927" s="20">
        <v>4</v>
      </c>
    </row>
    <row r="928" spans="1:10" ht="15.75" thickBot="1" x14ac:dyDescent="0.3">
      <c r="A928" t="s">
        <v>31</v>
      </c>
      <c r="B928" s="15" t="str">
        <f>"""Manzana NAV"",""MANZANA"",""99000772"",""44"","" "",""22"",""False"",""43"",""0.00000000000000000000"",""12"",""Filled 16oz NAT Filtered Vinegar bottle"",""50220"",""False"",""29"","""",""50210"",""True"",""18"","""",""11"",""IV005"",""2"",""20000"",""1"",""FV0021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20000","1","FV0021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28" s="15"/>
      <c r="D928" s="16" t="str">
        <f>"FV0021"</f>
        <v>FV0021</v>
      </c>
      <c r="E928" s="16">
        <v>20000</v>
      </c>
      <c r="F928" s="16" t="str">
        <f>"IV005"</f>
        <v>IV005</v>
      </c>
      <c r="G928" s="17" t="str">
        <f>"Filled 16oz NAT Filtered Vinegar bottle"</f>
        <v>Filled 16oz NAT Filtered Vinegar bottle</v>
      </c>
      <c r="H928" s="18" t="str">
        <f t="shared" si="113"/>
        <v>BTLS</v>
      </c>
      <c r="I928" s="19">
        <v>12</v>
      </c>
      <c r="J928" s="20">
        <v>12</v>
      </c>
    </row>
    <row r="929" spans="1:10" ht="15.75" thickBot="1" x14ac:dyDescent="0.3">
      <c r="A929" t="s">
        <v>31</v>
      </c>
      <c r="B929" s="15" t="str">
        <f>"""Manzana NAV"",""MANZANA"",""99000772"",""44"","" "",""22"",""False"",""43"",""0.00000000000000000000"",""12"",""Filled 16oz NAT Filtered Vinegar bottle"",""50220"",""False"",""29"","""",""50210"",""True"",""18"","""",""11"",""IV005"",""2"",""20000"",""1"",""FV0033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20000","1","FV0033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29" s="15"/>
      <c r="D929" s="16" t="str">
        <f>"FV0033"</f>
        <v>FV0033</v>
      </c>
      <c r="E929" s="16">
        <v>20000</v>
      </c>
      <c r="F929" s="16" t="str">
        <f>"IV005"</f>
        <v>IV005</v>
      </c>
      <c r="G929" s="17" t="str">
        <f>"Filled 16oz NAT Filtered Vinegar bottle"</f>
        <v>Filled 16oz NAT Filtered Vinegar bottle</v>
      </c>
      <c r="H929" s="18" t="str">
        <f t="shared" si="113"/>
        <v>BTLS</v>
      </c>
      <c r="I929" s="19">
        <v>12</v>
      </c>
      <c r="J929" s="20">
        <v>12</v>
      </c>
    </row>
    <row r="930" spans="1:10" ht="15.75" thickBot="1" x14ac:dyDescent="0.3">
      <c r="A930" t="s">
        <v>31</v>
      </c>
      <c r="B930" s="15" t="str">
        <f>"""Manzana NAV"",""MANZANA"",""99000772"",""44"","" "",""22"",""False"",""43"",""0.00000000000000000000"",""12"",""Filled 16oz NAT Filtered Vinegar bottle"",""50220"",""False"",""29"","""",""50210"",""True"",""18"","""",""11"",""IV005"",""2"",""30000"",""1"",""FV0025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30000","1","FV0025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0" s="15"/>
      <c r="D930" s="16" t="str">
        <f>"FV0025"</f>
        <v>FV0025</v>
      </c>
      <c r="E930" s="16">
        <v>30000</v>
      </c>
      <c r="F930" s="16" t="str">
        <f>"IV005"</f>
        <v>IV005</v>
      </c>
      <c r="G930" s="17" t="str">
        <f>"Filled 16oz NAT Filtered Vinegar bottle"</f>
        <v>Filled 16oz NAT Filtered Vinegar bottle</v>
      </c>
      <c r="H930" s="18" t="str">
        <f t="shared" si="113"/>
        <v>BTLS</v>
      </c>
      <c r="I930" s="19">
        <v>12</v>
      </c>
      <c r="J930" s="20">
        <v>12</v>
      </c>
    </row>
    <row r="931" spans="1:10" ht="15.75" thickBot="1" x14ac:dyDescent="0.3">
      <c r="A931" t="s">
        <v>31</v>
      </c>
      <c r="B931" s="15" t="str">
        <f>"""Manzana NAV"",""MANZANA"",""99000772"",""44"","" "",""22"",""False"",""43"",""0.00000000000000000000"",""12"",""Filled 16oz NAT Filtered Vinegar bottle"",""50220"",""False"",""29"","""",""50210"",""True"",""18"","""",""11"",""IV005"",""2"",""40000"",""1"",""FV0015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40000","1","FV0015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1" s="15"/>
      <c r="D931" s="16" t="str">
        <f>"FV0015"</f>
        <v>FV0015</v>
      </c>
      <c r="E931" s="16">
        <v>40000</v>
      </c>
      <c r="F931" s="16" t="str">
        <f>"IV005"</f>
        <v>IV005</v>
      </c>
      <c r="G931" s="17" t="str">
        <f>"Filled 16oz NAT Filtered Vinegar bottle"</f>
        <v>Filled 16oz NAT Filtered Vinegar bottle</v>
      </c>
      <c r="H931" s="18" t="str">
        <f t="shared" si="113"/>
        <v>BTLS</v>
      </c>
      <c r="I931" s="19">
        <v>12</v>
      </c>
      <c r="J931" s="20">
        <v>12</v>
      </c>
    </row>
    <row r="932" spans="1:10" ht="15.75" thickBot="1" x14ac:dyDescent="0.3">
      <c r="A932" t="s">
        <v>31</v>
      </c>
      <c r="B932" s="15" t="str">
        <f>"""Manzana NAV"",""MANZANA"",""99000772"",""44"","" "",""22"",""False"",""43"",""0.00000000000000000000"",""12"",""Filled 16oz NAT Vinegar bottle"",""50220"",""False"",""29"","""",""50210"",""True"",""18"","""",""11"",""IV002"",""2"",""30000"",""1"",""FV0003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Vinegar bottle","50220","False","29","","50210","True","18","","11","IV002","2","30000","1","FV0003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2" s="15"/>
      <c r="D932" s="16" t="str">
        <f>"FV0003"</f>
        <v>FV0003</v>
      </c>
      <c r="E932" s="16">
        <v>30000</v>
      </c>
      <c r="F932" s="16" t="str">
        <f>"IV002"</f>
        <v>IV002</v>
      </c>
      <c r="G932" s="17" t="str">
        <f>"Filled 16oz NAT Vinegar bottle"</f>
        <v>Filled 16oz NAT Vinegar bottle</v>
      </c>
      <c r="H932" s="18" t="str">
        <f t="shared" si="113"/>
        <v>BTLS</v>
      </c>
      <c r="I932" s="19">
        <v>12</v>
      </c>
      <c r="J932" s="20">
        <v>12</v>
      </c>
    </row>
    <row r="933" spans="1:10" ht="15.75" thickBot="1" x14ac:dyDescent="0.3">
      <c r="A933" t="s">
        <v>31</v>
      </c>
      <c r="B933" s="15" t="str">
        <f>"""Manzana NAV"",""MANZANA"",""99000772"",""44"","" "",""22"",""False"",""43"",""0.00000000000000000000"",""12"",""Filled 16oz ORG CoPack AC Vinegar bottle"",""50220"",""False"",""29"","""",""50210"",""True"",""18"","""",""11"",""IV007"",""2"",""40000"",""1"",""FV0012"",""14"",""12.00000000000000000000"",""45"""&amp;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CoPack AC Vinegar bottle","50220","False","29","","50210","True","18","","11","IV007","2","40000","1","FV0012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3" s="15"/>
      <c r="D933" s="16" t="str">
        <f>"FV0012"</f>
        <v>FV0012</v>
      </c>
      <c r="E933" s="16">
        <v>40000</v>
      </c>
      <c r="F933" s="16" t="str">
        <f>"IV007"</f>
        <v>IV007</v>
      </c>
      <c r="G933" s="17" t="str">
        <f>"Filled 16oz ORG CoPack AC Vinegar bottle"</f>
        <v>Filled 16oz ORG CoPack AC Vinegar bottle</v>
      </c>
      <c r="H933" s="18" t="str">
        <f t="shared" si="113"/>
        <v>BTLS</v>
      </c>
      <c r="I933" s="19">
        <v>12</v>
      </c>
      <c r="J933" s="20">
        <v>12</v>
      </c>
    </row>
    <row r="934" spans="1:10" ht="15.75" thickBot="1" x14ac:dyDescent="0.3">
      <c r="A934" t="s">
        <v>31</v>
      </c>
      <c r="B934" s="15" t="str">
        <f>"""Manzana NAV"",""MANZANA"",""99000772"",""44"","" "",""22"",""False"",""43"",""0.00000000000000000000"",""12"",""Filled 16oz ORG Vinegar - 24/16oz bottle"",""50220"",""False"",""29"","""",""50210"",""True"",""18"","""",""11"",""IV018"",""2"",""10000"",""1"",""FV0049"",""14"",""24.00000000000000000000"",""45"""&amp;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- 24/16oz bottle","50220","False","29","","50210","True","18","","11","IV018","2","10000","1","FV0049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934" s="15"/>
      <c r="D934" s="16" t="str">
        <f>"FV0049"</f>
        <v>FV0049</v>
      </c>
      <c r="E934" s="16">
        <v>10000</v>
      </c>
      <c r="F934" s="16" t="str">
        <f>"IV018"</f>
        <v>IV018</v>
      </c>
      <c r="G934" s="17" t="str">
        <f>"Filled 16oz ORG Vinegar - 24/16oz bottle"</f>
        <v>Filled 16oz ORG Vinegar - 24/16oz bottle</v>
      </c>
      <c r="H934" s="18" t="str">
        <f t="shared" si="113"/>
        <v>BTLS</v>
      </c>
      <c r="I934" s="19">
        <v>24</v>
      </c>
      <c r="J934" s="20">
        <v>24</v>
      </c>
    </row>
    <row r="935" spans="1:10" ht="15.75" thickBot="1" x14ac:dyDescent="0.3">
      <c r="A935" t="s">
        <v>31</v>
      </c>
      <c r="B935" s="15" t="str">
        <f>"""Manzana NAV"",""MANZANA"",""99000772"",""44"","" "",""22"",""False"",""43"",""0.00000000000000000000"",""12"",""Filled 16oz ORG Vinegar - 24/16oz bottle"",""50220"",""False"",""29"","""",""50210"",""True"",""18"","""",""11"",""IV018"",""2"",""20000"",""1"",""FV0048"",""14"",""24.00000000000000000000"",""45"""&amp;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- 24/16oz bottle","50220","False","29","","50210","True","18","","11","IV018","2","20000","1","FV0048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935" s="15"/>
      <c r="D935" s="16" t="str">
        <f>"FV0048"</f>
        <v>FV0048</v>
      </c>
      <c r="E935" s="16">
        <v>20000</v>
      </c>
      <c r="F935" s="16" t="str">
        <f>"IV018"</f>
        <v>IV018</v>
      </c>
      <c r="G935" s="17" t="str">
        <f>"Filled 16oz ORG Vinegar - 24/16oz bottle"</f>
        <v>Filled 16oz ORG Vinegar - 24/16oz bottle</v>
      </c>
      <c r="H935" s="18" t="str">
        <f t="shared" si="113"/>
        <v>BTLS</v>
      </c>
      <c r="I935" s="19">
        <v>24</v>
      </c>
      <c r="J935" s="20">
        <v>24</v>
      </c>
    </row>
    <row r="936" spans="1:10" ht="15.75" thickBot="1" x14ac:dyDescent="0.3">
      <c r="A936" t="s">
        <v>31</v>
      </c>
      <c r="B936" s="15" t="str">
        <f>"""Manzana NAV"",""MANZANA"",""99000772"",""44"","" "",""22"",""False"",""43"",""0.00000000000000000000"",""12"",""Filled 16oz ORG Vinegar bottle"",""50220"",""False"",""29"","""",""50210"",""True"",""18"","""",""11"",""IV001"",""2"",""10000"",""1"",""FV0029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10000","1","FV0029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6" s="15"/>
      <c r="D936" s="16" t="str">
        <f>"FV0029"</f>
        <v>FV0029</v>
      </c>
      <c r="E936" s="16">
        <v>10000</v>
      </c>
      <c r="F936" s="16" t="str">
        <f t="shared" ref="F936:F947" si="114">"IV001"</f>
        <v>IV001</v>
      </c>
      <c r="G936" s="17" t="str">
        <f t="shared" ref="G936:G947" si="115">"Filled 16oz ORG Vinegar bottle"</f>
        <v>Filled 16oz ORG Vinegar bottle</v>
      </c>
      <c r="H936" s="18" t="str">
        <f t="shared" si="113"/>
        <v>BTLS</v>
      </c>
      <c r="I936" s="19">
        <v>12</v>
      </c>
      <c r="J936" s="20">
        <v>12</v>
      </c>
    </row>
    <row r="937" spans="1:10" ht="15.75" thickBot="1" x14ac:dyDescent="0.3">
      <c r="A937" t="s">
        <v>31</v>
      </c>
      <c r="B937" s="15" t="str">
        <f>"""Manzana NAV"",""MANZANA"",""99000772"",""44"","" "",""22"",""False"",""43"",""0.00000000000000000000"",""12"",""Filled 16oz ORG Vinegar bottle"",""50220"",""False"",""29"","""",""50210"",""True"",""18"","""",""11"",""IV001"",""2"",""20000"",""1"",""FV0005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0005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7" s="15"/>
      <c r="D937" s="16" t="str">
        <f>"FV0005"</f>
        <v>FV0005</v>
      </c>
      <c r="E937" s="16">
        <v>20000</v>
      </c>
      <c r="F937" s="16" t="str">
        <f t="shared" si="114"/>
        <v>IV001</v>
      </c>
      <c r="G937" s="17" t="str">
        <f t="shared" si="115"/>
        <v>Filled 16oz ORG Vinegar bottle</v>
      </c>
      <c r="H937" s="18" t="str">
        <f t="shared" si="113"/>
        <v>BTLS</v>
      </c>
      <c r="I937" s="19">
        <v>12</v>
      </c>
      <c r="J937" s="20">
        <v>12</v>
      </c>
    </row>
    <row r="938" spans="1:10" ht="15.75" thickBot="1" x14ac:dyDescent="0.3">
      <c r="A938" t="s">
        <v>31</v>
      </c>
      <c r="B938" s="15" t="str">
        <f>"""Manzana NAV"",""MANZANA"",""99000772"",""44"","" "",""22"",""False"",""43"",""0.00000000000000000000"",""12"",""Filled 16oz ORG Vinegar bottle"",""50220"",""False"",""29"","""",""50210"",""True"",""18"","""",""11"",""IV001"",""2"",""20000"",""1"",""FV0028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0028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8" s="15"/>
      <c r="D938" s="16" t="str">
        <f>"FV0028"</f>
        <v>FV0028</v>
      </c>
      <c r="E938" s="16">
        <v>20000</v>
      </c>
      <c r="F938" s="16" t="str">
        <f t="shared" si="114"/>
        <v>IV001</v>
      </c>
      <c r="G938" s="17" t="str">
        <f t="shared" si="115"/>
        <v>Filled 16oz ORG Vinegar bottle</v>
      </c>
      <c r="H938" s="18" t="str">
        <f t="shared" si="113"/>
        <v>BTLS</v>
      </c>
      <c r="I938" s="19">
        <v>12</v>
      </c>
      <c r="J938" s="20">
        <v>12</v>
      </c>
    </row>
    <row r="939" spans="1:10" ht="15.75" thickBot="1" x14ac:dyDescent="0.3">
      <c r="A939" t="s">
        <v>31</v>
      </c>
      <c r="B939" s="15" t="str">
        <f>"""Manzana NAV"",""MANZANA"",""99000772"",""44"","" "",""22"",""False"",""43"",""0.00000000000000000000"",""12"",""Filled 16oz ORG Vinegar bottle"",""50220"",""False"",""29"","""",""50210"",""True"",""18"","""",""11"",""IV001"",""2"",""20000"",""1"",""FV0032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9" s="15"/>
      <c r="D939" s="16" t="str">
        <f>"FV0032"</f>
        <v>FV0032</v>
      </c>
      <c r="E939" s="16">
        <v>20000</v>
      </c>
      <c r="F939" s="16" t="str">
        <f t="shared" si="114"/>
        <v>IV001</v>
      </c>
      <c r="G939" s="17" t="str">
        <f t="shared" si="115"/>
        <v>Filled 16oz ORG Vinegar bottle</v>
      </c>
      <c r="H939" s="18" t="str">
        <f t="shared" si="113"/>
        <v>BTLS</v>
      </c>
      <c r="I939" s="19">
        <v>12</v>
      </c>
      <c r="J939" s="20">
        <v>12</v>
      </c>
    </row>
    <row r="940" spans="1:10" ht="15.75" thickBot="1" x14ac:dyDescent="0.3">
      <c r="A940" t="s">
        <v>31</v>
      </c>
      <c r="B940" s="15" t="str">
        <f>"""Manzana NAV"",""MANZANA"",""99000772"",""44"","" "",""22"",""False"",""43"",""0.00000000000000000000"",""12"",""Filled 16oz ORG Vinegar bottle"",""50220"",""False"",""29"","""",""50210"",""True"",""18"","""",""11"",""IV001"",""2"",""20000"",""1"",""FV0037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0037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0" s="15"/>
      <c r="D940" s="16" t="str">
        <f>"FV0037"</f>
        <v>FV0037</v>
      </c>
      <c r="E940" s="16">
        <v>20000</v>
      </c>
      <c r="F940" s="16" t="str">
        <f t="shared" si="114"/>
        <v>IV001</v>
      </c>
      <c r="G940" s="17" t="str">
        <f t="shared" si="115"/>
        <v>Filled 16oz ORG Vinegar bottle</v>
      </c>
      <c r="H940" s="18" t="str">
        <f t="shared" si="113"/>
        <v>BTLS</v>
      </c>
      <c r="I940" s="19">
        <v>12</v>
      </c>
      <c r="J940" s="20">
        <v>12</v>
      </c>
    </row>
    <row r="941" spans="1:10" ht="15.75" thickBot="1" x14ac:dyDescent="0.3">
      <c r="A941" t="s">
        <v>31</v>
      </c>
      <c r="B941" s="15" t="str">
        <f>"""Manzana NAV"",""MANZANA"",""99000772"",""44"","" "",""22"",""False"",""43"",""0.00000000000000000000"",""12"",""Filled 16oz ORG Vinegar bottle"",""50220"",""False"",""29"","""",""50210"",""True"",""18"","""",""11"",""IV001"",""2"",""20000"",""1"",""FV0044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0044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1" s="15"/>
      <c r="D941" s="16" t="str">
        <f>"FV0044"</f>
        <v>FV0044</v>
      </c>
      <c r="E941" s="16">
        <v>20000</v>
      </c>
      <c r="F941" s="16" t="str">
        <f t="shared" si="114"/>
        <v>IV001</v>
      </c>
      <c r="G941" s="17" t="str">
        <f t="shared" si="115"/>
        <v>Filled 16oz ORG Vinegar bottle</v>
      </c>
      <c r="H941" s="18" t="str">
        <f t="shared" si="113"/>
        <v>BTLS</v>
      </c>
      <c r="I941" s="19">
        <v>12</v>
      </c>
      <c r="J941" s="20">
        <v>12</v>
      </c>
    </row>
    <row r="942" spans="1:10" ht="15.75" thickBot="1" x14ac:dyDescent="0.3">
      <c r="A942" t="s">
        <v>31</v>
      </c>
      <c r="B942" s="15" t="str">
        <f>"""Manzana NAV"",""MANZANA"",""99000772"",""44"","" "",""22"",""False"",""43"",""0.00000000000000000000"",""12"",""Filled 16oz ORG Vinegar bottle"",""50220"",""False"",""29"","""",""50210"",""True"",""18"","""",""11"",""IV001"",""2"",""30000"",""1"",""FV0004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30000","1","FV0004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2" s="15"/>
      <c r="D942" s="16" t="str">
        <f>"FV0004"</f>
        <v>FV0004</v>
      </c>
      <c r="E942" s="16">
        <v>30000</v>
      </c>
      <c r="F942" s="16" t="str">
        <f t="shared" si="114"/>
        <v>IV001</v>
      </c>
      <c r="G942" s="17" t="str">
        <f t="shared" si="115"/>
        <v>Filled 16oz ORG Vinegar bottle</v>
      </c>
      <c r="H942" s="18" t="str">
        <f t="shared" si="113"/>
        <v>BTLS</v>
      </c>
      <c r="I942" s="19">
        <v>12</v>
      </c>
      <c r="J942" s="20">
        <v>12</v>
      </c>
    </row>
    <row r="943" spans="1:10" ht="15.75" thickBot="1" x14ac:dyDescent="0.3">
      <c r="A943" t="s">
        <v>31</v>
      </c>
      <c r="B943" s="15" t="str">
        <f>"""Manzana NAV"",""MANZANA"",""99000772"",""44"","" "",""22"",""False"",""43"",""0.00000000000000000000"",""12"",""Filled 16oz ORG Vinegar bottle"",""50220"",""False"",""29"","""",""50210"",""True"",""18"","""",""11"",""IV001"",""2"",""40000"",""1"",""FV0007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0007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3" s="15"/>
      <c r="D943" s="16" t="str">
        <f>"FV0007"</f>
        <v>FV0007</v>
      </c>
      <c r="E943" s="16">
        <v>40000</v>
      </c>
      <c r="F943" s="16" t="str">
        <f t="shared" si="114"/>
        <v>IV001</v>
      </c>
      <c r="G943" s="17" t="str">
        <f t="shared" si="115"/>
        <v>Filled 16oz ORG Vinegar bottle</v>
      </c>
      <c r="H943" s="18" t="str">
        <f t="shared" si="113"/>
        <v>BTLS</v>
      </c>
      <c r="I943" s="19">
        <v>12</v>
      </c>
      <c r="J943" s="20">
        <v>12</v>
      </c>
    </row>
    <row r="944" spans="1:10" ht="15.75" thickBot="1" x14ac:dyDescent="0.3">
      <c r="A944" t="s">
        <v>31</v>
      </c>
      <c r="B944" s="15" t="str">
        <f>"""Manzana NAV"",""MANZANA"",""99000772"",""44"","" "",""22"",""False"",""43"",""0.00000000000000000000"",""12"",""Filled 16oz ORG Vinegar bottle"",""50220"",""False"",""29"","""",""50210"",""True"",""18"","""",""11"",""IV001"",""2"",""40000"",""1"",""FV0008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0008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4" s="15"/>
      <c r="D944" s="16" t="str">
        <f>"FV0008"</f>
        <v>FV0008</v>
      </c>
      <c r="E944" s="16">
        <v>40000</v>
      </c>
      <c r="F944" s="16" t="str">
        <f t="shared" si="114"/>
        <v>IV001</v>
      </c>
      <c r="G944" s="17" t="str">
        <f t="shared" si="115"/>
        <v>Filled 16oz ORG Vinegar bottle</v>
      </c>
      <c r="H944" s="18" t="str">
        <f t="shared" si="113"/>
        <v>BTLS</v>
      </c>
      <c r="I944" s="19">
        <v>12</v>
      </c>
      <c r="J944" s="20">
        <v>12</v>
      </c>
    </row>
    <row r="945" spans="1:10" ht="15.75" thickBot="1" x14ac:dyDescent="0.3">
      <c r="A945" t="s">
        <v>31</v>
      </c>
      <c r="B945" s="15" t="str">
        <f>"""Manzana NAV"",""MANZANA"",""99000772"",""44"","" "",""22"",""False"",""43"",""0.00000000000000000000"",""12"",""Filled 16oz ORG Vinegar bottle"",""50220"",""False"",""29"","""",""50210"",""True"",""18"","""",""11"",""IV001"",""2"",""40000"",""1"",""FV0010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0010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5" s="15"/>
      <c r="D945" s="16" t="str">
        <f>"FV0010"</f>
        <v>FV0010</v>
      </c>
      <c r="E945" s="16">
        <v>40000</v>
      </c>
      <c r="F945" s="16" t="str">
        <f t="shared" si="114"/>
        <v>IV001</v>
      </c>
      <c r="G945" s="17" t="str">
        <f t="shared" si="115"/>
        <v>Filled 16oz ORG Vinegar bottle</v>
      </c>
      <c r="H945" s="18" t="str">
        <f t="shared" si="113"/>
        <v>BTLS</v>
      </c>
      <c r="I945" s="19">
        <v>12</v>
      </c>
      <c r="J945" s="20">
        <v>12</v>
      </c>
    </row>
    <row r="946" spans="1:10" ht="15.75" thickBot="1" x14ac:dyDescent="0.3">
      <c r="A946" t="s">
        <v>31</v>
      </c>
      <c r="B946" s="15" t="str">
        <f>"""Manzana NAV"",""MANZANA"",""99000772"",""44"","" "",""22"",""False"",""43"",""0.00000000000000000000"",""12"",""Filled 16oz ORG Vinegar bottle"",""50220"",""False"",""29"","""",""50210"",""True"",""18"","""",""11"",""IV001"",""2"",""40000"",""1"",""FV0012B"",""14"",""12.00000000000000000000"",""45"",""12.0000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0012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6" s="15"/>
      <c r="D946" s="16" t="str">
        <f>"FV0012B"</f>
        <v>FV0012B</v>
      </c>
      <c r="E946" s="16">
        <v>40000</v>
      </c>
      <c r="F946" s="16" t="str">
        <f t="shared" si="114"/>
        <v>IV001</v>
      </c>
      <c r="G946" s="17" t="str">
        <f t="shared" si="115"/>
        <v>Filled 16oz ORG Vinegar bottle</v>
      </c>
      <c r="H946" s="18" t="str">
        <f t="shared" si="113"/>
        <v>BTLS</v>
      </c>
      <c r="I946" s="19">
        <v>12</v>
      </c>
      <c r="J946" s="20">
        <v>12</v>
      </c>
    </row>
    <row r="947" spans="1:10" ht="15.75" thickBot="1" x14ac:dyDescent="0.3">
      <c r="A947" t="s">
        <v>31</v>
      </c>
      <c r="B947" s="15" t="str">
        <f>"""Manzana NAV"",""MANZANA"",""99000772"",""44"","" "",""22"",""False"",""43"",""0.00000000000000000000"",""12"",""Filled 16oz ORG Vinegar bottle"",""50220"",""False"",""29"","""",""50210"",""True"",""18"","""",""11"",""IV001"",""2"",""40000"",""1"",""FV0020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0020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7" s="15"/>
      <c r="D947" s="16" t="str">
        <f>"FV0020"</f>
        <v>FV0020</v>
      </c>
      <c r="E947" s="16">
        <v>40000</v>
      </c>
      <c r="F947" s="16" t="str">
        <f t="shared" si="114"/>
        <v>IV001</v>
      </c>
      <c r="G947" s="17" t="str">
        <f t="shared" si="115"/>
        <v>Filled 16oz ORG Vinegar bottle</v>
      </c>
      <c r="H947" s="18" t="str">
        <f t="shared" si="113"/>
        <v>BTLS</v>
      </c>
      <c r="I947" s="19">
        <v>12</v>
      </c>
      <c r="J947" s="20">
        <v>12</v>
      </c>
    </row>
    <row r="948" spans="1:10" ht="15.75" thickBot="1" x14ac:dyDescent="0.3">
      <c r="A948" t="s">
        <v>31</v>
      </c>
      <c r="B948" s="15" t="str">
        <f>"""Manzana NAV"",""MANZANA"",""99000772"",""44"","" "",""22"",""False"",""43"",""0.00000000000000000000"",""12"",""Filled 24oz COPK ORG BlackBerry Apple Sauce jar"",""50220"",""False"",""29"","""",""50210"",""True"",""18"","""",""11"",""ISJ026"",""2"",""20000"",""1"",""FS0073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BlackBerry Apple Sauce jar","50220","False","29","","50210","True","18","","11","ISJ026","2","20000","1","FS0073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48" s="15"/>
      <c r="D948" s="16" t="str">
        <f>"FS0073"</f>
        <v>FS0073</v>
      </c>
      <c r="E948" s="16">
        <v>20000</v>
      </c>
      <c r="F948" s="16" t="str">
        <f>"ISJ026"</f>
        <v>ISJ026</v>
      </c>
      <c r="G948" s="17" t="str">
        <f>"Filled 24oz COPK ORG BlackBerry Apple Sauce jar"</f>
        <v>Filled 24oz COPK ORG BlackBerry Apple Sauce jar</v>
      </c>
      <c r="H948" s="18" t="str">
        <f t="shared" ref="H948:H977" si="116">"JARS"</f>
        <v>JARS</v>
      </c>
      <c r="I948" s="19">
        <v>12</v>
      </c>
      <c r="J948" s="20">
        <v>12</v>
      </c>
    </row>
    <row r="949" spans="1:10" ht="15.75" thickBot="1" x14ac:dyDescent="0.3">
      <c r="A949" t="s">
        <v>31</v>
      </c>
      <c r="B949" s="15" t="str">
        <f>"""Manzana NAV"",""MANZANA"",""99000772"",""44"","" "",""22"",""False"",""43"",""0.00000000000000000000"",""12"",""Filled 24oz COPK ORG BlackBerry Apple Sauce jar"",""50220"",""False"",""29"","""",""50210"",""True"",""18"","""",""11"",""ISJ026"",""2"",""20000"",""1"",""FS0113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BlackBerry Apple Sauce jar","50220","False","29","","50210","True","18","","11","ISJ026","2","20000","1","FS0113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49" s="15"/>
      <c r="D949" s="16" t="str">
        <f>"FS0113"</f>
        <v>FS0113</v>
      </c>
      <c r="E949" s="16">
        <v>20000</v>
      </c>
      <c r="F949" s="16" t="str">
        <f>"ISJ026"</f>
        <v>ISJ026</v>
      </c>
      <c r="G949" s="17" t="str">
        <f>"Filled 24oz COPK ORG BlackBerry Apple Sauce jar"</f>
        <v>Filled 24oz COPK ORG BlackBerry Apple Sauce jar</v>
      </c>
      <c r="H949" s="18" t="str">
        <f t="shared" si="116"/>
        <v>JARS</v>
      </c>
      <c r="I949" s="19">
        <v>12</v>
      </c>
      <c r="J949" s="20">
        <v>12</v>
      </c>
    </row>
    <row r="950" spans="1:10" ht="15.75" thickBot="1" x14ac:dyDescent="0.3">
      <c r="A950" t="s">
        <v>31</v>
      </c>
      <c r="B950" s="15" t="str">
        <f>"""Manzana NAV"",""MANZANA"",""99000772"",""44"","" "",""22"",""False"",""43"",""0.00000000000000000000"",""12"",""Filled 24oz COPK ORG Blend Apple Sauce jar"",""50220"",""False"",""29"","""",""50210"",""True"",""18"","""",""11"",""ISJ020"",""2"",""20000"",""1"",""FS0069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Blend Apple Sauce jar","50220","False","29","","50210","True","18","","11","ISJ020","2","20000","1","FS0069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0" s="15"/>
      <c r="D950" s="16" t="str">
        <f>"FS0069"</f>
        <v>FS0069</v>
      </c>
      <c r="E950" s="16">
        <v>20000</v>
      </c>
      <c r="F950" s="16" t="str">
        <f>"ISJ020"</f>
        <v>ISJ020</v>
      </c>
      <c r="G950" s="17" t="str">
        <f>"Filled 24oz COPK ORG Blend Apple Sauce jar"</f>
        <v>Filled 24oz COPK ORG Blend Apple Sauce jar</v>
      </c>
      <c r="H950" s="18" t="str">
        <f t="shared" si="116"/>
        <v>JARS</v>
      </c>
      <c r="I950" s="19">
        <v>12</v>
      </c>
      <c r="J950" s="20">
        <v>12</v>
      </c>
    </row>
    <row r="951" spans="1:10" ht="15.75" thickBot="1" x14ac:dyDescent="0.3">
      <c r="A951" t="s">
        <v>31</v>
      </c>
      <c r="B951" s="15" t="str">
        <f>"""Manzana NAV"",""MANZANA"",""99000772"",""44"","" "",""22"",""False"",""43"",""0.00000000000000000000"",""12"",""Filled 24oz COPK ORG Cinn Apple Sauce jar"",""50220"",""False"",""29"","""",""50210"",""True"",""18"","""",""11"",""ISJ022"",""2"",""20000"",""1"",""FS0068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Cinn Apple Sauce jar","50220","False","29","","50210","True","18","","11","ISJ022","2","20000","1","FS0068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1" s="15"/>
      <c r="D951" s="16" t="str">
        <f>"FS0068"</f>
        <v>FS0068</v>
      </c>
      <c r="E951" s="16">
        <v>20000</v>
      </c>
      <c r="F951" s="16" t="str">
        <f>"ISJ022"</f>
        <v>ISJ022</v>
      </c>
      <c r="G951" s="17" t="str">
        <f>"Filled 24oz COPK ORG Cinn Apple Sauce jar"</f>
        <v>Filled 24oz COPK ORG Cinn Apple Sauce jar</v>
      </c>
      <c r="H951" s="18" t="str">
        <f t="shared" si="116"/>
        <v>JARS</v>
      </c>
      <c r="I951" s="19">
        <v>12</v>
      </c>
      <c r="J951" s="20">
        <v>12</v>
      </c>
    </row>
    <row r="952" spans="1:10" ht="15.75" thickBot="1" x14ac:dyDescent="0.3">
      <c r="A952" t="s">
        <v>31</v>
      </c>
      <c r="B952" s="15" t="str">
        <f>"""Manzana NAV"",""MANZANA"",""99000772"",""44"","" "",""22"",""False"",""43"",""0.00000000000000000000"",""12"",""Filled 24oz COPK ORG Cinn Apple Sauce jar"",""50220"",""False"",""29"","""",""50210"",""True"",""18"","""",""11"",""ISJ022"",""2"",""20000"",""1"",""FS0070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Cinn Apple Sauce jar","50220","False","29","","50210","True","18","","11","ISJ022","2","20000","1","FS0070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2" s="15"/>
      <c r="D952" s="16" t="str">
        <f>"FS0070"</f>
        <v>FS0070</v>
      </c>
      <c r="E952" s="16">
        <v>20000</v>
      </c>
      <c r="F952" s="16" t="str">
        <f>"ISJ022"</f>
        <v>ISJ022</v>
      </c>
      <c r="G952" s="17" t="str">
        <f>"Filled 24oz COPK ORG Cinn Apple Sauce jar"</f>
        <v>Filled 24oz COPK ORG Cinn Apple Sauce jar</v>
      </c>
      <c r="H952" s="18" t="str">
        <f t="shared" si="116"/>
        <v>JARS</v>
      </c>
      <c r="I952" s="19">
        <v>12</v>
      </c>
      <c r="J952" s="20">
        <v>12</v>
      </c>
    </row>
    <row r="953" spans="1:10" ht="15.75" thickBot="1" x14ac:dyDescent="0.3">
      <c r="A953" t="s">
        <v>31</v>
      </c>
      <c r="B953" s="15" t="str">
        <f>"""Manzana NAV"",""MANZANA"",""99000772"",""44"","" "",""22"",""False"",""43"",""0.00000000000000000000"",""12"",""Filled 24oz COPK ORG GRAV Sauce jar"",""50220"",""False"",""29"","""",""50210"",""True"",""18"","""",""11"",""ISJ021"",""2"",""20000"",""1"",""FS0067"",""14"",""12.00000000000000000000"",""45"",""12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GRAV Sauce jar","50220","False","29","","50210","True","18","","11","ISJ021","2","20000","1","FS0067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3" s="15"/>
      <c r="D953" s="16" t="str">
        <f>"FS0067"</f>
        <v>FS0067</v>
      </c>
      <c r="E953" s="16">
        <v>20000</v>
      </c>
      <c r="F953" s="16" t="str">
        <f>"ISJ021"</f>
        <v>ISJ021</v>
      </c>
      <c r="G953" s="17" t="str">
        <f>"Filled 24oz COPK ORG GRAV Sauce jar"</f>
        <v>Filled 24oz COPK ORG GRAV Sauce jar</v>
      </c>
      <c r="H953" s="18" t="str">
        <f t="shared" si="116"/>
        <v>JARS</v>
      </c>
      <c r="I953" s="19">
        <v>12</v>
      </c>
      <c r="J953" s="20">
        <v>12</v>
      </c>
    </row>
    <row r="954" spans="1:10" ht="15.75" thickBot="1" x14ac:dyDescent="0.3">
      <c r="A954" t="s">
        <v>31</v>
      </c>
      <c r="B954" s="15" t="str">
        <f>"""Manzana NAV"",""MANZANA"",""99000772"",""44"","" "",""22"",""False"",""43"",""0.00000000000000000000"",""12"",""Filled 24oz COPK ORG GRAV Sauce jar"",""50220"",""False"",""29"","""",""50210"",""True"",""18"","""",""11"",""ISJ021"",""2"",""30000"",""1"",""FS0137"",""14"",""12.00000000000000000000"",""45"",""12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GRAV Sauce jar","50220","False","29","","50210","True","18","","11","ISJ021","2","30000","1","FS0137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4" s="15"/>
      <c r="D954" s="16" t="str">
        <f>"FS0137"</f>
        <v>FS0137</v>
      </c>
      <c r="E954" s="16">
        <v>30000</v>
      </c>
      <c r="F954" s="16" t="str">
        <f>"ISJ021"</f>
        <v>ISJ021</v>
      </c>
      <c r="G954" s="17" t="str">
        <f>"Filled 24oz COPK ORG GRAV Sauce jar"</f>
        <v>Filled 24oz COPK ORG GRAV Sauce jar</v>
      </c>
      <c r="H954" s="18" t="str">
        <f t="shared" si="116"/>
        <v>JARS</v>
      </c>
      <c r="I954" s="19">
        <v>12</v>
      </c>
      <c r="J954" s="20">
        <v>12</v>
      </c>
    </row>
    <row r="955" spans="1:10" ht="15.75" thickBot="1" x14ac:dyDescent="0.3">
      <c r="A955" t="s">
        <v>31</v>
      </c>
      <c r="B955" s="15" t="str">
        <f>"""Manzana NAV"",""MANZANA"",""99000772"",""44"","" "",""22"",""False"",""43"",""0.00000000000000000000"",""12"",""Filled 24oz COPK ORG Peach Apple Sauce jar"",""50220"",""False"",""29"","""",""50210"",""True"",""18"","""",""11"",""ISJ024"",""2"",""20000"",""1"",""FS0072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Peach Apple Sauce jar","50220","False","29","","50210","True","18","","11","ISJ024","2","20000","1","FS0072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5" s="15"/>
      <c r="D955" s="16" t="str">
        <f>"FS0072"</f>
        <v>FS0072</v>
      </c>
      <c r="E955" s="16">
        <v>20000</v>
      </c>
      <c r="F955" s="16" t="str">
        <f>"ISJ024"</f>
        <v>ISJ024</v>
      </c>
      <c r="G955" s="17" t="str">
        <f>"Filled 24oz COPK ORG Peach Apple Sauce jar"</f>
        <v>Filled 24oz COPK ORG Peach Apple Sauce jar</v>
      </c>
      <c r="H955" s="18" t="str">
        <f t="shared" si="116"/>
        <v>JARS</v>
      </c>
      <c r="I955" s="19">
        <v>12</v>
      </c>
      <c r="J955" s="20">
        <v>12</v>
      </c>
    </row>
    <row r="956" spans="1:10" ht="15.75" thickBot="1" x14ac:dyDescent="0.3">
      <c r="A956" t="s">
        <v>31</v>
      </c>
      <c r="B956" s="15" t="str">
        <f>"""Manzana NAV"",""MANZANA"",""99000772"",""44"","" "",""22"",""False"",""43"",""0.00000000000000000000"",""12"",""Filled 24oz NAT Apricot Apple Sauce jar"",""50220"",""False"",""29"","""",""50210"",""True"",""18"","""",""11"",""ISJ019"",""2"",""20000"",""1"",""FS0071"",""14"",""12.00000000000000000000"",""45"""&amp;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Apricot Apple Sauce jar","50220","False","29","","50210","True","18","","11","ISJ019","2","20000","1","FS0071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6" s="15"/>
      <c r="D956" s="16" t="str">
        <f>"FS0071"</f>
        <v>FS0071</v>
      </c>
      <c r="E956" s="16">
        <v>20000</v>
      </c>
      <c r="F956" s="16" t="str">
        <f>"ISJ019"</f>
        <v>ISJ019</v>
      </c>
      <c r="G956" s="17" t="str">
        <f>"Filled 24oz NAT Apricot Apple Sauce jar"</f>
        <v>Filled 24oz NAT Apricot Apple Sauce jar</v>
      </c>
      <c r="H956" s="18" t="str">
        <f t="shared" si="116"/>
        <v>JARS</v>
      </c>
      <c r="I956" s="19">
        <v>12</v>
      </c>
      <c r="J956" s="20">
        <v>12</v>
      </c>
    </row>
    <row r="957" spans="1:10" ht="15.75" thickBot="1" x14ac:dyDescent="0.3">
      <c r="A957" t="s">
        <v>31</v>
      </c>
      <c r="B957" s="15" t="str">
        <f>"""Manzana NAV"",""MANZANA"",""99000772"",""44"","" "",""22"",""False"",""43"",""0.00000000000000000000"",""12"",""Filled 24oz NAT GRAV Sauce jar"",""50220"",""False"",""29"","""",""50210"",""True"",""18"","""",""11"",""ISJ008"",""2"",""20000"",""1"",""FS0116"",""14"",""12.00000000000000000000"",""45"",""12.0000"&amp;"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GRAV Sauce jar","50220","False","29","","50210","True","18","","11","ISJ008","2","20000","1","FS0116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7" s="15"/>
      <c r="D957" s="16" t="str">
        <f>"FS0116"</f>
        <v>FS0116</v>
      </c>
      <c r="E957" s="16">
        <v>20000</v>
      </c>
      <c r="F957" s="16" t="str">
        <f>"ISJ008"</f>
        <v>ISJ008</v>
      </c>
      <c r="G957" s="17" t="str">
        <f>"Filled 24oz NAT GRAV Sauce jar"</f>
        <v>Filled 24oz NAT GRAV Sauce jar</v>
      </c>
      <c r="H957" s="18" t="str">
        <f t="shared" si="116"/>
        <v>JARS</v>
      </c>
      <c r="I957" s="19">
        <v>12</v>
      </c>
      <c r="J957" s="20">
        <v>12</v>
      </c>
    </row>
    <row r="958" spans="1:10" ht="15.75" thickBot="1" x14ac:dyDescent="0.3">
      <c r="A958" t="s">
        <v>31</v>
      </c>
      <c r="B958" s="15" t="str">
        <f>"""Manzana NAV"",""MANZANA"",""99000772"",""44"","" "",""22"",""False"",""43"",""0.00000000000000000000"",""12"",""Filled 24oz NAT GRAV Sauce jar"",""50220"",""False"",""29"","""",""50210"",""True"",""18"","""",""11"",""ISJ008"",""2"",""20000"",""1"",""FS0136"",""14"",""12.00000000000000000000"",""45"",""12.0000"&amp;"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GRAV Sauce jar","50220","False","29","","50210","True","18","","11","ISJ008","2","20000","1","FS0136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8" s="15"/>
      <c r="D958" s="16" t="str">
        <f>"FS0136"</f>
        <v>FS0136</v>
      </c>
      <c r="E958" s="16">
        <v>20000</v>
      </c>
      <c r="F958" s="16" t="str">
        <f>"ISJ008"</f>
        <v>ISJ008</v>
      </c>
      <c r="G958" s="17" t="str">
        <f>"Filled 24oz NAT GRAV Sauce jar"</f>
        <v>Filled 24oz NAT GRAV Sauce jar</v>
      </c>
      <c r="H958" s="18" t="str">
        <f t="shared" si="116"/>
        <v>JARS</v>
      </c>
      <c r="I958" s="19">
        <v>12</v>
      </c>
      <c r="J958" s="20">
        <v>12</v>
      </c>
    </row>
    <row r="959" spans="1:10" ht="15.75" thickBot="1" x14ac:dyDescent="0.3">
      <c r="A959" t="s">
        <v>31</v>
      </c>
      <c r="B959" s="15" t="str">
        <f>"""Manzana NAV"",""MANZANA"",""99000772"",""44"","" "",""22"",""False"",""43"",""0.00000000000000000000"",""12"",""Filled 24oz NAT Sweet Blend Sauce jar"",""50220"",""False"",""29"","""",""50210"",""True"",""18"","""",""11"",""ISJ009"",""2"",""20000"",""1"",""FS0057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Sweet Blend Sauce jar","50220","False","29","","50210","True","18","","11","ISJ009","2","20000","1","FS0057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9" s="15"/>
      <c r="D959" s="16" t="str">
        <f>"FS0057"</f>
        <v>FS0057</v>
      </c>
      <c r="E959" s="16">
        <v>20000</v>
      </c>
      <c r="F959" s="16" t="str">
        <f>"ISJ009"</f>
        <v>ISJ009</v>
      </c>
      <c r="G959" s="17" t="str">
        <f>"Filled 24oz NAT Sweet Blend Sauce jar"</f>
        <v>Filled 24oz NAT Sweet Blend Sauce jar</v>
      </c>
      <c r="H959" s="18" t="str">
        <f t="shared" si="116"/>
        <v>JARS</v>
      </c>
      <c r="I959" s="19">
        <v>12</v>
      </c>
      <c r="J959" s="20">
        <v>12</v>
      </c>
    </row>
    <row r="960" spans="1:10" ht="15.75" thickBot="1" x14ac:dyDescent="0.3">
      <c r="A960" t="s">
        <v>31</v>
      </c>
      <c r="B960" s="15" t="str">
        <f>"""Manzana NAV"",""MANZANA"",""99000772"",""44"","" "",""22"",""False"",""43"",""0.00000000000000000000"",""12"",""Filled 24oz ORG Apricot Apple Sauce jar"",""50220"",""False"",""29"","""",""50210"",""True"",""18"","""",""11"",""ISJ015"",""2"",""20000"",""1"",""FS0120"",""14"",""12.00000000000000000000"",""45"""&amp;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Apricot Apple Sauce jar","50220","False","29","","50210","True","18","","11","ISJ015","2","20000","1","FS0120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0" s="15"/>
      <c r="D960" s="16" t="str">
        <f>"FS0120"</f>
        <v>FS0120</v>
      </c>
      <c r="E960" s="16">
        <v>20000</v>
      </c>
      <c r="F960" s="16" t="str">
        <f>"ISJ015"</f>
        <v>ISJ015</v>
      </c>
      <c r="G960" s="17" t="str">
        <f>"Filled 24oz ORG Apricot Apple Sauce jar"</f>
        <v>Filled 24oz ORG Apricot Apple Sauce jar</v>
      </c>
      <c r="H960" s="18" t="str">
        <f t="shared" si="116"/>
        <v>JARS</v>
      </c>
      <c r="I960" s="19">
        <v>12</v>
      </c>
      <c r="J960" s="20">
        <v>12</v>
      </c>
    </row>
    <row r="961" spans="1:10" ht="15.75" thickBot="1" x14ac:dyDescent="0.3">
      <c r="A961" t="s">
        <v>31</v>
      </c>
      <c r="B961" s="15" t="str">
        <f>"""Manzana NAV"",""MANZANA"",""99000772"",""44"","" "",""22"",""False"",""43"",""0.00000000000000000000"",""12"",""Filled 24oz ORG Apricot Apple Sauce jar"",""50220"",""False"",""29"","""",""50210"",""True"",""18"","""",""11"",""ISJ015"",""2"",""30000"",""1"",""FS0139"",""14"",""12.00000000000000000000"",""45"""&amp;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Apricot Apple Sauce jar","50220","False","29","","50210","True","18","","11","ISJ015","2","30000","1","FS0139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1" s="15"/>
      <c r="D961" s="16" t="str">
        <f>"FS0139"</f>
        <v>FS0139</v>
      </c>
      <c r="E961" s="16">
        <v>30000</v>
      </c>
      <c r="F961" s="16" t="str">
        <f>"ISJ015"</f>
        <v>ISJ015</v>
      </c>
      <c r="G961" s="17" t="str">
        <f>"Filled 24oz ORG Apricot Apple Sauce jar"</f>
        <v>Filled 24oz ORG Apricot Apple Sauce jar</v>
      </c>
      <c r="H961" s="18" t="str">
        <f t="shared" si="116"/>
        <v>JARS</v>
      </c>
      <c r="I961" s="19">
        <v>12</v>
      </c>
      <c r="J961" s="20">
        <v>12</v>
      </c>
    </row>
    <row r="962" spans="1:10" ht="15.75" thickBot="1" x14ac:dyDescent="0.3">
      <c r="A962" t="s">
        <v>31</v>
      </c>
      <c r="B962" s="15" t="str">
        <f>"""Manzana NAV"",""MANZANA"",""99000772"",""44"","" "",""22"",""False"",""43"",""0.00000000000000000000"",""12"",""Filled 24oz ORG Berry Apple Sauce jar"",""50220"",""False"",""29"","""",""50210"",""True"",""18"","""",""11"",""ISJ014"",""2"",""20000"",""1"",""FS0119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Berry Apple Sauce jar","50220","False","29","","50210","True","18","","11","ISJ014","2","20000","1","FS0119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2" s="15"/>
      <c r="D962" s="16" t="str">
        <f>"FS0119"</f>
        <v>FS0119</v>
      </c>
      <c r="E962" s="16">
        <v>20000</v>
      </c>
      <c r="F962" s="16" t="str">
        <f>"ISJ014"</f>
        <v>ISJ014</v>
      </c>
      <c r="G962" s="17" t="str">
        <f>"Filled 24oz ORG Berry Apple Sauce jar"</f>
        <v>Filled 24oz ORG Berry Apple Sauce jar</v>
      </c>
      <c r="H962" s="18" t="str">
        <f t="shared" si="116"/>
        <v>JARS</v>
      </c>
      <c r="I962" s="19">
        <v>12</v>
      </c>
      <c r="J962" s="20">
        <v>12</v>
      </c>
    </row>
    <row r="963" spans="1:10" ht="15.75" thickBot="1" x14ac:dyDescent="0.3">
      <c r="A963" t="s">
        <v>31</v>
      </c>
      <c r="B963" s="15" t="str">
        <f>"""Manzana NAV"",""MANZANA"",""99000772"",""44"","" "",""22"",""False"",""43"",""0.00000000000000000000"",""12"",""Filled 24oz ORG Berry Apple Sauce jar"",""50220"",""False"",""29"","""",""50210"",""True"",""18"","""",""11"",""ISJ014"",""2"",""20000"",""1"",""FS0121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Berry Apple Sauce jar","50220","False","29","","50210","True","18","","11","ISJ014","2","20000","1","FS0121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3" s="15"/>
      <c r="D963" s="16" t="str">
        <f>"FS0121"</f>
        <v>FS0121</v>
      </c>
      <c r="E963" s="16">
        <v>20000</v>
      </c>
      <c r="F963" s="16" t="str">
        <f>"ISJ014"</f>
        <v>ISJ014</v>
      </c>
      <c r="G963" s="17" t="str">
        <f>"Filled 24oz ORG Berry Apple Sauce jar"</f>
        <v>Filled 24oz ORG Berry Apple Sauce jar</v>
      </c>
      <c r="H963" s="18" t="str">
        <f t="shared" si="116"/>
        <v>JARS</v>
      </c>
      <c r="I963" s="19">
        <v>12</v>
      </c>
      <c r="J963" s="20">
        <v>12</v>
      </c>
    </row>
    <row r="964" spans="1:10" ht="15.75" thickBot="1" x14ac:dyDescent="0.3">
      <c r="A964" t="s">
        <v>31</v>
      </c>
      <c r="B964" s="15" t="str">
        <f>"""Manzana NAV"",""MANZANA"",""99000772"",""44"","" "",""22"",""False"",""43"",""0.00000000000000000000"",""12"",""Filled 24oz ORG Berry Apple Sauce jar"",""50220"",""False"",""29"","""",""50210"",""True"",""18"","""",""11"",""ISJ014"",""2"",""30000"",""1"",""FS0145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Berry Apple Sauce jar","50220","False","29","","50210","True","18","","11","ISJ014","2","30000","1","FS0145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4" s="15"/>
      <c r="D964" s="16" t="str">
        <f>"FS0145"</f>
        <v>FS0145</v>
      </c>
      <c r="E964" s="16">
        <v>30000</v>
      </c>
      <c r="F964" s="16" t="str">
        <f>"ISJ014"</f>
        <v>ISJ014</v>
      </c>
      <c r="G964" s="17" t="str">
        <f>"Filled 24oz ORG Berry Apple Sauce jar"</f>
        <v>Filled 24oz ORG Berry Apple Sauce jar</v>
      </c>
      <c r="H964" s="18" t="str">
        <f t="shared" si="116"/>
        <v>JARS</v>
      </c>
      <c r="I964" s="19">
        <v>12</v>
      </c>
      <c r="J964" s="20">
        <v>12</v>
      </c>
    </row>
    <row r="965" spans="1:10" ht="15.75" thickBot="1" x14ac:dyDescent="0.3">
      <c r="A965" t="s">
        <v>31</v>
      </c>
      <c r="B965" s="15" t="str">
        <f>"""Manzana NAV"",""MANZANA"",""99000772"",""44"","" "",""22"",""False"",""43"",""0.00000000000000000000"",""12"",""Filled 24oz ORG Blackberry Apple Sauce jar"",""50220"",""False"",""29"","""",""50210"",""True"",""18"","""",""11"",""ISJ016"",""2"",""20000"",""1"",""FS0113B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Blackberry Apple Sauce jar","50220","False","29","","50210","True","18","","11","ISJ016","2","20000","1","FS0113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5" s="15"/>
      <c r="D965" s="16" t="str">
        <f>"FS0113B"</f>
        <v>FS0113B</v>
      </c>
      <c r="E965" s="16">
        <v>20000</v>
      </c>
      <c r="F965" s="16" t="str">
        <f>"ISJ016"</f>
        <v>ISJ016</v>
      </c>
      <c r="G965" s="17" t="str">
        <f>"Filled 24oz ORG Blackberry Apple Sauce jar"</f>
        <v>Filled 24oz ORG Blackberry Apple Sauce jar</v>
      </c>
      <c r="H965" s="18" t="str">
        <f t="shared" si="116"/>
        <v>JARS</v>
      </c>
      <c r="I965" s="19">
        <v>12</v>
      </c>
      <c r="J965" s="20">
        <v>12</v>
      </c>
    </row>
    <row r="966" spans="1:10" ht="15.75" thickBot="1" x14ac:dyDescent="0.3">
      <c r="A966" t="s">
        <v>31</v>
      </c>
      <c r="B966" s="15" t="str">
        <f>"""Manzana NAV"",""MANZANA"",""99000772"",""44"","" "",""22"",""False"",""43"",""0.00000000000000000000"",""12"",""Filled 24oz ORG Blend Sauce jar"",""50220"",""False"",""29"","""",""50210"",""True"",""18"","""",""11"",""ISJ001"",""2"",""20000"",""1"",""FS0036"",""14"",""6.00000000000000000000"",""45"",""6.00000"&amp;"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Blend Sauce jar","50220","False","29","","50210","True","18","","11","ISJ001","2","20000","1","FS0036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966" s="15"/>
      <c r="D966" s="16" t="str">
        <f>"FS0036"</f>
        <v>FS0036</v>
      </c>
      <c r="E966" s="16">
        <v>20000</v>
      </c>
      <c r="F966" s="16" t="str">
        <f>"ISJ001"</f>
        <v>ISJ001</v>
      </c>
      <c r="G966" s="17" t="str">
        <f>"Filled 24oz ORG Blend Sauce jar"</f>
        <v>Filled 24oz ORG Blend Sauce jar</v>
      </c>
      <c r="H966" s="18" t="str">
        <f t="shared" si="116"/>
        <v>JARS</v>
      </c>
      <c r="I966" s="19">
        <v>6</v>
      </c>
      <c r="J966" s="20">
        <v>6</v>
      </c>
    </row>
    <row r="967" spans="1:10" ht="15.75" thickBot="1" x14ac:dyDescent="0.3">
      <c r="A967" t="s">
        <v>31</v>
      </c>
      <c r="B967" s="15" t="str">
        <f>"""Manzana NAV"",""MANZANA"",""99000772"",""44"","" "",""22"",""False"",""43"",""0.00000000000000000000"",""12"",""Filled 24oz ORG Blend Sauce jar"",""50220"",""False"",""29"","""",""50210"",""True"",""18"","""",""11"",""ISJ001"",""2"",""30000"",""1"",""FS0143"",""14"",""12.00000000000000000000"",""45"",""12.000"&amp;"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Blend Sauce jar","50220","False","29","","50210","True","18","","11","ISJ001","2","30000","1","FS0143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7" s="15"/>
      <c r="D967" s="16" t="str">
        <f>"FS0143"</f>
        <v>FS0143</v>
      </c>
      <c r="E967" s="16">
        <v>30000</v>
      </c>
      <c r="F967" s="16" t="str">
        <f>"ISJ001"</f>
        <v>ISJ001</v>
      </c>
      <c r="G967" s="17" t="str">
        <f>"Filled 24oz ORG Blend Sauce jar"</f>
        <v>Filled 24oz ORG Blend Sauce jar</v>
      </c>
      <c r="H967" s="18" t="str">
        <f t="shared" si="116"/>
        <v>JARS</v>
      </c>
      <c r="I967" s="19">
        <v>12</v>
      </c>
      <c r="J967" s="20">
        <v>12</v>
      </c>
    </row>
    <row r="968" spans="1:10" ht="15.75" thickBot="1" x14ac:dyDescent="0.3">
      <c r="A968" t="s">
        <v>31</v>
      </c>
      <c r="B968" s="15" t="str">
        <f>"""Manzana NAV"",""MANZANA"",""99000772"",""44"","" "",""22"",""False"",""43"",""0.00000000000000000000"",""12"",""Filled 24oz ORG Cinnamon Sauce jar"",""50220"",""False"",""29"","""",""50210"",""True"",""18"","""",""11"",""ISJ013"",""2"",""10000"",""1"",""FS0114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10000","1","FS0114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8" s="15"/>
      <c r="D968" s="16" t="str">
        <f>"FS0114"</f>
        <v>FS0114</v>
      </c>
      <c r="E968" s="16">
        <v>10000</v>
      </c>
      <c r="F968" s="16" t="str">
        <f t="shared" ref="F968:F974" si="117">"ISJ013"</f>
        <v>ISJ013</v>
      </c>
      <c r="G968" s="17" t="str">
        <f t="shared" ref="G968:G974" si="118">"Filled 24oz ORG Cinnamon Sauce jar"</f>
        <v>Filled 24oz ORG Cinnamon Sauce jar</v>
      </c>
      <c r="H968" s="18" t="str">
        <f t="shared" si="116"/>
        <v>JARS</v>
      </c>
      <c r="I968" s="19">
        <v>12</v>
      </c>
      <c r="J968" s="20">
        <v>12</v>
      </c>
    </row>
    <row r="969" spans="1:10" ht="15.75" thickBot="1" x14ac:dyDescent="0.3">
      <c r="A969" t="s">
        <v>31</v>
      </c>
      <c r="B969" s="15" t="str">
        <f>"""Manzana NAV"",""MANZANA"",""99000772"",""44"","" "",""22"",""False"",""43"",""0.00000000000000000000"",""12"",""Filled 24oz ORG Cinnamon Sauce jar"",""50220"",""False"",""29"","""",""50210"",""True"",""18"","""",""11"",""ISJ013"",""2"",""10000"",""1"",""FS0118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10000","1","FS0118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9" s="15"/>
      <c r="D969" s="16" t="str">
        <f>"FS0118"</f>
        <v>FS0118</v>
      </c>
      <c r="E969" s="16">
        <v>10000</v>
      </c>
      <c r="F969" s="16" t="str">
        <f t="shared" si="117"/>
        <v>ISJ013</v>
      </c>
      <c r="G969" s="17" t="str">
        <f t="shared" si="118"/>
        <v>Filled 24oz ORG Cinnamon Sauce jar</v>
      </c>
      <c r="H969" s="18" t="str">
        <f t="shared" si="116"/>
        <v>JARS</v>
      </c>
      <c r="I969" s="19">
        <v>12</v>
      </c>
      <c r="J969" s="20">
        <v>12</v>
      </c>
    </row>
    <row r="970" spans="1:10" ht="15.75" thickBot="1" x14ac:dyDescent="0.3">
      <c r="A970" t="s">
        <v>31</v>
      </c>
      <c r="B970" s="15" t="str">
        <f>"""Manzana NAV"",""MANZANA"",""99000772"",""44"","" "",""22"",""False"",""43"",""0.00000000000000000000"",""12"",""Filled 24oz ORG Cinnamon Sauce jar"",""50220"",""False"",""29"","""",""50210"",""True"",""18"","""",""11"",""ISJ013"",""2"",""20000"",""1"",""FS0032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20000","1","FS0032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0" s="15"/>
      <c r="D970" s="16" t="str">
        <f>"FS0032"</f>
        <v>FS0032</v>
      </c>
      <c r="E970" s="16">
        <v>20000</v>
      </c>
      <c r="F970" s="16" t="str">
        <f t="shared" si="117"/>
        <v>ISJ013</v>
      </c>
      <c r="G970" s="17" t="str">
        <f t="shared" si="118"/>
        <v>Filled 24oz ORG Cinnamon Sauce jar</v>
      </c>
      <c r="H970" s="18" t="str">
        <f t="shared" si="116"/>
        <v>JARS</v>
      </c>
      <c r="I970" s="19">
        <v>12</v>
      </c>
      <c r="J970" s="20">
        <v>12</v>
      </c>
    </row>
    <row r="971" spans="1:10" ht="15.75" thickBot="1" x14ac:dyDescent="0.3">
      <c r="A971" t="s">
        <v>31</v>
      </c>
      <c r="B971" s="15" t="str">
        <f>"""Manzana NAV"",""MANZANA"",""99000772"",""44"","" "",""22"",""False"",""43"",""0.00000000000000000000"",""12"",""Filled 24oz ORG Cinnamon Sauce jar"",""50220"",""False"",""29"","""",""50210"",""True"",""18"","""",""11"",""ISJ013"",""2"",""20000"",""1"",""FS0068B"",""14"",""12.00000000000000000000"",""45"",""12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20000","1","FS0068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1" s="15"/>
      <c r="D971" s="16" t="str">
        <f>"FS0068B"</f>
        <v>FS0068B</v>
      </c>
      <c r="E971" s="16">
        <v>20000</v>
      </c>
      <c r="F971" s="16" t="str">
        <f t="shared" si="117"/>
        <v>ISJ013</v>
      </c>
      <c r="G971" s="17" t="str">
        <f t="shared" si="118"/>
        <v>Filled 24oz ORG Cinnamon Sauce jar</v>
      </c>
      <c r="H971" s="18" t="str">
        <f t="shared" si="116"/>
        <v>JARS</v>
      </c>
      <c r="I971" s="19">
        <v>12</v>
      </c>
      <c r="J971" s="20">
        <v>12</v>
      </c>
    </row>
    <row r="972" spans="1:10" ht="15.75" thickBot="1" x14ac:dyDescent="0.3">
      <c r="A972" t="s">
        <v>31</v>
      </c>
      <c r="B972" s="15" t="str">
        <f>"""Manzana NAV"",""MANZANA"",""99000772"",""44"","" "",""22"",""False"",""43"",""0.00000000000000000000"",""12"",""Filled 24oz ORG Cinnamon Sauce jar"",""50220"",""False"",""29"","""",""50210"",""True"",""18"","""",""11"",""ISJ013"",""2"",""30000"",""1"",""FS0144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30000","1","FS0144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2" s="15"/>
      <c r="D972" s="16" t="str">
        <f>"FS0144"</f>
        <v>FS0144</v>
      </c>
      <c r="E972" s="16">
        <v>30000</v>
      </c>
      <c r="F972" s="16" t="str">
        <f t="shared" si="117"/>
        <v>ISJ013</v>
      </c>
      <c r="G972" s="17" t="str">
        <f t="shared" si="118"/>
        <v>Filled 24oz ORG Cinnamon Sauce jar</v>
      </c>
      <c r="H972" s="18" t="str">
        <f t="shared" si="116"/>
        <v>JARS</v>
      </c>
      <c r="I972" s="19">
        <v>12</v>
      </c>
      <c r="J972" s="20">
        <v>12</v>
      </c>
    </row>
    <row r="973" spans="1:10" ht="15.75" thickBot="1" x14ac:dyDescent="0.3">
      <c r="A973" t="s">
        <v>31</v>
      </c>
      <c r="B973" s="15" t="str">
        <f>"""Manzana NAV"",""MANZANA"",""99000772"",""44"","" "",""22"",""False"",""43"",""0.00000000000000000000"",""12"",""Filled 24oz ORG Cinnamon Sauce jar"",""50220"",""False"",""29"","""",""50210"",""True"",""18"","""",""11"",""ISJ013"",""2"",""30000"",""1"",""Z-FS0135"",""14"",""12.00000000000000000000"",""45"",""1"&amp;"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30000","1","Z-FS0135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3" s="15"/>
      <c r="D973" s="16" t="str">
        <f>"Z-FS0135"</f>
        <v>Z-FS0135</v>
      </c>
      <c r="E973" s="16">
        <v>30000</v>
      </c>
      <c r="F973" s="16" t="str">
        <f t="shared" si="117"/>
        <v>ISJ013</v>
      </c>
      <c r="G973" s="17" t="str">
        <f t="shared" si="118"/>
        <v>Filled 24oz ORG Cinnamon Sauce jar</v>
      </c>
      <c r="H973" s="18" t="str">
        <f t="shared" si="116"/>
        <v>JARS</v>
      </c>
      <c r="I973" s="19">
        <v>12</v>
      </c>
      <c r="J973" s="20">
        <v>12</v>
      </c>
    </row>
    <row r="974" spans="1:10" ht="15.75" thickBot="1" x14ac:dyDescent="0.3">
      <c r="A974" t="s">
        <v>31</v>
      </c>
      <c r="B974" s="15" t="str">
        <f>"""Manzana NAV"",""MANZANA"",""99000772"",""44"","" "",""22"",""False"",""43"",""0.00000000000000000000"",""12"",""Filled 24oz ORG Cinnamon Sauce jar"",""50220"",""False"",""29"","""",""50210"",""True"",""18"","""",""11"",""ISJ013"",""2"",""40000"",""1"",""FS0111"",""14"",""6.00000000000000000000"",""45"",""6.00"&amp;"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40000","1","FS0111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974" s="15"/>
      <c r="D974" s="16" t="str">
        <f>"FS0111"</f>
        <v>FS0111</v>
      </c>
      <c r="E974" s="16">
        <v>40000</v>
      </c>
      <c r="F974" s="16" t="str">
        <f t="shared" si="117"/>
        <v>ISJ013</v>
      </c>
      <c r="G974" s="17" t="str">
        <f t="shared" si="118"/>
        <v>Filled 24oz ORG Cinnamon Sauce jar</v>
      </c>
      <c r="H974" s="18" t="str">
        <f t="shared" si="116"/>
        <v>JARS</v>
      </c>
      <c r="I974" s="19">
        <v>6</v>
      </c>
      <c r="J974" s="20">
        <v>6</v>
      </c>
    </row>
    <row r="975" spans="1:10" ht="15.75" thickBot="1" x14ac:dyDescent="0.3">
      <c r="A975" t="s">
        <v>31</v>
      </c>
      <c r="B975" s="15" t="str">
        <f>"""Manzana NAV"",""MANZANA"",""99000772"",""44"","" "",""22"",""False"",""43"",""0.00000000000000000000"",""12"",""Filled 24oz ORG GRAV Sauce jar"",""50220"",""False"",""29"","""",""50210"",""True"",""18"","""",""11"",""ISJ003"",""2"",""20000"",""1"",""FS0067B"",""14"",""12.00000000000000000000"",""45"",""12.000"&amp;"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GRAV Sauce jar","50220","False","29","","50210","True","18","","11","ISJ003","2","20000","1","FS0067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5" s="15"/>
      <c r="D975" s="16" t="str">
        <f>"FS0067B"</f>
        <v>FS0067B</v>
      </c>
      <c r="E975" s="16">
        <v>20000</v>
      </c>
      <c r="F975" s="16" t="str">
        <f>"ISJ003"</f>
        <v>ISJ003</v>
      </c>
      <c r="G975" s="17" t="str">
        <f>"Filled 24oz ORG GRAV Sauce jar"</f>
        <v>Filled 24oz ORG GRAV Sauce jar</v>
      </c>
      <c r="H975" s="18" t="str">
        <f t="shared" si="116"/>
        <v>JARS</v>
      </c>
      <c r="I975" s="19">
        <v>12</v>
      </c>
      <c r="J975" s="20">
        <v>12</v>
      </c>
    </row>
    <row r="976" spans="1:10" ht="15.75" thickBot="1" x14ac:dyDescent="0.3">
      <c r="A976" t="s">
        <v>31</v>
      </c>
      <c r="B976" s="15" t="str">
        <f>"""Manzana NAV"",""MANZANA"",""99000772"",""44"","" "",""22"",""False"",""43"",""0.00000000000000000000"",""12"",""Filled 24oz ORG Sweet Blend Sauce jar"",""50220"",""False"",""29"","""",""50210"",""True"",""18"","""",""11"",""ISJ005"",""2"",""20000"",""1"",""FS0112"",""14"",""6.00000000000000000000"",""45"",""6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Sweet Blend Sauce jar","50220","False","29","","50210","True","18","","11","ISJ005","2","20000","1","FS0112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976" s="15"/>
      <c r="D976" s="16" t="str">
        <f>"FS0112"</f>
        <v>FS0112</v>
      </c>
      <c r="E976" s="16">
        <v>20000</v>
      </c>
      <c r="F976" s="16" t="str">
        <f>"ISJ005"</f>
        <v>ISJ005</v>
      </c>
      <c r="G976" s="17" t="str">
        <f>"Filled 24oz ORG Sweet Blend Sauce jar"</f>
        <v>Filled 24oz ORG Sweet Blend Sauce jar</v>
      </c>
      <c r="H976" s="18" t="str">
        <f t="shared" si="116"/>
        <v>JARS</v>
      </c>
      <c r="I976" s="19">
        <v>6</v>
      </c>
      <c r="J976" s="20">
        <v>6</v>
      </c>
    </row>
    <row r="977" spans="1:10" ht="15.75" thickBot="1" x14ac:dyDescent="0.3">
      <c r="A977" t="s">
        <v>31</v>
      </c>
      <c r="B977" s="15" t="str">
        <f>"""Manzana NAV"",""MANZANA"",""99000772"",""44"","" "",""22"",""False"",""43"",""0.00000000000000000000"",""12"",""Filled 24oz ORG Sweet GRAV Sauce jar"",""50220"",""False"",""29"","""",""50210"",""True"",""18"","""",""11"",""ISJ006"",""2"",""20000"",""1"",""FS0059"",""14"",""12.00000000000000000000"",""45"",""1"&amp;"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Sweet GRAV Sauce jar","50220","False","29","","50210","True","18","","11","ISJ006","2","20000","1","FS0059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7" s="15"/>
      <c r="D977" s="16" t="str">
        <f>"FS0059"</f>
        <v>FS0059</v>
      </c>
      <c r="E977" s="16">
        <v>20000</v>
      </c>
      <c r="F977" s="16" t="str">
        <f>"ISJ006"</f>
        <v>ISJ006</v>
      </c>
      <c r="G977" s="17" t="str">
        <f>"Filled 24oz ORG Sweet GRAV Sauce jar"</f>
        <v>Filled 24oz ORG Sweet GRAV Sauce jar</v>
      </c>
      <c r="H977" s="18" t="str">
        <f t="shared" si="116"/>
        <v>JARS</v>
      </c>
      <c r="I977" s="19">
        <v>12</v>
      </c>
      <c r="J977" s="20">
        <v>12</v>
      </c>
    </row>
    <row r="978" spans="1:10" ht="15.75" thickBot="1" x14ac:dyDescent="0.3">
      <c r="A978" t="s">
        <v>31</v>
      </c>
      <c r="B978" s="15" t="str">
        <f>"""Manzana NAV"",""MANZANA"",""99000772"",""44"","" "",""22"",""False"",""43"",""0.00000000000000000000"",""12"",""Filled 32oz Bottle - TEST"",""50220"",""False"",""29"","""",""50210"",""True"",""18"","""",""11"",""IJT000"",""2"",""10000"",""1"",""FJT000"",""14"",""12.00000000000000000000"",""45"",""12.000000000"&amp;"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Bottle - TEST","50220","False","29","","50210","True","18","","11","IJT000","2","10000","1","FJT000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78" s="15"/>
      <c r="D978" s="16" t="str">
        <f>"FJT000"</f>
        <v>FJT000</v>
      </c>
      <c r="E978" s="16">
        <v>10000</v>
      </c>
      <c r="F978" s="16" t="str">
        <f>"IJT000"</f>
        <v>IJT000</v>
      </c>
      <c r="G978" s="17" t="str">
        <f>"Filled 32oz Bottle - TEST"</f>
        <v>Filled 32oz Bottle - TEST</v>
      </c>
      <c r="H978" s="18" t="str">
        <f t="shared" ref="H978:H1041" si="119">"BTLS"</f>
        <v>BTLS</v>
      </c>
      <c r="I978" s="19">
        <v>12</v>
      </c>
      <c r="J978" s="20">
        <v>12</v>
      </c>
    </row>
    <row r="979" spans="1:10" ht="15.75" thickBot="1" x14ac:dyDescent="0.3">
      <c r="A979" t="s">
        <v>31</v>
      </c>
      <c r="B979" s="15" t="str">
        <f>"""Manzana NAV"",""MANZANA"",""99000772"",""44"","" "",""22"",""False"",""43"",""0.00000000000000000000"",""12"",""Filled 32oz NAT Blend Juice bottle"",""50220"",""False"",""29"","""",""50210"",""True"",""18"","""",""11"",""IJ039"",""2"",""10000"",""1"",""FJ0164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Blend Juice bottle","50220","False","29","","50210","True","18","","11","IJ039","2","10000","1","FJ0164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79" s="15"/>
      <c r="D979" s="16" t="str">
        <f>"FJ0164"</f>
        <v>FJ0164</v>
      </c>
      <c r="E979" s="16">
        <v>10000</v>
      </c>
      <c r="F979" s="16" t="str">
        <f>"IJ039"</f>
        <v>IJ039</v>
      </c>
      <c r="G979" s="17" t="str">
        <f>"Filled 32oz NAT Blend Juice bottle"</f>
        <v>Filled 32oz NAT Blend Juice bottle</v>
      </c>
      <c r="H979" s="18" t="str">
        <f t="shared" si="119"/>
        <v>BTLS</v>
      </c>
      <c r="I979" s="19">
        <v>12</v>
      </c>
      <c r="J979" s="20">
        <v>12</v>
      </c>
    </row>
    <row r="980" spans="1:10" ht="15.75" thickBot="1" x14ac:dyDescent="0.3">
      <c r="A980" t="s">
        <v>31</v>
      </c>
      <c r="B980" s="15" t="str">
        <f>"""Manzana NAV"",""MANZANA"",""99000772"",""44"","" "",""22"",""False"",""43"",""0.00000000000000000000"",""12"",""Filled 32oz NAT Blend Juice bottle"",""50220"",""False"",""29"","""",""50210"",""True"",""18"","""",""11"",""IJ039"",""2"",""20000"",""1"",""FJ0142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Blend Juice bottle","50220","False","29","","50210","True","18","","11","IJ039","2","20000","1","FJ0142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0" s="15"/>
      <c r="D980" s="16" t="str">
        <f>"FJ0142"</f>
        <v>FJ0142</v>
      </c>
      <c r="E980" s="16">
        <v>20000</v>
      </c>
      <c r="F980" s="16" t="str">
        <f>"IJ039"</f>
        <v>IJ039</v>
      </c>
      <c r="G980" s="17" t="str">
        <f>"Filled 32oz NAT Blend Juice bottle"</f>
        <v>Filled 32oz NAT Blend Juice bottle</v>
      </c>
      <c r="H980" s="18" t="str">
        <f t="shared" si="119"/>
        <v>BTLS</v>
      </c>
      <c r="I980" s="19">
        <v>12</v>
      </c>
      <c r="J980" s="20">
        <v>12</v>
      </c>
    </row>
    <row r="981" spans="1:10" ht="15.75" thickBot="1" x14ac:dyDescent="0.3">
      <c r="A981" t="s">
        <v>31</v>
      </c>
      <c r="B981" s="15" t="str">
        <f>"""Manzana NAV"",""MANZANA"",""99000772"",""44"","" "",""22"",""False"",""43"",""0.00000000000000000000"",""12"",""Filled 32oz NAT Filtered Vinegar bottle"",""50220"",""False"",""29"","""",""50210"",""True"",""18"","""",""11"",""IV015"",""2"",""20000"",""1"",""FV0034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20000","1","FV0034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1" s="15"/>
      <c r="D981" s="16" t="str">
        <f>"FV0034"</f>
        <v>FV0034</v>
      </c>
      <c r="E981" s="16">
        <v>20000</v>
      </c>
      <c r="F981" s="16" t="str">
        <f>"IV015"</f>
        <v>IV015</v>
      </c>
      <c r="G981" s="17" t="str">
        <f>"Filled 32oz NAT Filtered Vinegar bottle"</f>
        <v>Filled 32oz NAT Filtered Vinegar bottle</v>
      </c>
      <c r="H981" s="18" t="str">
        <f t="shared" si="119"/>
        <v>BTLS</v>
      </c>
      <c r="I981" s="19">
        <v>12</v>
      </c>
      <c r="J981" s="20">
        <v>12</v>
      </c>
    </row>
    <row r="982" spans="1:10" ht="15.75" thickBot="1" x14ac:dyDescent="0.3">
      <c r="A982" t="s">
        <v>31</v>
      </c>
      <c r="B982" s="15" t="str">
        <f>"""Manzana NAV"",""MANZANA"",""99000772"",""44"","" "",""22"",""False"",""43"",""0.00000000000000000000"",""12"",""Filled 32oz NAT Filtered Vinegar bottle"",""50220"",""False"",""29"","""",""50210"",""True"",""18"","""",""11"",""IV015"",""2"",""30000"",""1"",""FV0024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30000","1","FV0024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2" s="15"/>
      <c r="D982" s="16" t="str">
        <f>"FV0024"</f>
        <v>FV0024</v>
      </c>
      <c r="E982" s="16">
        <v>30000</v>
      </c>
      <c r="F982" s="16" t="str">
        <f>"IV015"</f>
        <v>IV015</v>
      </c>
      <c r="G982" s="17" t="str">
        <f>"Filled 32oz NAT Filtered Vinegar bottle"</f>
        <v>Filled 32oz NAT Filtered Vinegar bottle</v>
      </c>
      <c r="H982" s="18" t="str">
        <f t="shared" si="119"/>
        <v>BTLS</v>
      </c>
      <c r="I982" s="19">
        <v>12</v>
      </c>
      <c r="J982" s="20">
        <v>12</v>
      </c>
    </row>
    <row r="983" spans="1:10" ht="15.75" thickBot="1" x14ac:dyDescent="0.3">
      <c r="A983" t="s">
        <v>31</v>
      </c>
      <c r="B983" s="15" t="str">
        <f>"""Manzana NAV"",""MANZANA"",""99000772"",""44"","" "",""22"",""False"",""43"",""0.00000000000000000000"",""12"",""Filled 32oz NAT Filtered Vinegar bottle"",""50220"",""False"",""29"","""",""50210"",""True"",""18"","""",""11"",""IV015"",""2"",""30000"",""1"",""FV0035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30000","1","FV0035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3" s="15"/>
      <c r="D983" s="16" t="str">
        <f>"FV0035"</f>
        <v>FV0035</v>
      </c>
      <c r="E983" s="16">
        <v>30000</v>
      </c>
      <c r="F983" s="16" t="str">
        <f>"IV015"</f>
        <v>IV015</v>
      </c>
      <c r="G983" s="17" t="str">
        <f>"Filled 32oz NAT Filtered Vinegar bottle"</f>
        <v>Filled 32oz NAT Filtered Vinegar bottle</v>
      </c>
      <c r="H983" s="18" t="str">
        <f t="shared" si="119"/>
        <v>BTLS</v>
      </c>
      <c r="I983" s="19">
        <v>12</v>
      </c>
      <c r="J983" s="20">
        <v>12</v>
      </c>
    </row>
    <row r="984" spans="1:10" ht="15.75" thickBot="1" x14ac:dyDescent="0.3">
      <c r="A984" t="s">
        <v>31</v>
      </c>
      <c r="B984" s="15" t="str">
        <f>"""Manzana NAV"",""MANZANA"",""99000772"",""44"","" "",""22"",""False"",""43"",""0.00000000000000000000"",""12"",""Filled 32oz NAT Filtered Vinegar bottle"",""50220"",""False"",""29"","""",""50210"",""True"",""18"","""",""11"",""IV015"",""2"",""40000"",""1"",""FV0022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40000","1","FV0022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4" s="15"/>
      <c r="D984" s="16" t="str">
        <f>"FV0022"</f>
        <v>FV0022</v>
      </c>
      <c r="E984" s="16">
        <v>40000</v>
      </c>
      <c r="F984" s="16" t="str">
        <f>"IV015"</f>
        <v>IV015</v>
      </c>
      <c r="G984" s="17" t="str">
        <f>"Filled 32oz NAT Filtered Vinegar bottle"</f>
        <v>Filled 32oz NAT Filtered Vinegar bottle</v>
      </c>
      <c r="H984" s="18" t="str">
        <f t="shared" si="119"/>
        <v>BTLS</v>
      </c>
      <c r="I984" s="19">
        <v>12</v>
      </c>
      <c r="J984" s="20">
        <v>12</v>
      </c>
    </row>
    <row r="985" spans="1:10" ht="15.75" thickBot="1" x14ac:dyDescent="0.3">
      <c r="A985" t="s">
        <v>31</v>
      </c>
      <c r="B985" s="15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0002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0002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5" s="15"/>
      <c r="D985" s="16" t="str">
        <f>"FJ0002"</f>
        <v>FJ0002</v>
      </c>
      <c r="E985" s="16">
        <v>10000</v>
      </c>
      <c r="F985" s="16" t="str">
        <f t="shared" ref="F985:F1011" si="120">"IJ002"</f>
        <v>IJ002</v>
      </c>
      <c r="G985" s="17" t="str">
        <f t="shared" ref="G985:G1011" si="121">"Filled 32oz ORG Blend Juice bottle"</f>
        <v>Filled 32oz ORG Blend Juice bottle</v>
      </c>
      <c r="H985" s="18" t="str">
        <f t="shared" si="119"/>
        <v>BTLS</v>
      </c>
      <c r="I985" s="19">
        <v>12</v>
      </c>
      <c r="J985" s="20">
        <v>12</v>
      </c>
    </row>
    <row r="986" spans="1:10" ht="15.75" thickBot="1" x14ac:dyDescent="0.3">
      <c r="A986" t="s">
        <v>31</v>
      </c>
      <c r="B986" s="15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0010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0010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6" s="15"/>
      <c r="D986" s="16" t="str">
        <f>"FJ0010B"</f>
        <v>FJ0010B</v>
      </c>
      <c r="E986" s="16">
        <v>10000</v>
      </c>
      <c r="F986" s="16" t="str">
        <f t="shared" si="120"/>
        <v>IJ002</v>
      </c>
      <c r="G986" s="17" t="str">
        <f t="shared" si="121"/>
        <v>Filled 32oz ORG Blend Juice bottle</v>
      </c>
      <c r="H986" s="18" t="str">
        <f t="shared" si="119"/>
        <v>BTLS</v>
      </c>
      <c r="I986" s="19">
        <v>12</v>
      </c>
      <c r="J986" s="20">
        <v>12</v>
      </c>
    </row>
    <row r="987" spans="1:10" ht="15.75" thickBot="1" x14ac:dyDescent="0.3">
      <c r="A987" t="s">
        <v>31</v>
      </c>
      <c r="B987" s="15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0014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0014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7" s="15"/>
      <c r="D987" s="16" t="str">
        <f>"FJ0014"</f>
        <v>FJ0014</v>
      </c>
      <c r="E987" s="16">
        <v>10000</v>
      </c>
      <c r="F987" s="16" t="str">
        <f t="shared" si="120"/>
        <v>IJ002</v>
      </c>
      <c r="G987" s="17" t="str">
        <f t="shared" si="121"/>
        <v>Filled 32oz ORG Blend Juice bottle</v>
      </c>
      <c r="H987" s="18" t="str">
        <f t="shared" si="119"/>
        <v>BTLS</v>
      </c>
      <c r="I987" s="19">
        <v>12</v>
      </c>
      <c r="J987" s="20">
        <v>12</v>
      </c>
    </row>
    <row r="988" spans="1:10" ht="15.75" thickBot="1" x14ac:dyDescent="0.3">
      <c r="A988" t="s">
        <v>31</v>
      </c>
      <c r="B988" s="15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0184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0184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8" s="15"/>
      <c r="D988" s="16" t="str">
        <f>"FJ0184"</f>
        <v>FJ0184</v>
      </c>
      <c r="E988" s="16">
        <v>10000</v>
      </c>
      <c r="F988" s="16" t="str">
        <f t="shared" si="120"/>
        <v>IJ002</v>
      </c>
      <c r="G988" s="17" t="str">
        <f t="shared" si="121"/>
        <v>Filled 32oz ORG Blend Juice bottle</v>
      </c>
      <c r="H988" s="18" t="str">
        <f t="shared" si="119"/>
        <v>BTLS</v>
      </c>
      <c r="I988" s="19">
        <v>12</v>
      </c>
      <c r="J988" s="20">
        <v>12</v>
      </c>
    </row>
    <row r="989" spans="1:10" ht="15.75" thickBot="1" x14ac:dyDescent="0.3">
      <c r="A989" t="s">
        <v>31</v>
      </c>
      <c r="B989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0036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0036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9" s="15"/>
      <c r="D989" s="16" t="str">
        <f>"FJ0036"</f>
        <v>FJ0036</v>
      </c>
      <c r="E989" s="16">
        <v>20000</v>
      </c>
      <c r="F989" s="16" t="str">
        <f t="shared" si="120"/>
        <v>IJ002</v>
      </c>
      <c r="G989" s="17" t="str">
        <f t="shared" si="121"/>
        <v>Filled 32oz ORG Blend Juice bottle</v>
      </c>
      <c r="H989" s="18" t="str">
        <f t="shared" si="119"/>
        <v>BTLS</v>
      </c>
      <c r="I989" s="19">
        <v>12</v>
      </c>
      <c r="J989" s="20">
        <v>12</v>
      </c>
    </row>
    <row r="990" spans="1:10" ht="15.75" thickBot="1" x14ac:dyDescent="0.3">
      <c r="A990" t="s">
        <v>31</v>
      </c>
      <c r="B990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0046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0046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0" s="15"/>
      <c r="D990" s="16" t="str">
        <f>"FJ0046"</f>
        <v>FJ0046</v>
      </c>
      <c r="E990" s="16">
        <v>20000</v>
      </c>
      <c r="F990" s="16" t="str">
        <f t="shared" si="120"/>
        <v>IJ002</v>
      </c>
      <c r="G990" s="17" t="str">
        <f t="shared" si="121"/>
        <v>Filled 32oz ORG Blend Juice bottle</v>
      </c>
      <c r="H990" s="18" t="str">
        <f t="shared" si="119"/>
        <v>BTLS</v>
      </c>
      <c r="I990" s="19">
        <v>12</v>
      </c>
      <c r="J990" s="20">
        <v>12</v>
      </c>
    </row>
    <row r="991" spans="1:10" ht="15.75" thickBot="1" x14ac:dyDescent="0.3">
      <c r="A991" t="s">
        <v>31</v>
      </c>
      <c r="B991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0046C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0046C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1" s="15"/>
      <c r="D991" s="16" t="str">
        <f>"FJ0046C"</f>
        <v>FJ0046C</v>
      </c>
      <c r="E991" s="16">
        <v>20000</v>
      </c>
      <c r="F991" s="16" t="str">
        <f t="shared" si="120"/>
        <v>IJ002</v>
      </c>
      <c r="G991" s="17" t="str">
        <f t="shared" si="121"/>
        <v>Filled 32oz ORG Blend Juice bottle</v>
      </c>
      <c r="H991" s="18" t="str">
        <f t="shared" si="119"/>
        <v>BTLS</v>
      </c>
      <c r="I991" s="19">
        <v>12</v>
      </c>
      <c r="J991" s="20">
        <v>12</v>
      </c>
    </row>
    <row r="992" spans="1:10" ht="15.75" thickBot="1" x14ac:dyDescent="0.3">
      <c r="A992" t="s">
        <v>31</v>
      </c>
      <c r="B992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0051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0051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2" s="15"/>
      <c r="D992" s="16" t="str">
        <f>"FJ0051B"</f>
        <v>FJ0051B</v>
      </c>
      <c r="E992" s="16">
        <v>20000</v>
      </c>
      <c r="F992" s="16" t="str">
        <f t="shared" si="120"/>
        <v>IJ002</v>
      </c>
      <c r="G992" s="17" t="str">
        <f t="shared" si="121"/>
        <v>Filled 32oz ORG Blend Juice bottle</v>
      </c>
      <c r="H992" s="18" t="str">
        <f t="shared" si="119"/>
        <v>BTLS</v>
      </c>
      <c r="I992" s="19">
        <v>12</v>
      </c>
      <c r="J992" s="20">
        <v>12</v>
      </c>
    </row>
    <row r="993" spans="1:10" ht="15.75" thickBot="1" x14ac:dyDescent="0.3">
      <c r="A993" t="s">
        <v>31</v>
      </c>
      <c r="B993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0056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0056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3" s="15"/>
      <c r="D993" s="16" t="str">
        <f>"FJ0056"</f>
        <v>FJ0056</v>
      </c>
      <c r="E993" s="16">
        <v>20000</v>
      </c>
      <c r="F993" s="16" t="str">
        <f t="shared" si="120"/>
        <v>IJ002</v>
      </c>
      <c r="G993" s="17" t="str">
        <f t="shared" si="121"/>
        <v>Filled 32oz ORG Blend Juice bottle</v>
      </c>
      <c r="H993" s="18" t="str">
        <f t="shared" si="119"/>
        <v>BTLS</v>
      </c>
      <c r="I993" s="19">
        <v>12</v>
      </c>
      <c r="J993" s="20">
        <v>12</v>
      </c>
    </row>
    <row r="994" spans="1:10" ht="15.75" thickBot="1" x14ac:dyDescent="0.3">
      <c r="A994" t="s">
        <v>31</v>
      </c>
      <c r="B994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0058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0058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4" s="15"/>
      <c r="D994" s="16" t="str">
        <f>"FJ0058"</f>
        <v>FJ0058</v>
      </c>
      <c r="E994" s="16">
        <v>20000</v>
      </c>
      <c r="F994" s="16" t="str">
        <f t="shared" si="120"/>
        <v>IJ002</v>
      </c>
      <c r="G994" s="17" t="str">
        <f t="shared" si="121"/>
        <v>Filled 32oz ORG Blend Juice bottle</v>
      </c>
      <c r="H994" s="18" t="str">
        <f t="shared" si="119"/>
        <v>BTLS</v>
      </c>
      <c r="I994" s="19">
        <v>12</v>
      </c>
      <c r="J994" s="20">
        <v>12</v>
      </c>
    </row>
    <row r="995" spans="1:10" ht="15.75" thickBot="1" x14ac:dyDescent="0.3">
      <c r="A995" t="s">
        <v>31</v>
      </c>
      <c r="B995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0062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0062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5" s="15"/>
      <c r="D995" s="16" t="str">
        <f>"FJ0062"</f>
        <v>FJ0062</v>
      </c>
      <c r="E995" s="16">
        <v>20000</v>
      </c>
      <c r="F995" s="16" t="str">
        <f t="shared" si="120"/>
        <v>IJ002</v>
      </c>
      <c r="G995" s="17" t="str">
        <f t="shared" si="121"/>
        <v>Filled 32oz ORG Blend Juice bottle</v>
      </c>
      <c r="H995" s="18" t="str">
        <f t="shared" si="119"/>
        <v>BTLS</v>
      </c>
      <c r="I995" s="19">
        <v>12</v>
      </c>
      <c r="J995" s="20">
        <v>12</v>
      </c>
    </row>
    <row r="996" spans="1:10" ht="15.75" thickBot="1" x14ac:dyDescent="0.3">
      <c r="A996" t="s">
        <v>31</v>
      </c>
      <c r="B996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0064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0064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6" s="15"/>
      <c r="D996" s="16" t="str">
        <f>"FJ0064"</f>
        <v>FJ0064</v>
      </c>
      <c r="E996" s="16">
        <v>20000</v>
      </c>
      <c r="F996" s="16" t="str">
        <f t="shared" si="120"/>
        <v>IJ002</v>
      </c>
      <c r="G996" s="17" t="str">
        <f t="shared" si="121"/>
        <v>Filled 32oz ORG Blend Juice bottle</v>
      </c>
      <c r="H996" s="18" t="str">
        <f t="shared" si="119"/>
        <v>BTLS</v>
      </c>
      <c r="I996" s="19">
        <v>12</v>
      </c>
      <c r="J996" s="20">
        <v>12</v>
      </c>
    </row>
    <row r="997" spans="1:10" ht="15.75" thickBot="1" x14ac:dyDescent="0.3">
      <c r="A997" t="s">
        <v>31</v>
      </c>
      <c r="B997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0091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0091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7" s="15"/>
      <c r="D997" s="16" t="str">
        <f>"FJ0091"</f>
        <v>FJ0091</v>
      </c>
      <c r="E997" s="16">
        <v>20000</v>
      </c>
      <c r="F997" s="16" t="str">
        <f t="shared" si="120"/>
        <v>IJ002</v>
      </c>
      <c r="G997" s="17" t="str">
        <f t="shared" si="121"/>
        <v>Filled 32oz ORG Blend Juice bottle</v>
      </c>
      <c r="H997" s="18" t="str">
        <f t="shared" si="119"/>
        <v>BTLS</v>
      </c>
      <c r="I997" s="19">
        <v>12</v>
      </c>
      <c r="J997" s="20">
        <v>12</v>
      </c>
    </row>
    <row r="998" spans="1:10" ht="15.75" thickBot="1" x14ac:dyDescent="0.3">
      <c r="A998" t="s">
        <v>31</v>
      </c>
      <c r="B998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0121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0121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8" s="15"/>
      <c r="D998" s="16" t="str">
        <f>"FJ0121B"</f>
        <v>FJ0121B</v>
      </c>
      <c r="E998" s="16">
        <v>20000</v>
      </c>
      <c r="F998" s="16" t="str">
        <f t="shared" si="120"/>
        <v>IJ002</v>
      </c>
      <c r="G998" s="17" t="str">
        <f t="shared" si="121"/>
        <v>Filled 32oz ORG Blend Juice bottle</v>
      </c>
      <c r="H998" s="18" t="str">
        <f t="shared" si="119"/>
        <v>BTLS</v>
      </c>
      <c r="I998" s="19">
        <v>12</v>
      </c>
      <c r="J998" s="20">
        <v>12</v>
      </c>
    </row>
    <row r="999" spans="1:10" ht="15.75" thickBot="1" x14ac:dyDescent="0.3">
      <c r="A999" t="s">
        <v>31</v>
      </c>
      <c r="B999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0138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0138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9" s="15"/>
      <c r="D999" s="16" t="str">
        <f>"FJ0138B"</f>
        <v>FJ0138B</v>
      </c>
      <c r="E999" s="16">
        <v>20000</v>
      </c>
      <c r="F999" s="16" t="str">
        <f t="shared" si="120"/>
        <v>IJ002</v>
      </c>
      <c r="G999" s="17" t="str">
        <f t="shared" si="121"/>
        <v>Filled 32oz ORG Blend Juice bottle</v>
      </c>
      <c r="H999" s="18" t="str">
        <f t="shared" si="119"/>
        <v>BTLS</v>
      </c>
      <c r="I999" s="19">
        <v>12</v>
      </c>
      <c r="J999" s="20">
        <v>12</v>
      </c>
    </row>
    <row r="1000" spans="1:10" ht="15.75" thickBot="1" x14ac:dyDescent="0.3">
      <c r="A1000" t="s">
        <v>31</v>
      </c>
      <c r="B1000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0157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0157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0" s="15"/>
      <c r="D1000" s="16" t="str">
        <f>"FJ0157"</f>
        <v>FJ0157</v>
      </c>
      <c r="E1000" s="16">
        <v>20000</v>
      </c>
      <c r="F1000" s="16" t="str">
        <f t="shared" si="120"/>
        <v>IJ002</v>
      </c>
      <c r="G1000" s="17" t="str">
        <f t="shared" si="121"/>
        <v>Filled 32oz ORG Blend Juice bottle</v>
      </c>
      <c r="H1000" s="18" t="str">
        <f t="shared" si="119"/>
        <v>BTLS</v>
      </c>
      <c r="I1000" s="19">
        <v>12</v>
      </c>
      <c r="J1000" s="20">
        <v>12</v>
      </c>
    </row>
    <row r="1001" spans="1:10" ht="15.75" thickBot="1" x14ac:dyDescent="0.3">
      <c r="A1001" t="s">
        <v>31</v>
      </c>
      <c r="B1001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0167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0167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1" s="15"/>
      <c r="D1001" s="16" t="str">
        <f>"FJ0167"</f>
        <v>FJ0167</v>
      </c>
      <c r="E1001" s="16">
        <v>20000</v>
      </c>
      <c r="F1001" s="16" t="str">
        <f t="shared" si="120"/>
        <v>IJ002</v>
      </c>
      <c r="G1001" s="17" t="str">
        <f t="shared" si="121"/>
        <v>Filled 32oz ORG Blend Juice bottle</v>
      </c>
      <c r="H1001" s="18" t="str">
        <f t="shared" si="119"/>
        <v>BTLS</v>
      </c>
      <c r="I1001" s="19">
        <v>12</v>
      </c>
      <c r="J1001" s="20">
        <v>12</v>
      </c>
    </row>
    <row r="1002" spans="1:10" ht="15.75" thickBot="1" x14ac:dyDescent="0.3">
      <c r="A1002" t="s">
        <v>31</v>
      </c>
      <c r="B1002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0189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0189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2" s="15"/>
      <c r="D1002" s="16" t="str">
        <f>"FJ0189"</f>
        <v>FJ0189</v>
      </c>
      <c r="E1002" s="16">
        <v>20000</v>
      </c>
      <c r="F1002" s="16" t="str">
        <f t="shared" si="120"/>
        <v>IJ002</v>
      </c>
      <c r="G1002" s="17" t="str">
        <f t="shared" si="121"/>
        <v>Filled 32oz ORG Blend Juice bottle</v>
      </c>
      <c r="H1002" s="18" t="str">
        <f t="shared" si="119"/>
        <v>BTLS</v>
      </c>
      <c r="I1002" s="19">
        <v>12</v>
      </c>
      <c r="J1002" s="20">
        <v>12</v>
      </c>
    </row>
    <row r="1003" spans="1:10" ht="15.75" thickBot="1" x14ac:dyDescent="0.3">
      <c r="A1003" t="s">
        <v>31</v>
      </c>
      <c r="B1003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0190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0190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3" s="15"/>
      <c r="D1003" s="16" t="str">
        <f>"FJ0190"</f>
        <v>FJ0190</v>
      </c>
      <c r="E1003" s="16">
        <v>20000</v>
      </c>
      <c r="F1003" s="16" t="str">
        <f t="shared" si="120"/>
        <v>IJ002</v>
      </c>
      <c r="G1003" s="17" t="str">
        <f t="shared" si="121"/>
        <v>Filled 32oz ORG Blend Juice bottle</v>
      </c>
      <c r="H1003" s="18" t="str">
        <f t="shared" si="119"/>
        <v>BTLS</v>
      </c>
      <c r="I1003" s="19">
        <v>12</v>
      </c>
      <c r="J1003" s="20">
        <v>12</v>
      </c>
    </row>
    <row r="1004" spans="1:10" ht="15.75" thickBot="1" x14ac:dyDescent="0.3">
      <c r="A1004" t="s">
        <v>31</v>
      </c>
      <c r="B1004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0201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0201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4" s="15"/>
      <c r="D1004" s="16" t="str">
        <f>"FJ0201"</f>
        <v>FJ0201</v>
      </c>
      <c r="E1004" s="16">
        <v>20000</v>
      </c>
      <c r="F1004" s="16" t="str">
        <f t="shared" si="120"/>
        <v>IJ002</v>
      </c>
      <c r="G1004" s="17" t="str">
        <f t="shared" si="121"/>
        <v>Filled 32oz ORG Blend Juice bottle</v>
      </c>
      <c r="H1004" s="18" t="str">
        <f t="shared" si="119"/>
        <v>BTLS</v>
      </c>
      <c r="I1004" s="19">
        <v>12</v>
      </c>
      <c r="J1004" s="20">
        <v>12</v>
      </c>
    </row>
    <row r="1005" spans="1:10" ht="15.75" thickBot="1" x14ac:dyDescent="0.3">
      <c r="A1005" t="s">
        <v>31</v>
      </c>
      <c r="B1005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0216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0216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5" s="15"/>
      <c r="D1005" s="16" t="str">
        <f>"FJ0216"</f>
        <v>FJ0216</v>
      </c>
      <c r="E1005" s="16">
        <v>20000</v>
      </c>
      <c r="F1005" s="16" t="str">
        <f t="shared" si="120"/>
        <v>IJ002</v>
      </c>
      <c r="G1005" s="17" t="str">
        <f t="shared" si="121"/>
        <v>Filled 32oz ORG Blend Juice bottle</v>
      </c>
      <c r="H1005" s="18" t="str">
        <f t="shared" si="119"/>
        <v>BTLS</v>
      </c>
      <c r="I1005" s="19">
        <v>12</v>
      </c>
      <c r="J1005" s="20">
        <v>12</v>
      </c>
    </row>
    <row r="1006" spans="1:10" ht="15.75" thickBot="1" x14ac:dyDescent="0.3">
      <c r="A1006" t="s">
        <v>31</v>
      </c>
      <c r="B1006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0224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0224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6" s="15"/>
      <c r="D1006" s="16" t="str">
        <f>"FJ0224"</f>
        <v>FJ0224</v>
      </c>
      <c r="E1006" s="16">
        <v>20000</v>
      </c>
      <c r="F1006" s="16" t="str">
        <f t="shared" si="120"/>
        <v>IJ002</v>
      </c>
      <c r="G1006" s="17" t="str">
        <f t="shared" si="121"/>
        <v>Filled 32oz ORG Blend Juice bottle</v>
      </c>
      <c r="H1006" s="18" t="str">
        <f t="shared" si="119"/>
        <v>BTLS</v>
      </c>
      <c r="I1006" s="19">
        <v>12</v>
      </c>
      <c r="J1006" s="20">
        <v>12</v>
      </c>
    </row>
    <row r="1007" spans="1:10" ht="15.75" thickBot="1" x14ac:dyDescent="0.3">
      <c r="A1007" t="s">
        <v>31</v>
      </c>
      <c r="B1007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0231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0231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7" s="15"/>
      <c r="D1007" s="16" t="str">
        <f>"FJ0231"</f>
        <v>FJ0231</v>
      </c>
      <c r="E1007" s="16">
        <v>20000</v>
      </c>
      <c r="F1007" s="16" t="str">
        <f t="shared" si="120"/>
        <v>IJ002</v>
      </c>
      <c r="G1007" s="17" t="str">
        <f t="shared" si="121"/>
        <v>Filled 32oz ORG Blend Juice bottle</v>
      </c>
      <c r="H1007" s="18" t="str">
        <f t="shared" si="119"/>
        <v>BTLS</v>
      </c>
      <c r="I1007" s="19">
        <v>12</v>
      </c>
      <c r="J1007" s="20">
        <v>12</v>
      </c>
    </row>
    <row r="1008" spans="1:10" ht="15.75" thickBot="1" x14ac:dyDescent="0.3">
      <c r="A1008" t="s">
        <v>31</v>
      </c>
      <c r="B1008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0233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0233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8" s="15"/>
      <c r="D1008" s="16" t="str">
        <f>"FJ0233"</f>
        <v>FJ0233</v>
      </c>
      <c r="E1008" s="16">
        <v>20000</v>
      </c>
      <c r="F1008" s="16" t="str">
        <f t="shared" si="120"/>
        <v>IJ002</v>
      </c>
      <c r="G1008" s="17" t="str">
        <f t="shared" si="121"/>
        <v>Filled 32oz ORG Blend Juice bottle</v>
      </c>
      <c r="H1008" s="18" t="str">
        <f t="shared" si="119"/>
        <v>BTLS</v>
      </c>
      <c r="I1008" s="19">
        <v>12</v>
      </c>
      <c r="J1008" s="20">
        <v>12</v>
      </c>
    </row>
    <row r="1009" spans="1:10" ht="15.75" thickBot="1" x14ac:dyDescent="0.3">
      <c r="A1009" t="s">
        <v>31</v>
      </c>
      <c r="B1009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0243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0243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9" s="15"/>
      <c r="D1009" s="16" t="str">
        <f>"FJ0243"</f>
        <v>FJ0243</v>
      </c>
      <c r="E1009" s="16">
        <v>20000</v>
      </c>
      <c r="F1009" s="16" t="str">
        <f t="shared" si="120"/>
        <v>IJ002</v>
      </c>
      <c r="G1009" s="17" t="str">
        <f t="shared" si="121"/>
        <v>Filled 32oz ORG Blend Juice bottle</v>
      </c>
      <c r="H1009" s="18" t="str">
        <f t="shared" si="119"/>
        <v>BTLS</v>
      </c>
      <c r="I1009" s="19">
        <v>12</v>
      </c>
      <c r="J1009" s="20">
        <v>12</v>
      </c>
    </row>
    <row r="1010" spans="1:10" ht="15.75" thickBot="1" x14ac:dyDescent="0.3">
      <c r="A1010" t="s">
        <v>31</v>
      </c>
      <c r="B1010" s="15" t="str">
        <f>"""Manzana NAV"",""MANZANA"",""99000772"",""44"","" "",""22"",""False"",""43"",""0.00000000000000000000"",""12"",""Filled 32oz ORG Blend Juice bottle"",""50220"",""False"",""29"","""",""50210"",""True"",""18"","""",""11"",""IJ002"",""2"",""20000"",""1"",""Z-FJ0054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Z-FJ0054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0" s="15"/>
      <c r="D1010" s="16" t="str">
        <f>"Z-FJ0054"</f>
        <v>Z-FJ0054</v>
      </c>
      <c r="E1010" s="16">
        <v>20000</v>
      </c>
      <c r="F1010" s="16" t="str">
        <f t="shared" si="120"/>
        <v>IJ002</v>
      </c>
      <c r="G1010" s="17" t="str">
        <f t="shared" si="121"/>
        <v>Filled 32oz ORG Blend Juice bottle</v>
      </c>
      <c r="H1010" s="18" t="str">
        <f t="shared" si="119"/>
        <v>BTLS</v>
      </c>
      <c r="I1010" s="19">
        <v>12</v>
      </c>
      <c r="J1010" s="20">
        <v>12</v>
      </c>
    </row>
    <row r="1011" spans="1:10" ht="15.75" thickBot="1" x14ac:dyDescent="0.3">
      <c r="A1011" t="s">
        <v>31</v>
      </c>
      <c r="B1011" s="15" t="str">
        <f>"""Manzana NAV"",""MANZANA"",""99000772"",""44"","" "",""22"",""False"",""43"",""0.00000000000000000000"",""12"",""Filled 32oz ORG Blend Juice bottle"",""50220"",""False"",""29"","""",""50210"",""True"",""18"","""",""11"",""IJ002"",""2"",""30000"",""1"",""FJ0225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30000","1","FJ0225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1" s="15"/>
      <c r="D1011" s="16" t="str">
        <f>"FJ0225"</f>
        <v>FJ0225</v>
      </c>
      <c r="E1011" s="16">
        <v>30000</v>
      </c>
      <c r="F1011" s="16" t="str">
        <f t="shared" si="120"/>
        <v>IJ002</v>
      </c>
      <c r="G1011" s="17" t="str">
        <f t="shared" si="121"/>
        <v>Filled 32oz ORG Blend Juice bottle</v>
      </c>
      <c r="H1011" s="18" t="str">
        <f t="shared" si="119"/>
        <v>BTLS</v>
      </c>
      <c r="I1011" s="19">
        <v>12</v>
      </c>
      <c r="J1011" s="20">
        <v>12</v>
      </c>
    </row>
    <row r="1012" spans="1:10" ht="15.75" thickBot="1" x14ac:dyDescent="0.3">
      <c r="A1012" t="s">
        <v>31</v>
      </c>
      <c r="B1012" s="15" t="str">
        <f>"""Manzana NAV"",""MANZANA"",""99000772"",""44"","" "",""22"",""False"",""43"",""0.00000000000000000000"",""12"",""Filled 32oz ORG Blend Juice bottle - Copack"",""50220"",""False"",""29"","""",""50210"",""True"",""18"","""",""11"",""IJ102"",""2"",""10000"",""1"",""FJ0010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10000","1","FJ0010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2" s="15"/>
      <c r="D1012" s="16" t="str">
        <f>"FJ0010"</f>
        <v>FJ0010</v>
      </c>
      <c r="E1012" s="16">
        <v>10000</v>
      </c>
      <c r="F1012" s="16" t="str">
        <f>"IJ102"</f>
        <v>IJ102</v>
      </c>
      <c r="G1012" s="17" t="str">
        <f>"Filled 32oz ORG Blend Juice bottle - Copack"</f>
        <v>Filled 32oz ORG Blend Juice bottle - Copack</v>
      </c>
      <c r="H1012" s="18" t="str">
        <f t="shared" si="119"/>
        <v>BTLS</v>
      </c>
      <c r="I1012" s="19">
        <v>12</v>
      </c>
      <c r="J1012" s="20">
        <v>12</v>
      </c>
    </row>
    <row r="1013" spans="1:10" ht="15.75" thickBot="1" x14ac:dyDescent="0.3">
      <c r="A1013" t="s">
        <v>31</v>
      </c>
      <c r="B1013" s="15" t="str">
        <f>"""Manzana NAV"",""MANZANA"",""99000772"",""44"","" "",""22"",""False"",""43"",""0.00000000000000000000"",""12"",""Filled 32oz ORG Blend Juice bottle - Copack"",""50220"",""False"",""29"","""",""50210"",""True"",""18"","""",""11"",""IJ102"",""2"",""20000"",""1"",""FJ0051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20000","1","FJ0051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3" s="15"/>
      <c r="D1013" s="16" t="str">
        <f>"FJ0051"</f>
        <v>FJ0051</v>
      </c>
      <c r="E1013" s="16">
        <v>20000</v>
      </c>
      <c r="F1013" s="16" t="str">
        <f>"IJ102"</f>
        <v>IJ102</v>
      </c>
      <c r="G1013" s="17" t="str">
        <f>"Filled 32oz ORG Blend Juice bottle - Copack"</f>
        <v>Filled 32oz ORG Blend Juice bottle - Copack</v>
      </c>
      <c r="H1013" s="18" t="str">
        <f t="shared" si="119"/>
        <v>BTLS</v>
      </c>
      <c r="I1013" s="19">
        <v>12</v>
      </c>
      <c r="J1013" s="20">
        <v>12</v>
      </c>
    </row>
    <row r="1014" spans="1:10" ht="15.75" thickBot="1" x14ac:dyDescent="0.3">
      <c r="A1014" t="s">
        <v>31</v>
      </c>
      <c r="B1014" s="15" t="str">
        <f>"""Manzana NAV"",""MANZANA"",""99000772"",""44"","" "",""22"",""False"",""43"",""0.00000000000000000000"",""12"",""Filled 32oz ORG Blend Juice bottle - Copack"",""50220"",""False"",""29"","""",""50210"",""True"",""18"","""",""11"",""IJ102"",""2"",""20000"",""1"",""FJ0129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20000","1","FJ0129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4" s="15"/>
      <c r="D1014" s="16" t="str">
        <f>"FJ0129"</f>
        <v>FJ0129</v>
      </c>
      <c r="E1014" s="16">
        <v>20000</v>
      </c>
      <c r="F1014" s="16" t="str">
        <f>"IJ102"</f>
        <v>IJ102</v>
      </c>
      <c r="G1014" s="17" t="str">
        <f>"Filled 32oz ORG Blend Juice bottle - Copack"</f>
        <v>Filled 32oz ORG Blend Juice bottle - Copack</v>
      </c>
      <c r="H1014" s="18" t="str">
        <f t="shared" si="119"/>
        <v>BTLS</v>
      </c>
      <c r="I1014" s="19">
        <v>12</v>
      </c>
      <c r="J1014" s="20">
        <v>12</v>
      </c>
    </row>
    <row r="1015" spans="1:10" ht="15.75" thickBot="1" x14ac:dyDescent="0.3">
      <c r="A1015" t="s">
        <v>31</v>
      </c>
      <c r="B1015" s="15" t="str">
        <f>"""Manzana NAV"",""MANZANA"",""99000772"",""44"","" "",""22"",""False"",""43"",""0.00000000000000000000"",""12"",""Filled 32oz ORG Blend Juice bottle - Copack"",""50220"",""False"",""29"","""",""50210"",""True"",""18"","""",""11"",""IJ102"",""2"",""20000"",""1"",""FJ0138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20000","1","FJ0138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5" s="15"/>
      <c r="D1015" s="16" t="str">
        <f>"FJ0138"</f>
        <v>FJ0138</v>
      </c>
      <c r="E1015" s="16">
        <v>20000</v>
      </c>
      <c r="F1015" s="16" t="str">
        <f>"IJ102"</f>
        <v>IJ102</v>
      </c>
      <c r="G1015" s="17" t="str">
        <f>"Filled 32oz ORG Blend Juice bottle - Copack"</f>
        <v>Filled 32oz ORG Blend Juice bottle - Copack</v>
      </c>
      <c r="H1015" s="18" t="str">
        <f t="shared" si="119"/>
        <v>BTLS</v>
      </c>
      <c r="I1015" s="19">
        <v>12</v>
      </c>
      <c r="J1015" s="20">
        <v>12</v>
      </c>
    </row>
    <row r="1016" spans="1:10" ht="15.75" thickBot="1" x14ac:dyDescent="0.3">
      <c r="A1016" t="s">
        <v>31</v>
      </c>
      <c r="B1016" s="15" t="str">
        <f>"""Manzana NAV"",""MANZANA"",""99000772"",""44"","" "",""22"",""False"",""43"",""0.00000000000000000000"",""12"",""Filled 32oz ORG CoPack AC Vinegar bottle"",""50220"",""False"",""29"","""",""50210"",""True"",""18"","""",""11"",""IV008"",""2"",""40000"",""1"",""FV0013"",""14"",""12.00000000000000000000"",""45"""&amp;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CoPack AC Vinegar bottle","50220","False","29","","50210","True","18","","11","IV008","2","40000","1","FV0013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6" s="15"/>
      <c r="D1016" s="16" t="str">
        <f>"FV0013"</f>
        <v>FV0013</v>
      </c>
      <c r="E1016" s="16">
        <v>40000</v>
      </c>
      <c r="F1016" s="16" t="str">
        <f>"IV008"</f>
        <v>IV008</v>
      </c>
      <c r="G1016" s="17" t="str">
        <f>"Filled 32oz ORG CoPack AC Vinegar bottle"</f>
        <v>Filled 32oz ORG CoPack AC Vinegar bottle</v>
      </c>
      <c r="H1016" s="18" t="str">
        <f t="shared" si="119"/>
        <v>BTLS</v>
      </c>
      <c r="I1016" s="19">
        <v>12</v>
      </c>
      <c r="J1016" s="20">
        <v>12</v>
      </c>
    </row>
    <row r="1017" spans="1:10" ht="15.75" thickBot="1" x14ac:dyDescent="0.3">
      <c r="A1017" t="s">
        <v>31</v>
      </c>
      <c r="B1017" s="15" t="str">
        <f>"""Manzana NAV"",""MANZANA"",""99000772"",""44"","" "",""22"",""False"",""43"",""0.00000000000000000000"",""12"",""Filled 32oz ORG Cran Apple Juice bottle"",""50220"",""False"",""29"","""",""50210"",""True"",""18"","""",""11"",""IJ020"",""2"",""10000"",""1"",""FJ0023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Cran Apple Juice bottle","50220","False","29","","50210","True","18","","11","IJ020","2","10000","1","FJ0023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7" s="15"/>
      <c r="D1017" s="16" t="str">
        <f>"FJ0023"</f>
        <v>FJ0023</v>
      </c>
      <c r="E1017" s="16">
        <v>10000</v>
      </c>
      <c r="F1017" s="16" t="str">
        <f>"IJ020"</f>
        <v>IJ020</v>
      </c>
      <c r="G1017" s="17" t="str">
        <f>"Filled 32oz ORG Cran Apple Juice bottle"</f>
        <v>Filled 32oz ORG Cran Apple Juice bottle</v>
      </c>
      <c r="H1017" s="18" t="str">
        <f t="shared" si="119"/>
        <v>BTLS</v>
      </c>
      <c r="I1017" s="19">
        <v>12</v>
      </c>
      <c r="J1017" s="20">
        <v>12</v>
      </c>
    </row>
    <row r="1018" spans="1:10" ht="15.75" thickBot="1" x14ac:dyDescent="0.3">
      <c r="A1018" t="s">
        <v>31</v>
      </c>
      <c r="B1018" s="15" t="str">
        <f>"""Manzana NAV"",""MANZANA"",""99000772"",""44"","" "",""22"",""False"",""43"",""0.00000000000000000000"",""12"",""Filled 32oz ORG Cran Apple Juice bottle"",""50220"",""False"",""29"","""",""50210"",""True"",""18"","""",""11"",""IJ020"",""2"",""10000"",""1"",""FJ0141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Cran Apple Juice bottle","50220","False","29","","50210","True","18","","11","IJ020","2","10000","1","FJ0141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8" s="15"/>
      <c r="D1018" s="16" t="str">
        <f>"FJ0141"</f>
        <v>FJ0141</v>
      </c>
      <c r="E1018" s="16">
        <v>10000</v>
      </c>
      <c r="F1018" s="16" t="str">
        <f>"IJ020"</f>
        <v>IJ020</v>
      </c>
      <c r="G1018" s="17" t="str">
        <f>"Filled 32oz ORG Cran Apple Juice bottle"</f>
        <v>Filled 32oz ORG Cran Apple Juice bottle</v>
      </c>
      <c r="H1018" s="18" t="str">
        <f t="shared" si="119"/>
        <v>BTLS</v>
      </c>
      <c r="I1018" s="19">
        <v>12</v>
      </c>
      <c r="J1018" s="20">
        <v>12</v>
      </c>
    </row>
    <row r="1019" spans="1:10" ht="15.75" thickBot="1" x14ac:dyDescent="0.3">
      <c r="A1019" t="s">
        <v>31</v>
      </c>
      <c r="B1019" s="15" t="str">
        <f>"""Manzana NAV"",""MANZANA"",""99000772"",""44"","" "",""22"",""False"",""43"",""0.00000000000000000000"",""12"",""Filled 32oz ORG Cran Apple Juice bottle"",""50220"",""False"",""29"","""",""50210"",""True"",""18"","""",""11"",""IJ020"",""2"",""20000"",""1"",""FJ0206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Cran Apple Juice bottle","50220","False","29","","50210","True","18","","11","IJ020","2","20000","1","FJ0206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9" s="15"/>
      <c r="D1019" s="16" t="str">
        <f>"FJ0206"</f>
        <v>FJ0206</v>
      </c>
      <c r="E1019" s="16">
        <v>20000</v>
      </c>
      <c r="F1019" s="16" t="str">
        <f>"IJ020"</f>
        <v>IJ020</v>
      </c>
      <c r="G1019" s="17" t="str">
        <f>"Filled 32oz ORG Cran Apple Juice bottle"</f>
        <v>Filled 32oz ORG Cran Apple Juice bottle</v>
      </c>
      <c r="H1019" s="18" t="str">
        <f t="shared" si="119"/>
        <v>BTLS</v>
      </c>
      <c r="I1019" s="19">
        <v>12</v>
      </c>
      <c r="J1019" s="20">
        <v>12</v>
      </c>
    </row>
    <row r="1020" spans="1:10" ht="15.75" thickBot="1" x14ac:dyDescent="0.3">
      <c r="A1020" t="s">
        <v>31</v>
      </c>
      <c r="B1020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0077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0077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0" s="15"/>
      <c r="D1020" s="16" t="str">
        <f>"FJ0077"</f>
        <v>FJ0077</v>
      </c>
      <c r="E1020" s="16">
        <v>20000</v>
      </c>
      <c r="F1020" s="16" t="str">
        <f t="shared" ref="F1020:F1026" si="122">"IJ011"</f>
        <v>IJ011</v>
      </c>
      <c r="G1020" s="17" t="str">
        <f t="shared" ref="G1020:G1026" si="123">"Filled 32oz ORG Gala Juice bottle"</f>
        <v>Filled 32oz ORG Gala Juice bottle</v>
      </c>
      <c r="H1020" s="18" t="str">
        <f t="shared" si="119"/>
        <v>BTLS</v>
      </c>
      <c r="I1020" s="19">
        <v>12</v>
      </c>
      <c r="J1020" s="20">
        <v>12</v>
      </c>
    </row>
    <row r="1021" spans="1:10" ht="15.75" thickBot="1" x14ac:dyDescent="0.3">
      <c r="A1021" t="s">
        <v>31</v>
      </c>
      <c r="B1021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0092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0092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1" s="15"/>
      <c r="D1021" s="16" t="str">
        <f>"FJ0092"</f>
        <v>FJ0092</v>
      </c>
      <c r="E1021" s="16">
        <v>20000</v>
      </c>
      <c r="F1021" s="16" t="str">
        <f t="shared" si="122"/>
        <v>IJ011</v>
      </c>
      <c r="G1021" s="17" t="str">
        <f t="shared" si="123"/>
        <v>Filled 32oz ORG Gala Juice bottle</v>
      </c>
      <c r="H1021" s="18" t="str">
        <f t="shared" si="119"/>
        <v>BTLS</v>
      </c>
      <c r="I1021" s="19">
        <v>12</v>
      </c>
      <c r="J1021" s="20">
        <v>12</v>
      </c>
    </row>
    <row r="1022" spans="1:10" ht="15.75" thickBot="1" x14ac:dyDescent="0.3">
      <c r="A1022" t="s">
        <v>31</v>
      </c>
      <c r="B1022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0133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0133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2" s="15"/>
      <c r="D1022" s="16" t="str">
        <f>"FJ0133"</f>
        <v>FJ0133</v>
      </c>
      <c r="E1022" s="16">
        <v>20000</v>
      </c>
      <c r="F1022" s="16" t="str">
        <f t="shared" si="122"/>
        <v>IJ011</v>
      </c>
      <c r="G1022" s="17" t="str">
        <f t="shared" si="123"/>
        <v>Filled 32oz ORG Gala Juice bottle</v>
      </c>
      <c r="H1022" s="18" t="str">
        <f t="shared" si="119"/>
        <v>BTLS</v>
      </c>
      <c r="I1022" s="19">
        <v>12</v>
      </c>
      <c r="J1022" s="20">
        <v>12</v>
      </c>
    </row>
    <row r="1023" spans="1:10" ht="15.75" thickBot="1" x14ac:dyDescent="0.3">
      <c r="A1023" t="s">
        <v>31</v>
      </c>
      <c r="B1023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0155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0155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3" s="15"/>
      <c r="D1023" s="16" t="str">
        <f>"FJ0155"</f>
        <v>FJ0155</v>
      </c>
      <c r="E1023" s="16">
        <v>20000</v>
      </c>
      <c r="F1023" s="16" t="str">
        <f t="shared" si="122"/>
        <v>IJ011</v>
      </c>
      <c r="G1023" s="17" t="str">
        <f t="shared" si="123"/>
        <v>Filled 32oz ORG Gala Juice bottle</v>
      </c>
      <c r="H1023" s="18" t="str">
        <f t="shared" si="119"/>
        <v>BTLS</v>
      </c>
      <c r="I1023" s="19">
        <v>12</v>
      </c>
      <c r="J1023" s="20">
        <v>12</v>
      </c>
    </row>
    <row r="1024" spans="1:10" ht="15.75" thickBot="1" x14ac:dyDescent="0.3">
      <c r="A1024" t="s">
        <v>31</v>
      </c>
      <c r="B1024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0192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0192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4" s="15"/>
      <c r="D1024" s="16" t="str">
        <f>"FJ0192"</f>
        <v>FJ0192</v>
      </c>
      <c r="E1024" s="16">
        <v>20000</v>
      </c>
      <c r="F1024" s="16" t="str">
        <f t="shared" si="122"/>
        <v>IJ011</v>
      </c>
      <c r="G1024" s="17" t="str">
        <f t="shared" si="123"/>
        <v>Filled 32oz ORG Gala Juice bottle</v>
      </c>
      <c r="H1024" s="18" t="str">
        <f t="shared" si="119"/>
        <v>BTLS</v>
      </c>
      <c r="I1024" s="19">
        <v>12</v>
      </c>
      <c r="J1024" s="20">
        <v>12</v>
      </c>
    </row>
    <row r="1025" spans="1:10" ht="15.75" thickBot="1" x14ac:dyDescent="0.3">
      <c r="A1025" t="s">
        <v>31</v>
      </c>
      <c r="B1025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0205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0205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5" s="15"/>
      <c r="D1025" s="16" t="str">
        <f>"FJ0205"</f>
        <v>FJ0205</v>
      </c>
      <c r="E1025" s="16">
        <v>20000</v>
      </c>
      <c r="F1025" s="16" t="str">
        <f t="shared" si="122"/>
        <v>IJ011</v>
      </c>
      <c r="G1025" s="17" t="str">
        <f t="shared" si="123"/>
        <v>Filled 32oz ORG Gala Juice bottle</v>
      </c>
      <c r="H1025" s="18" t="str">
        <f t="shared" si="119"/>
        <v>BTLS</v>
      </c>
      <c r="I1025" s="19">
        <v>12</v>
      </c>
      <c r="J1025" s="20">
        <v>12</v>
      </c>
    </row>
    <row r="1026" spans="1:10" ht="15.75" thickBot="1" x14ac:dyDescent="0.3">
      <c r="A1026" t="s">
        <v>31</v>
      </c>
      <c r="B1026" s="15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0212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0212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6" s="15"/>
      <c r="D1026" s="16" t="str">
        <f>"FJ0212"</f>
        <v>FJ0212</v>
      </c>
      <c r="E1026" s="16">
        <v>20000</v>
      </c>
      <c r="F1026" s="16" t="str">
        <f t="shared" si="122"/>
        <v>IJ011</v>
      </c>
      <c r="G1026" s="17" t="str">
        <f t="shared" si="123"/>
        <v>Filled 32oz ORG Gala Juice bottle</v>
      </c>
      <c r="H1026" s="18" t="str">
        <f t="shared" si="119"/>
        <v>BTLS</v>
      </c>
      <c r="I1026" s="19">
        <v>12</v>
      </c>
      <c r="J1026" s="20">
        <v>12</v>
      </c>
    </row>
    <row r="1027" spans="1:10" ht="15.75" thickBot="1" x14ac:dyDescent="0.3">
      <c r="A1027" t="s">
        <v>31</v>
      </c>
      <c r="B1027" s="15" t="str">
        <f>"""Manzana NAV"",""MANZANA"",""99000772"",""44"","" "",""22"",""False"",""43"",""0.00000000000000000000"",""12"",""Filled 32oz ORG Grape Juice bottle"",""50220"",""False"",""29"","""",""50210"",""True"",""18"","""",""11"",""IJ015"",""2"",""10000"",""1"",""FJ0001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10000","1","FJ0001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7" s="15"/>
      <c r="D1027" s="16" t="str">
        <f>"FJ0001"</f>
        <v>FJ0001</v>
      </c>
      <c r="E1027" s="16">
        <v>10000</v>
      </c>
      <c r="F1027" s="16" t="str">
        <f t="shared" ref="F1027:F1041" si="124">"IJ015"</f>
        <v>IJ015</v>
      </c>
      <c r="G1027" s="17" t="str">
        <f t="shared" ref="G1027:G1041" si="125">"Filled 32oz ORG Grape Juice bottle"</f>
        <v>Filled 32oz ORG Grape Juice bottle</v>
      </c>
      <c r="H1027" s="18" t="str">
        <f t="shared" si="119"/>
        <v>BTLS</v>
      </c>
      <c r="I1027" s="19">
        <v>12</v>
      </c>
      <c r="J1027" s="20">
        <v>12</v>
      </c>
    </row>
    <row r="1028" spans="1:10" ht="15.75" thickBot="1" x14ac:dyDescent="0.3">
      <c r="A1028" t="s">
        <v>31</v>
      </c>
      <c r="B1028" s="15" t="str">
        <f>"""Manzana NAV"",""MANZANA"",""99000772"",""44"","" "",""22"",""False"",""43"",""0.00000000000000000000"",""12"",""Filled 32oz ORG Grape Juice bottle"",""50220"",""False"",""29"","""",""50210"",""True"",""18"","""",""11"",""IJ015"",""2"",""10000"",""1"",""FJ0015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10000","1","FJ0015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8" s="15"/>
      <c r="D1028" s="16" t="str">
        <f>"FJ0015"</f>
        <v>FJ0015</v>
      </c>
      <c r="E1028" s="16">
        <v>10000</v>
      </c>
      <c r="F1028" s="16" t="str">
        <f t="shared" si="124"/>
        <v>IJ015</v>
      </c>
      <c r="G1028" s="17" t="str">
        <f t="shared" si="125"/>
        <v>Filled 32oz ORG Grape Juice bottle</v>
      </c>
      <c r="H1028" s="18" t="str">
        <f t="shared" si="119"/>
        <v>BTLS</v>
      </c>
      <c r="I1028" s="19">
        <v>12</v>
      </c>
      <c r="J1028" s="20">
        <v>12</v>
      </c>
    </row>
    <row r="1029" spans="1:10" ht="15.75" thickBot="1" x14ac:dyDescent="0.3">
      <c r="A1029" t="s">
        <v>31</v>
      </c>
      <c r="B1029" s="15" t="str">
        <f>"""Manzana NAV"",""MANZANA"",""99000772"",""44"","" "",""22"",""False"",""43"",""0.00000000000000000000"",""12"",""Filled 32oz ORG Grape Juice bottle"",""50220"",""False"",""29"","""",""50210"",""True"",""18"","""",""11"",""IJ015"",""2"",""10000"",""1"",""FJ0024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10000","1","FJ0024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9" s="15"/>
      <c r="D1029" s="16" t="str">
        <f>"FJ0024"</f>
        <v>FJ0024</v>
      </c>
      <c r="E1029" s="16">
        <v>10000</v>
      </c>
      <c r="F1029" s="16" t="str">
        <f t="shared" si="124"/>
        <v>IJ015</v>
      </c>
      <c r="G1029" s="17" t="str">
        <f t="shared" si="125"/>
        <v>Filled 32oz ORG Grape Juice bottle</v>
      </c>
      <c r="H1029" s="18" t="str">
        <f t="shared" si="119"/>
        <v>BTLS</v>
      </c>
      <c r="I1029" s="19">
        <v>12</v>
      </c>
      <c r="J1029" s="20">
        <v>12</v>
      </c>
    </row>
    <row r="1030" spans="1:10" ht="15.75" thickBot="1" x14ac:dyDescent="0.3">
      <c r="A1030" t="s">
        <v>31</v>
      </c>
      <c r="B1030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0032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0" s="15"/>
      <c r="D1030" s="16" t="str">
        <f>"FJ0032"</f>
        <v>FJ0032</v>
      </c>
      <c r="E1030" s="16">
        <v>20000</v>
      </c>
      <c r="F1030" s="16" t="str">
        <f t="shared" si="124"/>
        <v>IJ015</v>
      </c>
      <c r="G1030" s="17" t="str">
        <f t="shared" si="125"/>
        <v>Filled 32oz ORG Grape Juice bottle</v>
      </c>
      <c r="H1030" s="18" t="str">
        <f t="shared" si="119"/>
        <v>BTLS</v>
      </c>
      <c r="I1030" s="19">
        <v>12</v>
      </c>
      <c r="J1030" s="20">
        <v>12</v>
      </c>
    </row>
    <row r="1031" spans="1:10" ht="15.75" thickBot="1" x14ac:dyDescent="0.3">
      <c r="A1031" t="s">
        <v>31</v>
      </c>
      <c r="B1031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0039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0039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1" s="15"/>
      <c r="D1031" s="16" t="str">
        <f>"FJ0039"</f>
        <v>FJ0039</v>
      </c>
      <c r="E1031" s="16">
        <v>20000</v>
      </c>
      <c r="F1031" s="16" t="str">
        <f t="shared" si="124"/>
        <v>IJ015</v>
      </c>
      <c r="G1031" s="17" t="str">
        <f t="shared" si="125"/>
        <v>Filled 32oz ORG Grape Juice bottle</v>
      </c>
      <c r="H1031" s="18" t="str">
        <f t="shared" si="119"/>
        <v>BTLS</v>
      </c>
      <c r="I1031" s="19">
        <v>12</v>
      </c>
      <c r="J1031" s="20">
        <v>12</v>
      </c>
    </row>
    <row r="1032" spans="1:10" ht="15.75" thickBot="1" x14ac:dyDescent="0.3">
      <c r="A1032" t="s">
        <v>31</v>
      </c>
      <c r="B1032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0065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0065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2" s="15"/>
      <c r="D1032" s="16" t="str">
        <f>"FJ0065"</f>
        <v>FJ0065</v>
      </c>
      <c r="E1032" s="16">
        <v>20000</v>
      </c>
      <c r="F1032" s="16" t="str">
        <f t="shared" si="124"/>
        <v>IJ015</v>
      </c>
      <c r="G1032" s="17" t="str">
        <f t="shared" si="125"/>
        <v>Filled 32oz ORG Grape Juice bottle</v>
      </c>
      <c r="H1032" s="18" t="str">
        <f t="shared" si="119"/>
        <v>BTLS</v>
      </c>
      <c r="I1032" s="19">
        <v>12</v>
      </c>
      <c r="J1032" s="20">
        <v>12</v>
      </c>
    </row>
    <row r="1033" spans="1:10" ht="15.75" thickBot="1" x14ac:dyDescent="0.3">
      <c r="A1033" t="s">
        <v>31</v>
      </c>
      <c r="B1033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0075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0075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3" s="15"/>
      <c r="D1033" s="16" t="str">
        <f>"FJ0075"</f>
        <v>FJ0075</v>
      </c>
      <c r="E1033" s="16">
        <v>20000</v>
      </c>
      <c r="F1033" s="16" t="str">
        <f t="shared" si="124"/>
        <v>IJ015</v>
      </c>
      <c r="G1033" s="17" t="str">
        <f t="shared" si="125"/>
        <v>Filled 32oz ORG Grape Juice bottle</v>
      </c>
      <c r="H1033" s="18" t="str">
        <f t="shared" si="119"/>
        <v>BTLS</v>
      </c>
      <c r="I1033" s="19">
        <v>12</v>
      </c>
      <c r="J1033" s="20">
        <v>12</v>
      </c>
    </row>
    <row r="1034" spans="1:10" ht="15.75" thickBot="1" x14ac:dyDescent="0.3">
      <c r="A1034" t="s">
        <v>31</v>
      </c>
      <c r="B1034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0079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0079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4" s="15"/>
      <c r="D1034" s="16" t="str">
        <f>"FJ0079"</f>
        <v>FJ0079</v>
      </c>
      <c r="E1034" s="16">
        <v>20000</v>
      </c>
      <c r="F1034" s="16" t="str">
        <f t="shared" si="124"/>
        <v>IJ015</v>
      </c>
      <c r="G1034" s="17" t="str">
        <f t="shared" si="125"/>
        <v>Filled 32oz ORG Grape Juice bottle</v>
      </c>
      <c r="H1034" s="18" t="str">
        <f t="shared" si="119"/>
        <v>BTLS</v>
      </c>
      <c r="I1034" s="19">
        <v>12</v>
      </c>
      <c r="J1034" s="20">
        <v>12</v>
      </c>
    </row>
    <row r="1035" spans="1:10" ht="15.75" thickBot="1" x14ac:dyDescent="0.3">
      <c r="A1035" t="s">
        <v>31</v>
      </c>
      <c r="B1035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0083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0083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5" s="15"/>
      <c r="D1035" s="16" t="str">
        <f>"FJ0083"</f>
        <v>FJ0083</v>
      </c>
      <c r="E1035" s="16">
        <v>20000</v>
      </c>
      <c r="F1035" s="16" t="str">
        <f t="shared" si="124"/>
        <v>IJ015</v>
      </c>
      <c r="G1035" s="17" t="str">
        <f t="shared" si="125"/>
        <v>Filled 32oz ORG Grape Juice bottle</v>
      </c>
      <c r="H1035" s="18" t="str">
        <f t="shared" si="119"/>
        <v>BTLS</v>
      </c>
      <c r="I1035" s="19">
        <v>12</v>
      </c>
      <c r="J1035" s="20">
        <v>12</v>
      </c>
    </row>
    <row r="1036" spans="1:10" ht="15.75" thickBot="1" x14ac:dyDescent="0.3">
      <c r="A1036" t="s">
        <v>31</v>
      </c>
      <c r="B1036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0109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0109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6" s="15"/>
      <c r="D1036" s="16" t="str">
        <f>"FJ0109"</f>
        <v>FJ0109</v>
      </c>
      <c r="E1036" s="16">
        <v>20000</v>
      </c>
      <c r="F1036" s="16" t="str">
        <f t="shared" si="124"/>
        <v>IJ015</v>
      </c>
      <c r="G1036" s="17" t="str">
        <f t="shared" si="125"/>
        <v>Filled 32oz ORG Grape Juice bottle</v>
      </c>
      <c r="H1036" s="18" t="str">
        <f t="shared" si="119"/>
        <v>BTLS</v>
      </c>
      <c r="I1036" s="19">
        <v>12</v>
      </c>
      <c r="J1036" s="20">
        <v>12</v>
      </c>
    </row>
    <row r="1037" spans="1:10" ht="15.75" thickBot="1" x14ac:dyDescent="0.3">
      <c r="A1037" t="s">
        <v>31</v>
      </c>
      <c r="B1037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0128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0128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7" s="15"/>
      <c r="D1037" s="16" t="str">
        <f>"FJ0128"</f>
        <v>FJ0128</v>
      </c>
      <c r="E1037" s="16">
        <v>20000</v>
      </c>
      <c r="F1037" s="16" t="str">
        <f t="shared" si="124"/>
        <v>IJ015</v>
      </c>
      <c r="G1037" s="17" t="str">
        <f t="shared" si="125"/>
        <v>Filled 32oz ORG Grape Juice bottle</v>
      </c>
      <c r="H1037" s="18" t="str">
        <f t="shared" si="119"/>
        <v>BTLS</v>
      </c>
      <c r="I1037" s="19">
        <v>12</v>
      </c>
      <c r="J1037" s="20">
        <v>12</v>
      </c>
    </row>
    <row r="1038" spans="1:10" ht="15.75" thickBot="1" x14ac:dyDescent="0.3">
      <c r="A1038" t="s">
        <v>31</v>
      </c>
      <c r="B1038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0135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0135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8" s="15"/>
      <c r="D1038" s="16" t="str">
        <f>"FJ0135"</f>
        <v>FJ0135</v>
      </c>
      <c r="E1038" s="16">
        <v>20000</v>
      </c>
      <c r="F1038" s="16" t="str">
        <f t="shared" si="124"/>
        <v>IJ015</v>
      </c>
      <c r="G1038" s="17" t="str">
        <f t="shared" si="125"/>
        <v>Filled 32oz ORG Grape Juice bottle</v>
      </c>
      <c r="H1038" s="18" t="str">
        <f t="shared" si="119"/>
        <v>BTLS</v>
      </c>
      <c r="I1038" s="19">
        <v>12</v>
      </c>
      <c r="J1038" s="20">
        <v>12</v>
      </c>
    </row>
    <row r="1039" spans="1:10" ht="15.75" thickBot="1" x14ac:dyDescent="0.3">
      <c r="A1039" t="s">
        <v>31</v>
      </c>
      <c r="B1039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0204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0204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9" s="15"/>
      <c r="D1039" s="16" t="str">
        <f>"FJ0204"</f>
        <v>FJ0204</v>
      </c>
      <c r="E1039" s="16">
        <v>20000</v>
      </c>
      <c r="F1039" s="16" t="str">
        <f t="shared" si="124"/>
        <v>IJ015</v>
      </c>
      <c r="G1039" s="17" t="str">
        <f t="shared" si="125"/>
        <v>Filled 32oz ORG Grape Juice bottle</v>
      </c>
      <c r="H1039" s="18" t="str">
        <f t="shared" si="119"/>
        <v>BTLS</v>
      </c>
      <c r="I1039" s="19">
        <v>12</v>
      </c>
      <c r="J1039" s="20">
        <v>12</v>
      </c>
    </row>
    <row r="1040" spans="1:10" ht="15.75" thickBot="1" x14ac:dyDescent="0.3">
      <c r="A1040" t="s">
        <v>31</v>
      </c>
      <c r="B1040" s="15" t="str">
        <f>"""Manzana NAV"",""MANZANA"",""99000772"",""44"","" "",""22"",""False"",""43"",""0.00000000000000000000"",""12"",""Filled 32oz ORG Grape Juice bottle"",""50220"",""False"",""29"","""",""50210"",""True"",""18"","""",""11"",""IJ015"",""2"",""20000"",""1"",""Z-FJ0055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Z-FJ0055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0" s="15"/>
      <c r="D1040" s="16" t="str">
        <f>"Z-FJ0055"</f>
        <v>Z-FJ0055</v>
      </c>
      <c r="E1040" s="16">
        <v>20000</v>
      </c>
      <c r="F1040" s="16" t="str">
        <f t="shared" si="124"/>
        <v>IJ015</v>
      </c>
      <c r="G1040" s="17" t="str">
        <f t="shared" si="125"/>
        <v>Filled 32oz ORG Grape Juice bottle</v>
      </c>
      <c r="H1040" s="18" t="str">
        <f t="shared" si="119"/>
        <v>BTLS</v>
      </c>
      <c r="I1040" s="19">
        <v>12</v>
      </c>
      <c r="J1040" s="20">
        <v>12</v>
      </c>
    </row>
    <row r="1041" spans="1:10" ht="15.75" thickBot="1" x14ac:dyDescent="0.3">
      <c r="A1041" t="s">
        <v>31</v>
      </c>
      <c r="B1041" s="15" t="str">
        <f>"""Manzana NAV"",""MANZANA"",""99000772"",""44"","" "",""22"",""False"",""43"",""0.00000000000000000000"",""12"",""Filled 32oz ORG Grape Juice bottle"",""50220"",""False"",""29"","""",""50210"",""True"",""18"","""",""11"",""IJ015"",""2"",""30000"",""1"",""FJ0235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30000","1","FJ0235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1" s="15"/>
      <c r="D1041" s="16" t="str">
        <f>"FJ0235"</f>
        <v>FJ0235</v>
      </c>
      <c r="E1041" s="16">
        <v>30000</v>
      </c>
      <c r="F1041" s="16" t="str">
        <f t="shared" si="124"/>
        <v>IJ015</v>
      </c>
      <c r="G1041" s="17" t="str">
        <f t="shared" si="125"/>
        <v>Filled 32oz ORG Grape Juice bottle</v>
      </c>
      <c r="H1041" s="18" t="str">
        <f t="shared" si="119"/>
        <v>BTLS</v>
      </c>
      <c r="I1041" s="19">
        <v>12</v>
      </c>
      <c r="J1041" s="20">
        <v>12</v>
      </c>
    </row>
    <row r="1042" spans="1:10" ht="15.75" thickBot="1" x14ac:dyDescent="0.3">
      <c r="A1042" t="s">
        <v>31</v>
      </c>
      <c r="B1042" s="15" t="str">
        <f>"""Manzana NAV"",""MANZANA"",""99000772"",""44"","" "",""22"",""False"",""43"",""0.00000000000000000000"",""12"",""Filled 32oz ORG GRAV Juice bottle"",""50220"",""False"",""29"","""",""50210"",""True"",""18"","""",""11"",""IJ010"",""2"",""10000"",""1"",""FJ0016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10000","1","FJ0016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2" s="15"/>
      <c r="D1042" s="16" t="str">
        <f>"FJ0016"</f>
        <v>FJ0016</v>
      </c>
      <c r="E1042" s="16">
        <v>10000</v>
      </c>
      <c r="F1042" s="16" t="str">
        <f t="shared" ref="F1042:F1056" si="126">"IJ010"</f>
        <v>IJ010</v>
      </c>
      <c r="G1042" s="17" t="str">
        <f t="shared" ref="G1042:G1056" si="127">"Filled 32oz ORG GRAV Juice bottle"</f>
        <v>Filled 32oz ORG GRAV Juice bottle</v>
      </c>
      <c r="H1042" s="18" t="str">
        <f t="shared" ref="H1042:H1105" si="128">"BTLS"</f>
        <v>BTLS</v>
      </c>
      <c r="I1042" s="19">
        <v>12</v>
      </c>
      <c r="J1042" s="20">
        <v>12</v>
      </c>
    </row>
    <row r="1043" spans="1:10" ht="15.75" thickBot="1" x14ac:dyDescent="0.3">
      <c r="A1043" t="s">
        <v>31</v>
      </c>
      <c r="B1043" s="15" t="str">
        <f>"""Manzana NAV"",""MANZANA"",""99000772"",""44"","" "",""22"",""False"",""43"",""0.00000000000000000000"",""12"",""Filled 32oz ORG GRAV Juice bottle"",""50220"",""False"",""29"","""",""50210"",""True"",""18"","""",""11"",""IJ010"",""2"",""10000"",""1"",""FJ0030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10000","1","FJ0030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3" s="15"/>
      <c r="D1043" s="16" t="str">
        <f>"FJ0030"</f>
        <v>FJ0030</v>
      </c>
      <c r="E1043" s="16">
        <v>10000</v>
      </c>
      <c r="F1043" s="16" t="str">
        <f t="shared" si="126"/>
        <v>IJ010</v>
      </c>
      <c r="G1043" s="17" t="str">
        <f t="shared" si="127"/>
        <v>Filled 32oz ORG GRAV Juice bottle</v>
      </c>
      <c r="H1043" s="18" t="str">
        <f t="shared" si="128"/>
        <v>BTLS</v>
      </c>
      <c r="I1043" s="19">
        <v>12</v>
      </c>
      <c r="J1043" s="20">
        <v>12</v>
      </c>
    </row>
    <row r="1044" spans="1:10" ht="15.75" thickBot="1" x14ac:dyDescent="0.3">
      <c r="A1044" t="s">
        <v>31</v>
      </c>
      <c r="B1044" s="15" t="str">
        <f>"""Manzana NAV"",""MANZANA"",""99000772"",""44"","" "",""22"",""False"",""43"",""0.00000000000000000000"",""12"",""Filled 32oz ORG GRAV Juice bottle"",""50220"",""False"",""29"","""",""50210"",""True"",""18"","""",""11"",""IJ010"",""2"",""10000"",""1"",""FJ0187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10000","1","FJ0187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4" s="15"/>
      <c r="D1044" s="16" t="str">
        <f>"FJ0187"</f>
        <v>FJ0187</v>
      </c>
      <c r="E1044" s="16">
        <v>10000</v>
      </c>
      <c r="F1044" s="16" t="str">
        <f t="shared" si="126"/>
        <v>IJ010</v>
      </c>
      <c r="G1044" s="17" t="str">
        <f t="shared" si="127"/>
        <v>Filled 32oz ORG GRAV Juice bottle</v>
      </c>
      <c r="H1044" s="18" t="str">
        <f t="shared" si="128"/>
        <v>BTLS</v>
      </c>
      <c r="I1044" s="19">
        <v>12</v>
      </c>
      <c r="J1044" s="20">
        <v>12</v>
      </c>
    </row>
    <row r="1045" spans="1:10" ht="15.75" thickBot="1" x14ac:dyDescent="0.3">
      <c r="A1045" t="s">
        <v>31</v>
      </c>
      <c r="B1045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0052B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0052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5" s="15"/>
      <c r="D1045" s="16" t="str">
        <f>"FJ0052B"</f>
        <v>FJ0052B</v>
      </c>
      <c r="E1045" s="16">
        <v>20000</v>
      </c>
      <c r="F1045" s="16" t="str">
        <f t="shared" si="126"/>
        <v>IJ010</v>
      </c>
      <c r="G1045" s="17" t="str">
        <f t="shared" si="127"/>
        <v>Filled 32oz ORG GRAV Juice bottle</v>
      </c>
      <c r="H1045" s="18" t="str">
        <f t="shared" si="128"/>
        <v>BTLS</v>
      </c>
      <c r="I1045" s="19">
        <v>12</v>
      </c>
      <c r="J1045" s="20">
        <v>12</v>
      </c>
    </row>
    <row r="1046" spans="1:10" ht="15.75" thickBot="1" x14ac:dyDescent="0.3">
      <c r="A1046" t="s">
        <v>31</v>
      </c>
      <c r="B1046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0066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0066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6" s="15"/>
      <c r="D1046" s="16" t="str">
        <f>"FJ0066"</f>
        <v>FJ0066</v>
      </c>
      <c r="E1046" s="16">
        <v>20000</v>
      </c>
      <c r="F1046" s="16" t="str">
        <f t="shared" si="126"/>
        <v>IJ010</v>
      </c>
      <c r="G1046" s="17" t="str">
        <f t="shared" si="127"/>
        <v>Filled 32oz ORG GRAV Juice bottle</v>
      </c>
      <c r="H1046" s="18" t="str">
        <f t="shared" si="128"/>
        <v>BTLS</v>
      </c>
      <c r="I1046" s="19">
        <v>12</v>
      </c>
      <c r="J1046" s="20">
        <v>12</v>
      </c>
    </row>
    <row r="1047" spans="1:10" ht="15.75" thickBot="1" x14ac:dyDescent="0.3">
      <c r="A1047" t="s">
        <v>31</v>
      </c>
      <c r="B1047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0127B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0127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7" s="15"/>
      <c r="D1047" s="16" t="str">
        <f>"FJ0127B"</f>
        <v>FJ0127B</v>
      </c>
      <c r="E1047" s="16">
        <v>20000</v>
      </c>
      <c r="F1047" s="16" t="str">
        <f t="shared" si="126"/>
        <v>IJ010</v>
      </c>
      <c r="G1047" s="17" t="str">
        <f t="shared" si="127"/>
        <v>Filled 32oz ORG GRAV Juice bottle</v>
      </c>
      <c r="H1047" s="18" t="str">
        <f t="shared" si="128"/>
        <v>BTLS</v>
      </c>
      <c r="I1047" s="19">
        <v>12</v>
      </c>
      <c r="J1047" s="20">
        <v>12</v>
      </c>
    </row>
    <row r="1048" spans="1:10" ht="15.75" thickBot="1" x14ac:dyDescent="0.3">
      <c r="A1048" t="s">
        <v>31</v>
      </c>
      <c r="B1048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0131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0131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8" s="15"/>
      <c r="D1048" s="16" t="str">
        <f>"FJ0131"</f>
        <v>FJ0131</v>
      </c>
      <c r="E1048" s="16">
        <v>20000</v>
      </c>
      <c r="F1048" s="16" t="str">
        <f t="shared" si="126"/>
        <v>IJ010</v>
      </c>
      <c r="G1048" s="17" t="str">
        <f t="shared" si="127"/>
        <v>Filled 32oz ORG GRAV Juice bottle</v>
      </c>
      <c r="H1048" s="18" t="str">
        <f t="shared" si="128"/>
        <v>BTLS</v>
      </c>
      <c r="I1048" s="19">
        <v>12</v>
      </c>
      <c r="J1048" s="20">
        <v>12</v>
      </c>
    </row>
    <row r="1049" spans="1:10" ht="15.75" thickBot="1" x14ac:dyDescent="0.3">
      <c r="A1049" t="s">
        <v>31</v>
      </c>
      <c r="B1049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0136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0136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9" s="15"/>
      <c r="D1049" s="16" t="str">
        <f>"FJ0136"</f>
        <v>FJ0136</v>
      </c>
      <c r="E1049" s="16">
        <v>20000</v>
      </c>
      <c r="F1049" s="16" t="str">
        <f t="shared" si="126"/>
        <v>IJ010</v>
      </c>
      <c r="G1049" s="17" t="str">
        <f t="shared" si="127"/>
        <v>Filled 32oz ORG GRAV Juice bottle</v>
      </c>
      <c r="H1049" s="18" t="str">
        <f t="shared" si="128"/>
        <v>BTLS</v>
      </c>
      <c r="I1049" s="19">
        <v>12</v>
      </c>
      <c r="J1049" s="20">
        <v>12</v>
      </c>
    </row>
    <row r="1050" spans="1:10" ht="15.75" thickBot="1" x14ac:dyDescent="0.3">
      <c r="A1050" t="s">
        <v>31</v>
      </c>
      <c r="B1050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0156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0156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0" s="15"/>
      <c r="D1050" s="16" t="str">
        <f>"FJ0156"</f>
        <v>FJ0156</v>
      </c>
      <c r="E1050" s="16">
        <v>20000</v>
      </c>
      <c r="F1050" s="16" t="str">
        <f t="shared" si="126"/>
        <v>IJ010</v>
      </c>
      <c r="G1050" s="17" t="str">
        <f t="shared" si="127"/>
        <v>Filled 32oz ORG GRAV Juice bottle</v>
      </c>
      <c r="H1050" s="18" t="str">
        <f t="shared" si="128"/>
        <v>BTLS</v>
      </c>
      <c r="I1050" s="19">
        <v>12</v>
      </c>
      <c r="J1050" s="20">
        <v>12</v>
      </c>
    </row>
    <row r="1051" spans="1:10" ht="15.75" thickBot="1" x14ac:dyDescent="0.3">
      <c r="A1051" t="s">
        <v>31</v>
      </c>
      <c r="B1051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0158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0158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1" s="15"/>
      <c r="D1051" s="16" t="str">
        <f>"FJ0158"</f>
        <v>FJ0158</v>
      </c>
      <c r="E1051" s="16">
        <v>20000</v>
      </c>
      <c r="F1051" s="16" t="str">
        <f t="shared" si="126"/>
        <v>IJ010</v>
      </c>
      <c r="G1051" s="17" t="str">
        <f t="shared" si="127"/>
        <v>Filled 32oz ORG GRAV Juice bottle</v>
      </c>
      <c r="H1051" s="18" t="str">
        <f t="shared" si="128"/>
        <v>BTLS</v>
      </c>
      <c r="I1051" s="19">
        <v>12</v>
      </c>
      <c r="J1051" s="20">
        <v>12</v>
      </c>
    </row>
    <row r="1052" spans="1:10" ht="15.75" thickBot="1" x14ac:dyDescent="0.3">
      <c r="A1052" t="s">
        <v>31</v>
      </c>
      <c r="B1052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0168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0168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2" s="15"/>
      <c r="D1052" s="16" t="str">
        <f>"FJ0168"</f>
        <v>FJ0168</v>
      </c>
      <c r="E1052" s="16">
        <v>20000</v>
      </c>
      <c r="F1052" s="16" t="str">
        <f t="shared" si="126"/>
        <v>IJ010</v>
      </c>
      <c r="G1052" s="17" t="str">
        <f t="shared" si="127"/>
        <v>Filled 32oz ORG GRAV Juice bottle</v>
      </c>
      <c r="H1052" s="18" t="str">
        <f t="shared" si="128"/>
        <v>BTLS</v>
      </c>
      <c r="I1052" s="19">
        <v>12</v>
      </c>
      <c r="J1052" s="20">
        <v>12</v>
      </c>
    </row>
    <row r="1053" spans="1:10" ht="15.75" thickBot="1" x14ac:dyDescent="0.3">
      <c r="A1053" t="s">
        <v>31</v>
      </c>
      <c r="B1053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0191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0191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3" s="15"/>
      <c r="D1053" s="16" t="str">
        <f>"FJ0191"</f>
        <v>FJ0191</v>
      </c>
      <c r="E1053" s="16">
        <v>20000</v>
      </c>
      <c r="F1053" s="16" t="str">
        <f t="shared" si="126"/>
        <v>IJ010</v>
      </c>
      <c r="G1053" s="17" t="str">
        <f t="shared" si="127"/>
        <v>Filled 32oz ORG GRAV Juice bottle</v>
      </c>
      <c r="H1053" s="18" t="str">
        <f t="shared" si="128"/>
        <v>BTLS</v>
      </c>
      <c r="I1053" s="19">
        <v>12</v>
      </c>
      <c r="J1053" s="20">
        <v>12</v>
      </c>
    </row>
    <row r="1054" spans="1:10" ht="15.75" thickBot="1" x14ac:dyDescent="0.3">
      <c r="A1054" t="s">
        <v>31</v>
      </c>
      <c r="B1054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0211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0211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4" s="15"/>
      <c r="D1054" s="16" t="str">
        <f>"FJ0211"</f>
        <v>FJ0211</v>
      </c>
      <c r="E1054" s="16">
        <v>20000</v>
      </c>
      <c r="F1054" s="16" t="str">
        <f t="shared" si="126"/>
        <v>IJ010</v>
      </c>
      <c r="G1054" s="17" t="str">
        <f t="shared" si="127"/>
        <v>Filled 32oz ORG GRAV Juice bottle</v>
      </c>
      <c r="H1054" s="18" t="str">
        <f t="shared" si="128"/>
        <v>BTLS</v>
      </c>
      <c r="I1054" s="19">
        <v>12</v>
      </c>
      <c r="J1054" s="20">
        <v>12</v>
      </c>
    </row>
    <row r="1055" spans="1:10" ht="15.75" thickBot="1" x14ac:dyDescent="0.3">
      <c r="A1055" t="s">
        <v>31</v>
      </c>
      <c r="B1055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0217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0217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5" s="15"/>
      <c r="D1055" s="16" t="str">
        <f>"FJ0217"</f>
        <v>FJ0217</v>
      </c>
      <c r="E1055" s="16">
        <v>20000</v>
      </c>
      <c r="F1055" s="16" t="str">
        <f t="shared" si="126"/>
        <v>IJ010</v>
      </c>
      <c r="G1055" s="17" t="str">
        <f t="shared" si="127"/>
        <v>Filled 32oz ORG GRAV Juice bottle</v>
      </c>
      <c r="H1055" s="18" t="str">
        <f t="shared" si="128"/>
        <v>BTLS</v>
      </c>
      <c r="I1055" s="19">
        <v>12</v>
      </c>
      <c r="J1055" s="20">
        <v>12</v>
      </c>
    </row>
    <row r="1056" spans="1:10" ht="15.75" thickBot="1" x14ac:dyDescent="0.3">
      <c r="A1056" t="s">
        <v>31</v>
      </c>
      <c r="B1056" s="15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0234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0234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6" s="15"/>
      <c r="D1056" s="16" t="str">
        <f>"FJ0234"</f>
        <v>FJ0234</v>
      </c>
      <c r="E1056" s="16">
        <v>20000</v>
      </c>
      <c r="F1056" s="16" t="str">
        <f t="shared" si="126"/>
        <v>IJ010</v>
      </c>
      <c r="G1056" s="17" t="str">
        <f t="shared" si="127"/>
        <v>Filled 32oz ORG GRAV Juice bottle</v>
      </c>
      <c r="H1056" s="18" t="str">
        <f t="shared" si="128"/>
        <v>BTLS</v>
      </c>
      <c r="I1056" s="19">
        <v>12</v>
      </c>
      <c r="J1056" s="20">
        <v>12</v>
      </c>
    </row>
    <row r="1057" spans="1:10" ht="15.75" thickBot="1" x14ac:dyDescent="0.3">
      <c r="A1057" t="s">
        <v>31</v>
      </c>
      <c r="B1057" s="15" t="str">
        <f>"""Manzana NAV"",""MANZANA"",""99000772"",""44"","" "",""22"",""False"",""43"",""0.00000000000000000000"",""12"",""Filled 32oz ORG GRAV Juice bottle - Copack"",""50220"",""False"",""29"","""",""50210"",""True"",""18"","""",""11"",""IJ107"",""2"",""20000"",""1"",""FJ0052"",""14"",""12.00000000000000000000"",""4"&amp;"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 - Copack","50220","False","29","","50210","True","18","","11","IJ107","2","20000","1","FJ0052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7" s="15"/>
      <c r="D1057" s="16" t="str">
        <f>"FJ0052"</f>
        <v>FJ0052</v>
      </c>
      <c r="E1057" s="16">
        <v>20000</v>
      </c>
      <c r="F1057" s="16" t="str">
        <f>"IJ107"</f>
        <v>IJ107</v>
      </c>
      <c r="G1057" s="17" t="str">
        <f>"Filled 32oz ORG GRAV Juice bottle - Copack"</f>
        <v>Filled 32oz ORG GRAV Juice bottle - Copack</v>
      </c>
      <c r="H1057" s="18" t="str">
        <f t="shared" si="128"/>
        <v>BTLS</v>
      </c>
      <c r="I1057" s="19">
        <v>12</v>
      </c>
      <c r="J1057" s="20">
        <v>12</v>
      </c>
    </row>
    <row r="1058" spans="1:10" ht="15.75" thickBot="1" x14ac:dyDescent="0.3">
      <c r="A1058" t="s">
        <v>31</v>
      </c>
      <c r="B1058" s="15" t="str">
        <f>"""Manzana NAV"",""MANZANA"",""99000772"",""44"","" "",""22"",""False"",""43"",""0.00000000000000000000"",""12"",""Filled 32oz ORG HCrisp Juice bottle"",""50220"",""False"",""29"","""",""50210"",""True"",""18"","""",""11"",""IJ012"",""2"",""10000"",""1"",""FJ0003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10000","1","FJ0003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8" s="15"/>
      <c r="D1058" s="16" t="str">
        <f>"FJ0003"</f>
        <v>FJ0003</v>
      </c>
      <c r="E1058" s="16">
        <v>10000</v>
      </c>
      <c r="F1058" s="16" t="str">
        <f t="shared" ref="F1058:F1069" si="129">"IJ012"</f>
        <v>IJ012</v>
      </c>
      <c r="G1058" s="17" t="str">
        <f t="shared" ref="G1058:G1069" si="130">"Filled 32oz ORG HCrisp Juice bottle"</f>
        <v>Filled 32oz ORG HCrisp Juice bottle</v>
      </c>
      <c r="H1058" s="18" t="str">
        <f t="shared" si="128"/>
        <v>BTLS</v>
      </c>
      <c r="I1058" s="19">
        <v>12</v>
      </c>
      <c r="J1058" s="20">
        <v>12</v>
      </c>
    </row>
    <row r="1059" spans="1:10" ht="15.75" thickBot="1" x14ac:dyDescent="0.3">
      <c r="A1059" t="s">
        <v>31</v>
      </c>
      <c r="B1059" s="15" t="str">
        <f>"""Manzana NAV"",""MANZANA"",""99000772"",""44"","" "",""22"",""False"",""43"",""0.00000000000000000000"",""12"",""Filled 32oz ORG HCrisp Juice bottle"",""50220"",""False"",""29"","""",""50210"",""True"",""18"","""",""11"",""IJ012"",""2"",""10000"",""1"",""FJ0017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10000","1","FJ0017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9" s="15"/>
      <c r="D1059" s="16" t="str">
        <f>"FJ0017"</f>
        <v>FJ0017</v>
      </c>
      <c r="E1059" s="16">
        <v>10000</v>
      </c>
      <c r="F1059" s="16" t="str">
        <f t="shared" si="129"/>
        <v>IJ012</v>
      </c>
      <c r="G1059" s="17" t="str">
        <f t="shared" si="130"/>
        <v>Filled 32oz ORG HCrisp Juice bottle</v>
      </c>
      <c r="H1059" s="18" t="str">
        <f t="shared" si="128"/>
        <v>BTLS</v>
      </c>
      <c r="I1059" s="19">
        <v>12</v>
      </c>
      <c r="J1059" s="20">
        <v>12</v>
      </c>
    </row>
    <row r="1060" spans="1:10" ht="15.75" thickBot="1" x14ac:dyDescent="0.3">
      <c r="A1060" t="s">
        <v>31</v>
      </c>
      <c r="B1060" s="15" t="str">
        <f>"""Manzana NAV"",""MANZANA"",""99000772"",""44"","" "",""22"",""False"",""43"",""0.00000000000000000000"",""12"",""Filled 32oz ORG HCrisp Juice bottle"",""50220"",""False"",""29"","""",""50210"",""True"",""18"","""",""11"",""IJ012"",""2"",""10000"",""1"",""FJ0028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10000","1","FJ0028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0" s="15"/>
      <c r="D1060" s="16" t="str">
        <f>"FJ0028"</f>
        <v>FJ0028</v>
      </c>
      <c r="E1060" s="16">
        <v>10000</v>
      </c>
      <c r="F1060" s="16" t="str">
        <f t="shared" si="129"/>
        <v>IJ012</v>
      </c>
      <c r="G1060" s="17" t="str">
        <f t="shared" si="130"/>
        <v>Filled 32oz ORG HCrisp Juice bottle</v>
      </c>
      <c r="H1060" s="18" t="str">
        <f t="shared" si="128"/>
        <v>BTLS</v>
      </c>
      <c r="I1060" s="19">
        <v>12</v>
      </c>
      <c r="J1060" s="20">
        <v>12</v>
      </c>
    </row>
    <row r="1061" spans="1:10" ht="15.75" thickBot="1" x14ac:dyDescent="0.3">
      <c r="A1061" t="s">
        <v>31</v>
      </c>
      <c r="B1061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0044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0044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1" s="15"/>
      <c r="D1061" s="16" t="str">
        <f>"FJ0044"</f>
        <v>FJ0044</v>
      </c>
      <c r="E1061" s="16">
        <v>20000</v>
      </c>
      <c r="F1061" s="16" t="str">
        <f t="shared" si="129"/>
        <v>IJ012</v>
      </c>
      <c r="G1061" s="17" t="str">
        <f t="shared" si="130"/>
        <v>Filled 32oz ORG HCrisp Juice bottle</v>
      </c>
      <c r="H1061" s="18" t="str">
        <f t="shared" si="128"/>
        <v>BTLS</v>
      </c>
      <c r="I1061" s="19">
        <v>12</v>
      </c>
      <c r="J1061" s="20">
        <v>12</v>
      </c>
    </row>
    <row r="1062" spans="1:10" ht="15.75" thickBot="1" x14ac:dyDescent="0.3">
      <c r="A1062" t="s">
        <v>31</v>
      </c>
      <c r="B1062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0067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0067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2" s="15"/>
      <c r="D1062" s="16" t="str">
        <f>"FJ0067"</f>
        <v>FJ0067</v>
      </c>
      <c r="E1062" s="16">
        <v>20000</v>
      </c>
      <c r="F1062" s="16" t="str">
        <f t="shared" si="129"/>
        <v>IJ012</v>
      </c>
      <c r="G1062" s="17" t="str">
        <f t="shared" si="130"/>
        <v>Filled 32oz ORG HCrisp Juice bottle</v>
      </c>
      <c r="H1062" s="18" t="str">
        <f t="shared" si="128"/>
        <v>BTLS</v>
      </c>
      <c r="I1062" s="19">
        <v>12</v>
      </c>
      <c r="J1062" s="20">
        <v>12</v>
      </c>
    </row>
    <row r="1063" spans="1:10" ht="15.75" thickBot="1" x14ac:dyDescent="0.3">
      <c r="A1063" t="s">
        <v>31</v>
      </c>
      <c r="B1063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0088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0088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3" s="15"/>
      <c r="D1063" s="16" t="str">
        <f>"FJ0088"</f>
        <v>FJ0088</v>
      </c>
      <c r="E1063" s="16">
        <v>20000</v>
      </c>
      <c r="F1063" s="16" t="str">
        <f t="shared" si="129"/>
        <v>IJ012</v>
      </c>
      <c r="G1063" s="17" t="str">
        <f t="shared" si="130"/>
        <v>Filled 32oz ORG HCrisp Juice bottle</v>
      </c>
      <c r="H1063" s="18" t="str">
        <f t="shared" si="128"/>
        <v>BTLS</v>
      </c>
      <c r="I1063" s="19">
        <v>12</v>
      </c>
      <c r="J1063" s="20">
        <v>12</v>
      </c>
    </row>
    <row r="1064" spans="1:10" ht="15.75" thickBot="1" x14ac:dyDescent="0.3">
      <c r="A1064" t="s">
        <v>31</v>
      </c>
      <c r="B1064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0154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0154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4" s="15"/>
      <c r="D1064" s="16" t="str">
        <f>"FJ0154"</f>
        <v>FJ0154</v>
      </c>
      <c r="E1064" s="16">
        <v>20000</v>
      </c>
      <c r="F1064" s="16" t="str">
        <f t="shared" si="129"/>
        <v>IJ012</v>
      </c>
      <c r="G1064" s="17" t="str">
        <f t="shared" si="130"/>
        <v>Filled 32oz ORG HCrisp Juice bottle</v>
      </c>
      <c r="H1064" s="18" t="str">
        <f t="shared" si="128"/>
        <v>BTLS</v>
      </c>
      <c r="I1064" s="19">
        <v>12</v>
      </c>
      <c r="J1064" s="20">
        <v>12</v>
      </c>
    </row>
    <row r="1065" spans="1:10" ht="15.75" thickBot="1" x14ac:dyDescent="0.3">
      <c r="A1065" t="s">
        <v>31</v>
      </c>
      <c r="B1065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0159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0159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5" s="15"/>
      <c r="D1065" s="16" t="str">
        <f>"FJ0159"</f>
        <v>FJ0159</v>
      </c>
      <c r="E1065" s="16">
        <v>20000</v>
      </c>
      <c r="F1065" s="16" t="str">
        <f t="shared" si="129"/>
        <v>IJ012</v>
      </c>
      <c r="G1065" s="17" t="str">
        <f t="shared" si="130"/>
        <v>Filled 32oz ORG HCrisp Juice bottle</v>
      </c>
      <c r="H1065" s="18" t="str">
        <f t="shared" si="128"/>
        <v>BTLS</v>
      </c>
      <c r="I1065" s="19">
        <v>12</v>
      </c>
      <c r="J1065" s="20">
        <v>12</v>
      </c>
    </row>
    <row r="1066" spans="1:10" ht="15.75" thickBot="1" x14ac:dyDescent="0.3">
      <c r="A1066" t="s">
        <v>31</v>
      </c>
      <c r="B1066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0170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0170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6" s="15"/>
      <c r="D1066" s="16" t="str">
        <f>"FJ0170"</f>
        <v>FJ0170</v>
      </c>
      <c r="E1066" s="16">
        <v>20000</v>
      </c>
      <c r="F1066" s="16" t="str">
        <f t="shared" si="129"/>
        <v>IJ012</v>
      </c>
      <c r="G1066" s="17" t="str">
        <f t="shared" si="130"/>
        <v>Filled 32oz ORG HCrisp Juice bottle</v>
      </c>
      <c r="H1066" s="18" t="str">
        <f t="shared" si="128"/>
        <v>BTLS</v>
      </c>
      <c r="I1066" s="19">
        <v>12</v>
      </c>
      <c r="J1066" s="20">
        <v>12</v>
      </c>
    </row>
    <row r="1067" spans="1:10" ht="15.75" thickBot="1" x14ac:dyDescent="0.3">
      <c r="A1067" t="s">
        <v>31</v>
      </c>
      <c r="B1067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0193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0193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7" s="15"/>
      <c r="D1067" s="16" t="str">
        <f>"FJ0193"</f>
        <v>FJ0193</v>
      </c>
      <c r="E1067" s="16">
        <v>20000</v>
      </c>
      <c r="F1067" s="16" t="str">
        <f t="shared" si="129"/>
        <v>IJ012</v>
      </c>
      <c r="G1067" s="17" t="str">
        <f t="shared" si="130"/>
        <v>Filled 32oz ORG HCrisp Juice bottle</v>
      </c>
      <c r="H1067" s="18" t="str">
        <f t="shared" si="128"/>
        <v>BTLS</v>
      </c>
      <c r="I1067" s="19">
        <v>12</v>
      </c>
      <c r="J1067" s="20">
        <v>12</v>
      </c>
    </row>
    <row r="1068" spans="1:10" ht="15.75" thickBot="1" x14ac:dyDescent="0.3">
      <c r="A1068" t="s">
        <v>31</v>
      </c>
      <c r="B1068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0203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0203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8" s="15"/>
      <c r="D1068" s="16" t="str">
        <f>"FJ0203"</f>
        <v>FJ0203</v>
      </c>
      <c r="E1068" s="16">
        <v>20000</v>
      </c>
      <c r="F1068" s="16" t="str">
        <f t="shared" si="129"/>
        <v>IJ012</v>
      </c>
      <c r="G1068" s="17" t="str">
        <f t="shared" si="130"/>
        <v>Filled 32oz ORG HCrisp Juice bottle</v>
      </c>
      <c r="H1068" s="18" t="str">
        <f t="shared" si="128"/>
        <v>BTLS</v>
      </c>
      <c r="I1068" s="19">
        <v>12</v>
      </c>
      <c r="J1068" s="20">
        <v>12</v>
      </c>
    </row>
    <row r="1069" spans="1:10" ht="15.75" thickBot="1" x14ac:dyDescent="0.3">
      <c r="A1069" t="s">
        <v>31</v>
      </c>
      <c r="B1069" s="15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0232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0232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9" s="15"/>
      <c r="D1069" s="16" t="str">
        <f>"FJ0232"</f>
        <v>FJ0232</v>
      </c>
      <c r="E1069" s="16">
        <v>20000</v>
      </c>
      <c r="F1069" s="16" t="str">
        <f t="shared" si="129"/>
        <v>IJ012</v>
      </c>
      <c r="G1069" s="17" t="str">
        <f t="shared" si="130"/>
        <v>Filled 32oz ORG HCrisp Juice bottle</v>
      </c>
      <c r="H1069" s="18" t="str">
        <f t="shared" si="128"/>
        <v>BTLS</v>
      </c>
      <c r="I1069" s="19">
        <v>12</v>
      </c>
      <c r="J1069" s="20">
        <v>12</v>
      </c>
    </row>
    <row r="1070" spans="1:10" ht="15.75" thickBot="1" x14ac:dyDescent="0.3">
      <c r="A1070" t="s">
        <v>31</v>
      </c>
      <c r="B1070" s="15" t="str">
        <f>"""Manzana NAV"",""MANZANA"",""99000772"",""44"","" "",""22"",""False"",""43"",""0.00000000000000000000"",""12"",""Filled 32oz ORG Pear Juice bottle"",""50220"",""False"",""29"","""",""50210"",""True"",""18"","""",""11"",""IJ013"",""2"",""10000"",""1"",""FJ0004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10000","1","FJ0004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0" s="15"/>
      <c r="D1070" s="16" t="str">
        <f>"FJ0004"</f>
        <v>FJ0004</v>
      </c>
      <c r="E1070" s="16">
        <v>10000</v>
      </c>
      <c r="F1070" s="16" t="str">
        <f t="shared" ref="F1070:F1078" si="131">"IJ013"</f>
        <v>IJ013</v>
      </c>
      <c r="G1070" s="17" t="str">
        <f t="shared" ref="G1070:G1078" si="132">"Filled 32oz ORG Pear Juice bottle"</f>
        <v>Filled 32oz ORG Pear Juice bottle</v>
      </c>
      <c r="H1070" s="18" t="str">
        <f t="shared" si="128"/>
        <v>BTLS</v>
      </c>
      <c r="I1070" s="19">
        <v>12</v>
      </c>
      <c r="J1070" s="20">
        <v>12</v>
      </c>
    </row>
    <row r="1071" spans="1:10" ht="15.75" thickBot="1" x14ac:dyDescent="0.3">
      <c r="A1071" t="s">
        <v>31</v>
      </c>
      <c r="B1071" s="15" t="str">
        <f>"""Manzana NAV"",""MANZANA"",""99000772"",""44"","" "",""22"",""False"",""43"",""0.00000000000000000000"",""12"",""Filled 32oz ORG Pear Juice bottle"",""50220"",""False"",""29"","""",""50210"",""True"",""18"","""",""11"",""IJ013"",""2"",""10000"",""1"",""FJ0018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10000","1","FJ0018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1" s="15"/>
      <c r="D1071" s="16" t="str">
        <f>"FJ0018"</f>
        <v>FJ0018</v>
      </c>
      <c r="E1071" s="16">
        <v>10000</v>
      </c>
      <c r="F1071" s="16" t="str">
        <f t="shared" si="131"/>
        <v>IJ013</v>
      </c>
      <c r="G1071" s="17" t="str">
        <f t="shared" si="132"/>
        <v>Filled 32oz ORG Pear Juice bottle</v>
      </c>
      <c r="H1071" s="18" t="str">
        <f t="shared" si="128"/>
        <v>BTLS</v>
      </c>
      <c r="I1071" s="19">
        <v>12</v>
      </c>
      <c r="J1071" s="20">
        <v>12</v>
      </c>
    </row>
    <row r="1072" spans="1:10" ht="15.75" thickBot="1" x14ac:dyDescent="0.3">
      <c r="A1072" t="s">
        <v>31</v>
      </c>
      <c r="B1072" s="15" t="str">
        <f>"""Manzana NAV"",""MANZANA"",""99000772"",""44"","" "",""22"",""False"",""43"",""0.00000000000000000000"",""12"",""Filled 32oz ORG Pear Juice bottle"",""50220"",""False"",""29"","""",""50210"",""True"",""18"","""",""11"",""IJ013"",""2"",""10000"",""1"",""FJ0025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10000","1","FJ0025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2" s="15"/>
      <c r="D1072" s="16" t="str">
        <f>"FJ0025"</f>
        <v>FJ0025</v>
      </c>
      <c r="E1072" s="16">
        <v>10000</v>
      </c>
      <c r="F1072" s="16" t="str">
        <f t="shared" si="131"/>
        <v>IJ013</v>
      </c>
      <c r="G1072" s="17" t="str">
        <f t="shared" si="132"/>
        <v>Filled 32oz ORG Pear Juice bottle</v>
      </c>
      <c r="H1072" s="18" t="str">
        <f t="shared" si="128"/>
        <v>BTLS</v>
      </c>
      <c r="I1072" s="19">
        <v>12</v>
      </c>
      <c r="J1072" s="20">
        <v>12</v>
      </c>
    </row>
    <row r="1073" spans="1:10" ht="15.75" thickBot="1" x14ac:dyDescent="0.3">
      <c r="A1073" t="s">
        <v>31</v>
      </c>
      <c r="B1073" s="15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0053B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0053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3" s="15"/>
      <c r="D1073" s="16" t="str">
        <f>"FJ0053B"</f>
        <v>FJ0053B</v>
      </c>
      <c r="E1073" s="16">
        <v>20000</v>
      </c>
      <c r="F1073" s="16" t="str">
        <f t="shared" si="131"/>
        <v>IJ013</v>
      </c>
      <c r="G1073" s="17" t="str">
        <f t="shared" si="132"/>
        <v>Filled 32oz ORG Pear Juice bottle</v>
      </c>
      <c r="H1073" s="18" t="str">
        <f t="shared" si="128"/>
        <v>BTLS</v>
      </c>
      <c r="I1073" s="19">
        <v>12</v>
      </c>
      <c r="J1073" s="20">
        <v>12</v>
      </c>
    </row>
    <row r="1074" spans="1:10" ht="15.75" thickBot="1" x14ac:dyDescent="0.3">
      <c r="A1074" t="s">
        <v>31</v>
      </c>
      <c r="B1074" s="15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0068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0068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4" s="15"/>
      <c r="D1074" s="16" t="str">
        <f>"FJ0068"</f>
        <v>FJ0068</v>
      </c>
      <c r="E1074" s="16">
        <v>20000</v>
      </c>
      <c r="F1074" s="16" t="str">
        <f t="shared" si="131"/>
        <v>IJ013</v>
      </c>
      <c r="G1074" s="17" t="str">
        <f t="shared" si="132"/>
        <v>Filled 32oz ORG Pear Juice bottle</v>
      </c>
      <c r="H1074" s="18" t="str">
        <f t="shared" si="128"/>
        <v>BTLS</v>
      </c>
      <c r="I1074" s="19">
        <v>12</v>
      </c>
      <c r="J1074" s="20">
        <v>12</v>
      </c>
    </row>
    <row r="1075" spans="1:10" ht="15.75" thickBot="1" x14ac:dyDescent="0.3">
      <c r="A1075" t="s">
        <v>31</v>
      </c>
      <c r="B1075" s="15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0110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0110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5" s="15"/>
      <c r="D1075" s="16" t="str">
        <f>"FJ0110"</f>
        <v>FJ0110</v>
      </c>
      <c r="E1075" s="16">
        <v>20000</v>
      </c>
      <c r="F1075" s="16" t="str">
        <f t="shared" si="131"/>
        <v>IJ013</v>
      </c>
      <c r="G1075" s="17" t="str">
        <f t="shared" si="132"/>
        <v>Filled 32oz ORG Pear Juice bottle</v>
      </c>
      <c r="H1075" s="18" t="str">
        <f t="shared" si="128"/>
        <v>BTLS</v>
      </c>
      <c r="I1075" s="19">
        <v>12</v>
      </c>
      <c r="J1075" s="20">
        <v>12</v>
      </c>
    </row>
    <row r="1076" spans="1:10" ht="15.75" thickBot="1" x14ac:dyDescent="0.3">
      <c r="A1076" t="s">
        <v>31</v>
      </c>
      <c r="B1076" s="15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0132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0132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6" s="15"/>
      <c r="D1076" s="16" t="str">
        <f>"FJ0132"</f>
        <v>FJ0132</v>
      </c>
      <c r="E1076" s="16">
        <v>20000</v>
      </c>
      <c r="F1076" s="16" t="str">
        <f t="shared" si="131"/>
        <v>IJ013</v>
      </c>
      <c r="G1076" s="17" t="str">
        <f t="shared" si="132"/>
        <v>Filled 32oz ORG Pear Juice bottle</v>
      </c>
      <c r="H1076" s="18" t="str">
        <f t="shared" si="128"/>
        <v>BTLS</v>
      </c>
      <c r="I1076" s="19">
        <v>12</v>
      </c>
      <c r="J1076" s="20">
        <v>12</v>
      </c>
    </row>
    <row r="1077" spans="1:10" ht="15.75" thickBot="1" x14ac:dyDescent="0.3">
      <c r="A1077" t="s">
        <v>31</v>
      </c>
      <c r="B1077" s="15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0137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0137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7" s="15"/>
      <c r="D1077" s="16" t="str">
        <f>"FJ0137"</f>
        <v>FJ0137</v>
      </c>
      <c r="E1077" s="16">
        <v>20000</v>
      </c>
      <c r="F1077" s="16" t="str">
        <f t="shared" si="131"/>
        <v>IJ013</v>
      </c>
      <c r="G1077" s="17" t="str">
        <f t="shared" si="132"/>
        <v>Filled 32oz ORG Pear Juice bottle</v>
      </c>
      <c r="H1077" s="18" t="str">
        <f t="shared" si="128"/>
        <v>BTLS</v>
      </c>
      <c r="I1077" s="19">
        <v>12</v>
      </c>
      <c r="J1077" s="20">
        <v>12</v>
      </c>
    </row>
    <row r="1078" spans="1:10" ht="15.75" thickBot="1" x14ac:dyDescent="0.3">
      <c r="A1078" t="s">
        <v>31</v>
      </c>
      <c r="B1078" s="15" t="str">
        <f>"""Manzana NAV"",""MANZANA"",""99000772"",""44"","" "",""22"",""False"",""43"",""0.00000000000000000000"",""12"",""Filled 32oz ORG Pear Juice bottle"",""50220"",""False"",""29"","""",""50210"",""True"",""18"","""",""11"",""IJ013"",""2"",""30000"",""1"",""FJ0236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30000","1","FJ0236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8" s="15"/>
      <c r="D1078" s="16" t="str">
        <f>"FJ0236"</f>
        <v>FJ0236</v>
      </c>
      <c r="E1078" s="16">
        <v>30000</v>
      </c>
      <c r="F1078" s="16" t="str">
        <f t="shared" si="131"/>
        <v>IJ013</v>
      </c>
      <c r="G1078" s="17" t="str">
        <f t="shared" si="132"/>
        <v>Filled 32oz ORG Pear Juice bottle</v>
      </c>
      <c r="H1078" s="18" t="str">
        <f t="shared" si="128"/>
        <v>BTLS</v>
      </c>
      <c r="I1078" s="19">
        <v>12</v>
      </c>
      <c r="J1078" s="20">
        <v>12</v>
      </c>
    </row>
    <row r="1079" spans="1:10" ht="15.75" thickBot="1" x14ac:dyDescent="0.3">
      <c r="A1079" t="s">
        <v>31</v>
      </c>
      <c r="B1079" s="15" t="str">
        <f>"""Manzana NAV"",""MANZANA"",""99000772"",""44"","" "",""22"",""False"",""43"",""0.00000000000000000000"",""12"",""Filled 32oz ORG Pear Juice bottle - Copack"",""50220"",""False"",""29"","""",""50210"",""True"",""18"","""",""11"",""IJ111"",""2"",""20000"",""1"",""FJ0053"",""14"",""12.00000000000000000000"",""4"&amp;"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 - Copack","50220","False","29","","50210","True","18","","11","IJ111","2","20000","1","FJ0053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9" s="15"/>
      <c r="D1079" s="16" t="str">
        <f>"FJ0053"</f>
        <v>FJ0053</v>
      </c>
      <c r="E1079" s="16">
        <v>20000</v>
      </c>
      <c r="F1079" s="16" t="str">
        <f>"IJ111"</f>
        <v>IJ111</v>
      </c>
      <c r="G1079" s="17" t="str">
        <f>"Filled 32oz ORG Pear Juice bottle - Copack"</f>
        <v>Filled 32oz ORG Pear Juice bottle - Copack</v>
      </c>
      <c r="H1079" s="18" t="str">
        <f t="shared" si="128"/>
        <v>BTLS</v>
      </c>
      <c r="I1079" s="19">
        <v>12</v>
      </c>
      <c r="J1079" s="20">
        <v>12</v>
      </c>
    </row>
    <row r="1080" spans="1:10" ht="15.75" thickBot="1" x14ac:dyDescent="0.3">
      <c r="A1080" t="s">
        <v>31</v>
      </c>
      <c r="B1080" s="15" t="str">
        <f>"""Manzana NAV"",""MANZANA"",""99000772"",""44"","" "",""22"",""False"",""43"",""0.00000000000000000000"",""12"",""Filled 32oz ORG Pomeg Juice bottle"",""50220"",""False"",""29"","""",""50210"",""True"",""18"","""",""11"",""IJ018"",""2"",""10000"",""1"",""FJ0019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10000","1","FJ0019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0" s="15"/>
      <c r="D1080" s="16" t="str">
        <f>"FJ0019"</f>
        <v>FJ0019</v>
      </c>
      <c r="E1080" s="16">
        <v>10000</v>
      </c>
      <c r="F1080" s="16" t="str">
        <f t="shared" ref="F1080:F1086" si="133">"IJ018"</f>
        <v>IJ018</v>
      </c>
      <c r="G1080" s="17" t="str">
        <f t="shared" ref="G1080:G1086" si="134">"Filled 32oz ORG Pomeg Juice bottle"</f>
        <v>Filled 32oz ORG Pomeg Juice bottle</v>
      </c>
      <c r="H1080" s="18" t="str">
        <f t="shared" si="128"/>
        <v>BTLS</v>
      </c>
      <c r="I1080" s="19">
        <v>12</v>
      </c>
      <c r="J1080" s="20">
        <v>12</v>
      </c>
    </row>
    <row r="1081" spans="1:10" ht="15.75" thickBot="1" x14ac:dyDescent="0.3">
      <c r="A1081" t="s">
        <v>31</v>
      </c>
      <c r="B1081" s="15" t="str">
        <f>"""Manzana NAV"",""MANZANA"",""99000772"",""44"","" "",""22"",""False"",""43"",""0.00000000000000000000"",""12"",""Filled 32oz ORG Pomeg Juice bottle"",""50220"",""False"",""29"","""",""50210"",""True"",""18"","""",""11"",""IJ018"",""2"",""20000"",""1"",""FJ0069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20000","1","FJ0069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1" s="15"/>
      <c r="D1081" s="16" t="str">
        <f>"FJ0069"</f>
        <v>FJ0069</v>
      </c>
      <c r="E1081" s="16">
        <v>20000</v>
      </c>
      <c r="F1081" s="16" t="str">
        <f t="shared" si="133"/>
        <v>IJ018</v>
      </c>
      <c r="G1081" s="17" t="str">
        <f t="shared" si="134"/>
        <v>Filled 32oz ORG Pomeg Juice bottle</v>
      </c>
      <c r="H1081" s="18" t="str">
        <f t="shared" si="128"/>
        <v>BTLS</v>
      </c>
      <c r="I1081" s="19">
        <v>12</v>
      </c>
      <c r="J1081" s="20">
        <v>12</v>
      </c>
    </row>
    <row r="1082" spans="1:10" ht="15.75" thickBot="1" x14ac:dyDescent="0.3">
      <c r="A1082" t="s">
        <v>31</v>
      </c>
      <c r="B1082" s="15" t="str">
        <f>"""Manzana NAV"",""MANZANA"",""99000772"",""44"","" "",""22"",""False"",""43"",""0.00000000000000000000"",""12"",""Filled 32oz ORG Pomeg Juice bottle"",""50220"",""False"",""29"","""",""50210"",""True"",""18"","""",""11"",""IJ018"",""2"",""20000"",""1"",""FJ0134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20000","1","FJ0134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2" s="15"/>
      <c r="D1082" s="16" t="str">
        <f>"FJ0134"</f>
        <v>FJ0134</v>
      </c>
      <c r="E1082" s="16">
        <v>20000</v>
      </c>
      <c r="F1082" s="16" t="str">
        <f t="shared" si="133"/>
        <v>IJ018</v>
      </c>
      <c r="G1082" s="17" t="str">
        <f t="shared" si="134"/>
        <v>Filled 32oz ORG Pomeg Juice bottle</v>
      </c>
      <c r="H1082" s="18" t="str">
        <f t="shared" si="128"/>
        <v>BTLS</v>
      </c>
      <c r="I1082" s="19">
        <v>12</v>
      </c>
      <c r="J1082" s="20">
        <v>12</v>
      </c>
    </row>
    <row r="1083" spans="1:10" ht="15.75" thickBot="1" x14ac:dyDescent="0.3">
      <c r="A1083" t="s">
        <v>31</v>
      </c>
      <c r="B1083" s="15" t="str">
        <f>"""Manzana NAV"",""MANZANA"",""99000772"",""44"","" "",""22"",""False"",""43"",""0.00000000000000000000"",""12"",""Filled 32oz ORG Pomeg Juice bottle"",""50220"",""False"",""29"","""",""50210"",""True"",""18"","""",""11"",""IJ018"",""2"",""20000"",""1"",""FJ0207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20000","1","FJ0207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3" s="15"/>
      <c r="D1083" s="16" t="str">
        <f>"FJ0207"</f>
        <v>FJ0207</v>
      </c>
      <c r="E1083" s="16">
        <v>20000</v>
      </c>
      <c r="F1083" s="16" t="str">
        <f t="shared" si="133"/>
        <v>IJ018</v>
      </c>
      <c r="G1083" s="17" t="str">
        <f t="shared" si="134"/>
        <v>Filled 32oz ORG Pomeg Juice bottle</v>
      </c>
      <c r="H1083" s="18" t="str">
        <f t="shared" si="128"/>
        <v>BTLS</v>
      </c>
      <c r="I1083" s="19">
        <v>12</v>
      </c>
      <c r="J1083" s="20">
        <v>12</v>
      </c>
    </row>
    <row r="1084" spans="1:10" ht="15.75" thickBot="1" x14ac:dyDescent="0.3">
      <c r="A1084" t="s">
        <v>31</v>
      </c>
      <c r="B1084" s="15" t="str">
        <f>"""Manzana NAV"",""MANZANA"",""99000772"",""44"","" "",""22"",""False"",""43"",""0.00000000000000000000"",""12"",""Filled 32oz ORG Pomeg Juice bottle"",""50220"",""False"",""29"","""",""50210"",""True"",""18"","""",""11"",""IJ018"",""2"",""30000"",""1"",""FJ0005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30000","1","FJ0005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4" s="15"/>
      <c r="D1084" s="16" t="str">
        <f>"FJ0005"</f>
        <v>FJ0005</v>
      </c>
      <c r="E1084" s="16">
        <v>30000</v>
      </c>
      <c r="F1084" s="16" t="str">
        <f t="shared" si="133"/>
        <v>IJ018</v>
      </c>
      <c r="G1084" s="17" t="str">
        <f t="shared" si="134"/>
        <v>Filled 32oz ORG Pomeg Juice bottle</v>
      </c>
      <c r="H1084" s="18" t="str">
        <f t="shared" si="128"/>
        <v>BTLS</v>
      </c>
      <c r="I1084" s="19">
        <v>12</v>
      </c>
      <c r="J1084" s="20">
        <v>12</v>
      </c>
    </row>
    <row r="1085" spans="1:10" ht="15.75" thickBot="1" x14ac:dyDescent="0.3">
      <c r="A1085" t="s">
        <v>31</v>
      </c>
      <c r="B1085" s="15" t="str">
        <f>"""Manzana NAV"",""MANZANA"",""99000772"",""44"","" "",""22"",""False"",""43"",""0.00000000000000000000"",""12"",""Filled 32oz ORG Pomeg Juice bottle"",""50220"",""False"",""29"","""",""50210"",""True"",""18"","""",""11"",""IJ018"",""2"",""30000"",""1"",""FJ0026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30000","1","FJ0026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5" s="15"/>
      <c r="D1085" s="16" t="str">
        <f>"FJ0026"</f>
        <v>FJ0026</v>
      </c>
      <c r="E1085" s="16">
        <v>30000</v>
      </c>
      <c r="F1085" s="16" t="str">
        <f t="shared" si="133"/>
        <v>IJ018</v>
      </c>
      <c r="G1085" s="17" t="str">
        <f t="shared" si="134"/>
        <v>Filled 32oz ORG Pomeg Juice bottle</v>
      </c>
      <c r="H1085" s="18" t="str">
        <f t="shared" si="128"/>
        <v>BTLS</v>
      </c>
      <c r="I1085" s="19">
        <v>12</v>
      </c>
      <c r="J1085" s="20">
        <v>12</v>
      </c>
    </row>
    <row r="1086" spans="1:10" ht="15.75" thickBot="1" x14ac:dyDescent="0.3">
      <c r="A1086" t="s">
        <v>31</v>
      </c>
      <c r="B1086" s="15" t="str">
        <f>"""Manzana NAV"",""MANZANA"",""99000772"",""44"","" "",""22"",""False"",""43"",""0.00000000000000000000"",""12"",""Filled 32oz ORG Pomeg Juice bottle"",""50220"",""False"",""29"","""",""50210"",""True"",""18"","""",""11"",""IJ018"",""2"",""30000"",""1"",""FJ0237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30000","1","FJ0237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6" s="15"/>
      <c r="D1086" s="16" t="str">
        <f>"FJ0237"</f>
        <v>FJ0237</v>
      </c>
      <c r="E1086" s="16">
        <v>30000</v>
      </c>
      <c r="F1086" s="16" t="str">
        <f t="shared" si="133"/>
        <v>IJ018</v>
      </c>
      <c r="G1086" s="17" t="str">
        <f t="shared" si="134"/>
        <v>Filled 32oz ORG Pomeg Juice bottle</v>
      </c>
      <c r="H1086" s="18" t="str">
        <f t="shared" si="128"/>
        <v>BTLS</v>
      </c>
      <c r="I1086" s="19">
        <v>12</v>
      </c>
      <c r="J1086" s="20">
        <v>12</v>
      </c>
    </row>
    <row r="1087" spans="1:10" ht="15.75" thickBot="1" x14ac:dyDescent="0.3">
      <c r="A1087" t="s">
        <v>31</v>
      </c>
      <c r="B1087" s="15" t="str">
        <f>"""Manzana NAV"",""MANZANA"",""99000772"",""44"","" "",""22"",""False"",""43"",""0.00000000000000000000"",""12"",""Filled 32oz ORG Spiced Cider bottle"",""50220"",""False"",""29"","""",""50210"",""True"",""18"","""",""11"",""IJ017"",""2"",""10000"",""1"",""FJ0145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10000","1","FJ0145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7" s="15"/>
      <c r="D1087" s="16" t="str">
        <f>"FJ0145"</f>
        <v>FJ0145</v>
      </c>
      <c r="E1087" s="16">
        <v>10000</v>
      </c>
      <c r="F1087" s="16" t="str">
        <f>"IJ017"</f>
        <v>IJ017</v>
      </c>
      <c r="G1087" s="17" t="str">
        <f>"Filled 32oz ORG Spiced Cider bottle"</f>
        <v>Filled 32oz ORG Spiced Cider bottle</v>
      </c>
      <c r="H1087" s="18" t="str">
        <f t="shared" si="128"/>
        <v>BTLS</v>
      </c>
      <c r="I1087" s="19">
        <v>12</v>
      </c>
      <c r="J1087" s="20">
        <v>12</v>
      </c>
    </row>
    <row r="1088" spans="1:10" ht="15.75" thickBot="1" x14ac:dyDescent="0.3">
      <c r="A1088" t="s">
        <v>31</v>
      </c>
      <c r="B1088" s="15" t="str">
        <f>"""Manzana NAV"",""MANZANA"",""99000772"",""44"","" "",""22"",""False"",""43"",""0.00000000000000000000"",""12"",""Filled 32oz ORG Spiced Cider bottle"",""50220"",""False"",""29"","""",""50210"",""True"",""18"","""",""11"",""IJ017"",""2"",""20000"",""1"",""FJ0093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20000","1","FJ0093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8" s="15"/>
      <c r="D1088" s="16" t="str">
        <f>"FJ0093"</f>
        <v>FJ0093</v>
      </c>
      <c r="E1088" s="16">
        <v>20000</v>
      </c>
      <c r="F1088" s="16" t="str">
        <f>"IJ017"</f>
        <v>IJ017</v>
      </c>
      <c r="G1088" s="17" t="str">
        <f>"Filled 32oz ORG Spiced Cider bottle"</f>
        <v>Filled 32oz ORG Spiced Cider bottle</v>
      </c>
      <c r="H1088" s="18" t="str">
        <f t="shared" si="128"/>
        <v>BTLS</v>
      </c>
      <c r="I1088" s="19">
        <v>12</v>
      </c>
      <c r="J1088" s="20">
        <v>12</v>
      </c>
    </row>
    <row r="1089" spans="1:10" ht="15.75" thickBot="1" x14ac:dyDescent="0.3">
      <c r="A1089" t="s">
        <v>31</v>
      </c>
      <c r="B1089" s="15" t="str">
        <f>"""Manzana NAV"",""MANZANA"",""99000772"",""44"","" "",""22"",""False"",""43"",""0.00000000000000000000"",""12"",""Filled 32oz ORG Spiced Cider bottle"",""50220"",""False"",""29"","""",""50210"",""True"",""18"","""",""11"",""IJ017"",""2"",""20000"",""1"",""FJ0100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20000","1","FJ0100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9" s="15"/>
      <c r="D1089" s="16" t="str">
        <f>"FJ0100"</f>
        <v>FJ0100</v>
      </c>
      <c r="E1089" s="16">
        <v>20000</v>
      </c>
      <c r="F1089" s="16" t="str">
        <f>"IJ017"</f>
        <v>IJ017</v>
      </c>
      <c r="G1089" s="17" t="str">
        <f>"Filled 32oz ORG Spiced Cider bottle"</f>
        <v>Filled 32oz ORG Spiced Cider bottle</v>
      </c>
      <c r="H1089" s="18" t="str">
        <f t="shared" si="128"/>
        <v>BTLS</v>
      </c>
      <c r="I1089" s="19">
        <v>12</v>
      </c>
      <c r="J1089" s="20">
        <v>12</v>
      </c>
    </row>
    <row r="1090" spans="1:10" ht="15.75" thickBot="1" x14ac:dyDescent="0.3">
      <c r="A1090" t="s">
        <v>31</v>
      </c>
      <c r="B1090" s="15" t="str">
        <f>"""Manzana NAV"",""MANZANA"",""99000772"",""44"","" "",""22"",""False"",""43"",""0.00000000000000000000"",""12"",""Filled 32oz ORG Spiced Cider bottle"",""50220"",""False"",""29"","""",""50210"",""True"",""18"","""",""11"",""IJ017"",""2"",""20000"",""1"",""FJ0202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20000","1","FJ0202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0" s="15"/>
      <c r="D1090" s="16" t="str">
        <f>"FJ0202"</f>
        <v>FJ0202</v>
      </c>
      <c r="E1090" s="16">
        <v>20000</v>
      </c>
      <c r="F1090" s="16" t="str">
        <f>"IJ017"</f>
        <v>IJ017</v>
      </c>
      <c r="G1090" s="17" t="str">
        <f>"Filled 32oz ORG Spiced Cider bottle"</f>
        <v>Filled 32oz ORG Spiced Cider bottle</v>
      </c>
      <c r="H1090" s="18" t="str">
        <f t="shared" si="128"/>
        <v>BTLS</v>
      </c>
      <c r="I1090" s="19">
        <v>12</v>
      </c>
      <c r="J1090" s="20">
        <v>12</v>
      </c>
    </row>
    <row r="1091" spans="1:10" ht="15.75" thickBot="1" x14ac:dyDescent="0.3">
      <c r="A1091" t="s">
        <v>31</v>
      </c>
      <c r="B1091" s="15" t="str">
        <f>"""Manzana NAV"",""MANZANA"",""99000772"",""44"","" "",""22"",""False"",""43"",""0.00000000000000000000"",""12"",""Filled 32oz ORG Spiced Cider bottle"",""50220"",""False"",""29"","""",""50210"",""True"",""18"","""",""11"",""IJ017"",""2"",""30000"",""1"",""FJ0027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30000","1","FJ0027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1" s="15"/>
      <c r="D1091" s="16" t="str">
        <f>"FJ0027"</f>
        <v>FJ0027</v>
      </c>
      <c r="E1091" s="16">
        <v>30000</v>
      </c>
      <c r="F1091" s="16" t="str">
        <f>"IJ017"</f>
        <v>IJ017</v>
      </c>
      <c r="G1091" s="17" t="str">
        <f>"Filled 32oz ORG Spiced Cider bottle"</f>
        <v>Filled 32oz ORG Spiced Cider bottle</v>
      </c>
      <c r="H1091" s="18" t="str">
        <f t="shared" si="128"/>
        <v>BTLS</v>
      </c>
      <c r="I1091" s="19">
        <v>12</v>
      </c>
      <c r="J1091" s="20">
        <v>12</v>
      </c>
    </row>
    <row r="1092" spans="1:10" ht="15.75" thickBot="1" x14ac:dyDescent="0.3">
      <c r="A1092" t="s">
        <v>31</v>
      </c>
      <c r="B1092" s="15" t="str">
        <f>"""Manzana NAV"",""MANZANA"",""99000772"",""44"","" "",""22"",""False"",""43"",""0.00000000000000000000"",""12"",""Filled 32oz ORG Vinegar amber bottle"",""50220"",""False"",""29"","""",""50210"",""True"",""18"","""",""11"",""IV017"",""2"",""10000"",""1"",""FV0047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amber bottle","50220","False","29","","50210","True","18","","11","IV017","2","10000","1","FV0047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2" s="15"/>
      <c r="D1092" s="16" t="str">
        <f>"FV0047"</f>
        <v>FV0047</v>
      </c>
      <c r="E1092" s="16">
        <v>10000</v>
      </c>
      <c r="F1092" s="16" t="str">
        <f>"IV017"</f>
        <v>IV017</v>
      </c>
      <c r="G1092" s="17" t="str">
        <f>"Filled 32oz ORG Vinegar amber bottle"</f>
        <v>Filled 32oz ORG Vinegar amber bottle</v>
      </c>
      <c r="H1092" s="18" t="str">
        <f t="shared" si="128"/>
        <v>BTLS</v>
      </c>
      <c r="I1092" s="19">
        <v>12</v>
      </c>
      <c r="J1092" s="20">
        <v>12</v>
      </c>
    </row>
    <row r="1093" spans="1:10" ht="15.75" thickBot="1" x14ac:dyDescent="0.3">
      <c r="A1093" t="s">
        <v>31</v>
      </c>
      <c r="B1093" s="15" t="str">
        <f>"""Manzana NAV"",""MANZANA"",""99000772"",""44"","" "",""22"",""False"",""43"",""0.00000000000000000000"",""12"",""Filled 32oz ORG Vinegar amber bottle"",""50220"",""False"",""29"","""",""50210"",""True"",""18"","""",""11"",""IV017"",""2"",""20000"",""1"",""FV0043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amber bottle","50220","False","29","","50210","True","18","","11","IV017","2","20000","1","FV0043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3" s="15"/>
      <c r="D1093" s="16" t="str">
        <f>"FV0043"</f>
        <v>FV0043</v>
      </c>
      <c r="E1093" s="16">
        <v>20000</v>
      </c>
      <c r="F1093" s="16" t="str">
        <f>"IV017"</f>
        <v>IV017</v>
      </c>
      <c r="G1093" s="17" t="str">
        <f>"Filled 32oz ORG Vinegar amber bottle"</f>
        <v>Filled 32oz ORG Vinegar amber bottle</v>
      </c>
      <c r="H1093" s="18" t="str">
        <f t="shared" si="128"/>
        <v>BTLS</v>
      </c>
      <c r="I1093" s="19">
        <v>12</v>
      </c>
      <c r="J1093" s="20">
        <v>12</v>
      </c>
    </row>
    <row r="1094" spans="1:10" ht="15.75" thickBot="1" x14ac:dyDescent="0.3">
      <c r="A1094" t="s">
        <v>31</v>
      </c>
      <c r="B1094" s="15" t="str">
        <f>"""Manzana NAV"",""MANZANA"",""99000772"",""44"","" "",""22"",""False"",""43"",""0.00000000000000000000"",""12"",""Filled 32oz ORG Vinegar bottle"",""50220"",""False"",""29"","""",""50210"",""True"",""18"","""",""11"",""IV003"",""2"",""10000"",""1"",""FV0027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10000","1","FV0027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4" s="15"/>
      <c r="D1094" s="16" t="str">
        <f>"FV0027"</f>
        <v>FV0027</v>
      </c>
      <c r="E1094" s="16">
        <v>10000</v>
      </c>
      <c r="F1094" s="16" t="str">
        <f t="shared" ref="F1094:F1109" si="135">"IV003"</f>
        <v>IV003</v>
      </c>
      <c r="G1094" s="17" t="str">
        <f t="shared" ref="G1094:G1109" si="136">"Filled 32oz ORG Vinegar bottle"</f>
        <v>Filled 32oz ORG Vinegar bottle</v>
      </c>
      <c r="H1094" s="18" t="str">
        <f t="shared" si="128"/>
        <v>BTLS</v>
      </c>
      <c r="I1094" s="19">
        <v>12</v>
      </c>
      <c r="J1094" s="20">
        <v>12</v>
      </c>
    </row>
    <row r="1095" spans="1:10" ht="15.75" thickBot="1" x14ac:dyDescent="0.3">
      <c r="A1095" t="s">
        <v>31</v>
      </c>
      <c r="B1095" s="15" t="str">
        <f>"""Manzana NAV"",""MANZANA"",""99000772"",""44"","" "",""22"",""False"",""43"",""0.00000000000000000000"",""12"",""Filled 32oz ORG Vinegar bottle"",""50220"",""False"",""29"","""",""50210"",""True"",""18"","""",""11"",""IV003"",""2"",""10000"",""1"",""FV0030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10000","1","FV0030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5" s="15"/>
      <c r="D1095" s="16" t="str">
        <f>"FV0030"</f>
        <v>FV0030</v>
      </c>
      <c r="E1095" s="16">
        <v>10000</v>
      </c>
      <c r="F1095" s="16" t="str">
        <f t="shared" si="135"/>
        <v>IV003</v>
      </c>
      <c r="G1095" s="17" t="str">
        <f t="shared" si="136"/>
        <v>Filled 32oz ORG Vinegar bottle</v>
      </c>
      <c r="H1095" s="18" t="str">
        <f t="shared" si="128"/>
        <v>BTLS</v>
      </c>
      <c r="I1095" s="19">
        <v>12</v>
      </c>
      <c r="J1095" s="20">
        <v>12</v>
      </c>
    </row>
    <row r="1096" spans="1:10" ht="15.75" thickBot="1" x14ac:dyDescent="0.3">
      <c r="A1096" t="s">
        <v>31</v>
      </c>
      <c r="B1096" s="15" t="str">
        <f>"""Manzana NAV"",""MANZANA"",""99000772"",""44"","" "",""22"",""False"",""43"",""0.00000000000000000000"",""12"",""Filled 32oz ORG Vinegar bottle"",""50220"",""False"",""29"","""",""50210"",""True"",""18"","""",""11"",""IV003"",""2"",""20000"",""1"",""FV0038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0038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6" s="15"/>
      <c r="D1096" s="16" t="str">
        <f>"FV0038"</f>
        <v>FV0038</v>
      </c>
      <c r="E1096" s="16">
        <v>20000</v>
      </c>
      <c r="F1096" s="16" t="str">
        <f t="shared" si="135"/>
        <v>IV003</v>
      </c>
      <c r="G1096" s="17" t="str">
        <f t="shared" si="136"/>
        <v>Filled 32oz ORG Vinegar bottle</v>
      </c>
      <c r="H1096" s="18" t="str">
        <f t="shared" si="128"/>
        <v>BTLS</v>
      </c>
      <c r="I1096" s="19">
        <v>12</v>
      </c>
      <c r="J1096" s="20">
        <v>12</v>
      </c>
    </row>
    <row r="1097" spans="1:10" ht="15.75" thickBot="1" x14ac:dyDescent="0.3">
      <c r="A1097" t="s">
        <v>31</v>
      </c>
      <c r="B1097" s="15" t="str">
        <f>"""Manzana NAV"",""MANZANA"",""99000772"",""44"","" "",""22"",""False"",""43"",""0.00000000000000000000"",""12"",""Filled 32oz ORG Vinegar bottle"",""50220"",""False"",""29"","""",""50210"",""True"",""18"","""",""11"",""IV003"",""2"",""20000"",""1"",""FV0039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0039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7" s="15"/>
      <c r="D1097" s="16" t="str">
        <f>"FV0039"</f>
        <v>FV0039</v>
      </c>
      <c r="E1097" s="16">
        <v>20000</v>
      </c>
      <c r="F1097" s="16" t="str">
        <f t="shared" si="135"/>
        <v>IV003</v>
      </c>
      <c r="G1097" s="17" t="str">
        <f t="shared" si="136"/>
        <v>Filled 32oz ORG Vinegar bottle</v>
      </c>
      <c r="H1097" s="18" t="str">
        <f t="shared" si="128"/>
        <v>BTLS</v>
      </c>
      <c r="I1097" s="19">
        <v>12</v>
      </c>
      <c r="J1097" s="20">
        <v>12</v>
      </c>
    </row>
    <row r="1098" spans="1:10" ht="15.75" thickBot="1" x14ac:dyDescent="0.3">
      <c r="A1098" t="s">
        <v>31</v>
      </c>
      <c r="B1098" s="15" t="str">
        <f>"""Manzana NAV"",""MANZANA"",""99000772"",""44"","" "",""22"",""False"",""43"",""0.00000000000000000000"",""12"",""Filled 32oz ORG Vinegar bottle"",""50220"",""False"",""29"","""",""50210"",""True"",""18"","""",""11"",""IV003"",""2"",""20000"",""1"",""FV0040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0040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8" s="15"/>
      <c r="D1098" s="16" t="str">
        <f>"FV0040"</f>
        <v>FV0040</v>
      </c>
      <c r="E1098" s="16">
        <v>20000</v>
      </c>
      <c r="F1098" s="16" t="str">
        <f t="shared" si="135"/>
        <v>IV003</v>
      </c>
      <c r="G1098" s="17" t="str">
        <f t="shared" si="136"/>
        <v>Filled 32oz ORG Vinegar bottle</v>
      </c>
      <c r="H1098" s="18" t="str">
        <f t="shared" si="128"/>
        <v>BTLS</v>
      </c>
      <c r="I1098" s="19">
        <v>12</v>
      </c>
      <c r="J1098" s="20">
        <v>12</v>
      </c>
    </row>
    <row r="1099" spans="1:10" ht="15.75" thickBot="1" x14ac:dyDescent="0.3">
      <c r="A1099" t="s">
        <v>31</v>
      </c>
      <c r="B1099" s="15" t="str">
        <f>"""Manzana NAV"",""MANZANA"",""99000772"",""44"","" "",""22"",""False"",""43"",""0.00000000000000000000"",""12"",""Filled 32oz ORG Vinegar bottle"",""50220"",""False"",""29"","""",""50210"",""True"",""18"","""",""11"",""IV003"",""2"",""20000"",""1"",""FV0041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0041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9" s="15"/>
      <c r="D1099" s="16" t="str">
        <f>"FV0041"</f>
        <v>FV0041</v>
      </c>
      <c r="E1099" s="16">
        <v>20000</v>
      </c>
      <c r="F1099" s="16" t="str">
        <f t="shared" si="135"/>
        <v>IV003</v>
      </c>
      <c r="G1099" s="17" t="str">
        <f t="shared" si="136"/>
        <v>Filled 32oz ORG Vinegar bottle</v>
      </c>
      <c r="H1099" s="18" t="str">
        <f t="shared" si="128"/>
        <v>BTLS</v>
      </c>
      <c r="I1099" s="19">
        <v>12</v>
      </c>
      <c r="J1099" s="20">
        <v>12</v>
      </c>
    </row>
    <row r="1100" spans="1:10" ht="15.75" thickBot="1" x14ac:dyDescent="0.3">
      <c r="A1100" t="s">
        <v>31</v>
      </c>
      <c r="B1100" s="15" t="str">
        <f>"""Manzana NAV"",""MANZANA"",""99000772"",""44"","" "",""22"",""False"",""43"",""0.00000000000000000000"",""12"",""Filled 32oz ORG Vinegar bottle"",""50220"",""False"",""29"","""",""50210"",""True"",""18"","""",""11"",""IV003"",""2"",""30000"",""1"",""FV0019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30000","1","FV0019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0" s="15"/>
      <c r="D1100" s="16" t="str">
        <f>"FV0019"</f>
        <v>FV0019</v>
      </c>
      <c r="E1100" s="16">
        <v>30000</v>
      </c>
      <c r="F1100" s="16" t="str">
        <f t="shared" si="135"/>
        <v>IV003</v>
      </c>
      <c r="G1100" s="17" t="str">
        <f t="shared" si="136"/>
        <v>Filled 32oz ORG Vinegar bottle</v>
      </c>
      <c r="H1100" s="18" t="str">
        <f t="shared" si="128"/>
        <v>BTLS</v>
      </c>
      <c r="I1100" s="19">
        <v>12</v>
      </c>
      <c r="J1100" s="20">
        <v>12</v>
      </c>
    </row>
    <row r="1101" spans="1:10" ht="15.75" thickBot="1" x14ac:dyDescent="0.3">
      <c r="A1101" t="s">
        <v>31</v>
      </c>
      <c r="B1101" s="15" t="str">
        <f>"""Manzana NAV"",""MANZANA"",""99000772"",""44"","" "",""22"",""False"",""43"",""0.00000000000000000000"",""12"",""Filled 32oz ORG Vinegar bottle"",""50220"",""False"",""29"","""",""50210"",""True"",""18"","""",""11"",""IV003"",""2"",""30000"",""1"",""FV0031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30000","1","FV0031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1" s="15"/>
      <c r="D1101" s="16" t="str">
        <f>"FV0031"</f>
        <v>FV0031</v>
      </c>
      <c r="E1101" s="16">
        <v>30000</v>
      </c>
      <c r="F1101" s="16" t="str">
        <f t="shared" si="135"/>
        <v>IV003</v>
      </c>
      <c r="G1101" s="17" t="str">
        <f t="shared" si="136"/>
        <v>Filled 32oz ORG Vinegar bottle</v>
      </c>
      <c r="H1101" s="18" t="str">
        <f t="shared" si="128"/>
        <v>BTLS</v>
      </c>
      <c r="I1101" s="19">
        <v>12</v>
      </c>
      <c r="J1101" s="20">
        <v>12</v>
      </c>
    </row>
    <row r="1102" spans="1:10" ht="15.75" thickBot="1" x14ac:dyDescent="0.3">
      <c r="A1102" t="s">
        <v>31</v>
      </c>
      <c r="B1102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0001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2" s="15"/>
      <c r="D1102" s="16" t="str">
        <f>"FV0001"</f>
        <v>FV0001</v>
      </c>
      <c r="E1102" s="16">
        <v>40000</v>
      </c>
      <c r="F1102" s="16" t="str">
        <f t="shared" si="135"/>
        <v>IV003</v>
      </c>
      <c r="G1102" s="17" t="str">
        <f t="shared" si="136"/>
        <v>Filled 32oz ORG Vinegar bottle</v>
      </c>
      <c r="H1102" s="18" t="str">
        <f t="shared" si="128"/>
        <v>BTLS</v>
      </c>
      <c r="I1102" s="19">
        <v>12</v>
      </c>
      <c r="J1102" s="20">
        <v>12</v>
      </c>
    </row>
    <row r="1103" spans="1:10" ht="15.75" thickBot="1" x14ac:dyDescent="0.3">
      <c r="A1103" t="s">
        <v>31</v>
      </c>
      <c r="B1103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0002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3" s="15"/>
      <c r="D1103" s="16" t="str">
        <f>"FV0002"</f>
        <v>FV0002</v>
      </c>
      <c r="E1103" s="16">
        <v>40000</v>
      </c>
      <c r="F1103" s="16" t="str">
        <f t="shared" si="135"/>
        <v>IV003</v>
      </c>
      <c r="G1103" s="17" t="str">
        <f t="shared" si="136"/>
        <v>Filled 32oz ORG Vinegar bottle</v>
      </c>
      <c r="H1103" s="18" t="str">
        <f t="shared" si="128"/>
        <v>BTLS</v>
      </c>
      <c r="I1103" s="19">
        <v>12</v>
      </c>
      <c r="J1103" s="20">
        <v>12</v>
      </c>
    </row>
    <row r="1104" spans="1:10" ht="15.75" thickBot="1" x14ac:dyDescent="0.3">
      <c r="A1104" t="s">
        <v>31</v>
      </c>
      <c r="B1104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0006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4" s="15"/>
      <c r="D1104" s="16" t="str">
        <f>"FV0006"</f>
        <v>FV0006</v>
      </c>
      <c r="E1104" s="16">
        <v>40000</v>
      </c>
      <c r="F1104" s="16" t="str">
        <f t="shared" si="135"/>
        <v>IV003</v>
      </c>
      <c r="G1104" s="17" t="str">
        <f t="shared" si="136"/>
        <v>Filled 32oz ORG Vinegar bottle</v>
      </c>
      <c r="H1104" s="18" t="str">
        <f t="shared" si="128"/>
        <v>BTLS</v>
      </c>
      <c r="I1104" s="19">
        <v>12</v>
      </c>
      <c r="J1104" s="20">
        <v>12</v>
      </c>
    </row>
    <row r="1105" spans="1:10" ht="15.75" thickBot="1" x14ac:dyDescent="0.3">
      <c r="A1105" t="s">
        <v>31</v>
      </c>
      <c r="B1105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0009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5" s="15"/>
      <c r="D1105" s="16" t="str">
        <f>"FV0009"</f>
        <v>FV0009</v>
      </c>
      <c r="E1105" s="16">
        <v>40000</v>
      </c>
      <c r="F1105" s="16" t="str">
        <f t="shared" si="135"/>
        <v>IV003</v>
      </c>
      <c r="G1105" s="17" t="str">
        <f t="shared" si="136"/>
        <v>Filled 32oz ORG Vinegar bottle</v>
      </c>
      <c r="H1105" s="18" t="str">
        <f t="shared" si="128"/>
        <v>BTLS</v>
      </c>
      <c r="I1105" s="19">
        <v>12</v>
      </c>
      <c r="J1105" s="20">
        <v>12</v>
      </c>
    </row>
    <row r="1106" spans="1:10" ht="15.75" thickBot="1" x14ac:dyDescent="0.3">
      <c r="A1106" t="s">
        <v>31</v>
      </c>
      <c r="B1106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0011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6" s="15"/>
      <c r="D1106" s="16" t="str">
        <f>"FV0011"</f>
        <v>FV0011</v>
      </c>
      <c r="E1106" s="16">
        <v>40000</v>
      </c>
      <c r="F1106" s="16" t="str">
        <f t="shared" si="135"/>
        <v>IV003</v>
      </c>
      <c r="G1106" s="17" t="str">
        <f t="shared" si="136"/>
        <v>Filled 32oz ORG Vinegar bottle</v>
      </c>
      <c r="H1106" s="18" t="str">
        <f t="shared" ref="H1106:H1141" si="137">"BTLS"</f>
        <v>BTLS</v>
      </c>
      <c r="I1106" s="19">
        <v>12</v>
      </c>
      <c r="J1106" s="20">
        <v>12</v>
      </c>
    </row>
    <row r="1107" spans="1:10" ht="15.75" thickBot="1" x14ac:dyDescent="0.3">
      <c r="A1107" t="s">
        <v>31</v>
      </c>
      <c r="B1107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0013B"",""14"",""12.00000000000000000000"",""45"",""12.0000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0013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7" s="15"/>
      <c r="D1107" s="16" t="str">
        <f>"FV0013B"</f>
        <v>FV0013B</v>
      </c>
      <c r="E1107" s="16">
        <v>40000</v>
      </c>
      <c r="F1107" s="16" t="str">
        <f t="shared" si="135"/>
        <v>IV003</v>
      </c>
      <c r="G1107" s="17" t="str">
        <f t="shared" si="136"/>
        <v>Filled 32oz ORG Vinegar bottle</v>
      </c>
      <c r="H1107" s="18" t="str">
        <f t="shared" si="137"/>
        <v>BTLS</v>
      </c>
      <c r="I1107" s="19">
        <v>12</v>
      </c>
      <c r="J1107" s="20">
        <v>12</v>
      </c>
    </row>
    <row r="1108" spans="1:10" ht="15.75" thickBot="1" x14ac:dyDescent="0.3">
      <c r="A1108" t="s">
        <v>31</v>
      </c>
      <c r="B1108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0016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8" s="15"/>
      <c r="D1108" s="16" t="str">
        <f>"FV0016"</f>
        <v>FV0016</v>
      </c>
      <c r="E1108" s="16">
        <v>40000</v>
      </c>
      <c r="F1108" s="16" t="str">
        <f t="shared" si="135"/>
        <v>IV003</v>
      </c>
      <c r="G1108" s="17" t="str">
        <f t="shared" si="136"/>
        <v>Filled 32oz ORG Vinegar bottle</v>
      </c>
      <c r="H1108" s="18" t="str">
        <f t="shared" si="137"/>
        <v>BTLS</v>
      </c>
      <c r="I1108" s="19">
        <v>12</v>
      </c>
      <c r="J1108" s="20">
        <v>12</v>
      </c>
    </row>
    <row r="1109" spans="1:10" ht="15.75" thickBot="1" x14ac:dyDescent="0.3">
      <c r="A1109" t="s">
        <v>31</v>
      </c>
      <c r="B1109" s="15" t="str">
        <f>"""Manzana NAV"",""MANZANA"",""99000772"",""44"","" "",""22"",""False"",""43"",""0.00000000000000000000"",""12"",""Filled 32oz ORG Vinegar bottle"",""50220"",""False"",""29"","""",""50210"",""True"",""18"","""",""11"",""IV003"",""2"",""40000"",""1"",""FV0017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9" s="15"/>
      <c r="D1109" s="16" t="str">
        <f>"FV0017"</f>
        <v>FV0017</v>
      </c>
      <c r="E1109" s="16">
        <v>40000</v>
      </c>
      <c r="F1109" s="16" t="str">
        <f t="shared" si="135"/>
        <v>IV003</v>
      </c>
      <c r="G1109" s="17" t="str">
        <f t="shared" si="136"/>
        <v>Filled 32oz ORG Vinegar bottle</v>
      </c>
      <c r="H1109" s="18" t="str">
        <f t="shared" si="137"/>
        <v>BTLS</v>
      </c>
      <c r="I1109" s="19">
        <v>12</v>
      </c>
      <c r="J1109" s="20">
        <v>12</v>
      </c>
    </row>
    <row r="1110" spans="1:10" ht="15.75" thickBot="1" x14ac:dyDescent="0.3">
      <c r="A1110" t="s">
        <v>31</v>
      </c>
      <c r="B1110" s="15" t="str">
        <f>"""Manzana NAV"",""MANZANA"",""99000772"",""44"","" "",""22"",""False"",""43"",""0.00000000000000000000"",""12"",""Filled 33oz NAT Blend Sauce jar"",""50220"",""False"",""29"","""",""50210"",""True"",""18"","""",""11"",""ISJ004"",""2"",""20000"",""1"",""FS0047"",""14"",""12.00000000000000000000"",""45"",""12.000"&amp;"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33oz NAT Blend Sauce jar","50220","False","29","","50210","True","18","","11","ISJ004","2","20000","1","FS0047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10" s="15"/>
      <c r="D1110" s="16" t="str">
        <f>"FS0047"</f>
        <v>FS0047</v>
      </c>
      <c r="E1110" s="16">
        <v>20000</v>
      </c>
      <c r="F1110" s="16" t="str">
        <f>"ISJ004"</f>
        <v>ISJ004</v>
      </c>
      <c r="G1110" s="17" t="str">
        <f>"Filled 33oz NAT Blend Sauce jar"</f>
        <v>Filled 33oz NAT Blend Sauce jar</v>
      </c>
      <c r="H1110" s="18" t="str">
        <f>"JARS"</f>
        <v>JARS</v>
      </c>
      <c r="I1110" s="19">
        <v>12</v>
      </c>
      <c r="J1110" s="20">
        <v>12</v>
      </c>
    </row>
    <row r="1111" spans="1:10" ht="15.75" thickBot="1" x14ac:dyDescent="0.3">
      <c r="A1111" t="s">
        <v>31</v>
      </c>
      <c r="B1111" s="15" t="str">
        <f>"""Manzana NAV"",""MANZANA"",""99000772"",""44"","" "",""22"",""False"",""43"",""0.00000000000000000000"",""12"",""Filled 48oz NAT Blend Juice bottle"",""50220"",""False"",""29"","""",""50210"",""True"",""18"","""",""11"",""IJ116"",""2"",""10000"",""1"",""FJ0214"",""14"",""8.00000000000000000000"",""45"",""8.000"&amp;"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NAT Blend Juice bottle","50220","False","29","","50210","True","18","","11","IJ116","2","10000","1","FJ0214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1" s="15"/>
      <c r="D1111" s="16" t="str">
        <f>"FJ0214"</f>
        <v>FJ0214</v>
      </c>
      <c r="E1111" s="16">
        <v>10000</v>
      </c>
      <c r="F1111" s="16" t="str">
        <f>"IJ116"</f>
        <v>IJ116</v>
      </c>
      <c r="G1111" s="17" t="str">
        <f>"Filled 48oz NAT Blend Juice bottle"</f>
        <v>Filled 48oz NAT Blend Juice bottle</v>
      </c>
      <c r="H1111" s="18" t="str">
        <f t="shared" ref="H1111:H1174" si="138">"BTLS"</f>
        <v>BTLS</v>
      </c>
      <c r="I1111" s="19">
        <v>8</v>
      </c>
      <c r="J1111" s="20">
        <v>8</v>
      </c>
    </row>
    <row r="1112" spans="1:10" ht="15.75" thickBot="1" x14ac:dyDescent="0.3">
      <c r="A1112" t="s">
        <v>31</v>
      </c>
      <c r="B1112" s="15" t="str">
        <f>"""Manzana NAV"",""MANZANA"",""99000772"",""44"","" "",""22"",""False"",""43"",""0.00000000000000000000"",""12"",""Filled 48oz NAT Blend Juice bottle"",""50220"",""False"",""29"","""",""50210"",""True"",""18"","""",""11"",""IJ116"",""2"",""20000"",""1"",""FJ0126"",""14"",""8.00000000000000000000"",""45"",""8.000"&amp;"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NAT Blend Juice bottle","50220","False","29","","50210","True","18","","11","IJ116","2","20000","1","FJ0126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2" s="15"/>
      <c r="D1112" s="16" t="str">
        <f>"FJ0126"</f>
        <v>FJ0126</v>
      </c>
      <c r="E1112" s="16">
        <v>20000</v>
      </c>
      <c r="F1112" s="16" t="str">
        <f>"IJ116"</f>
        <v>IJ116</v>
      </c>
      <c r="G1112" s="17" t="str">
        <f>"Filled 48oz NAT Blend Juice bottle"</f>
        <v>Filled 48oz NAT Blend Juice bottle</v>
      </c>
      <c r="H1112" s="18" t="str">
        <f t="shared" si="138"/>
        <v>BTLS</v>
      </c>
      <c r="I1112" s="19">
        <v>8</v>
      </c>
      <c r="J1112" s="20">
        <v>8</v>
      </c>
    </row>
    <row r="1113" spans="1:10" ht="15.75" thickBot="1" x14ac:dyDescent="0.3">
      <c r="A1113" t="s">
        <v>31</v>
      </c>
      <c r="B1113" s="15" t="str">
        <f>"""Manzana NAV"",""MANZANA"",""99000772"",""44"","" "",""22"",""False"",""43"",""0.00000000000000000000"",""12"",""Filled 48oz ORG Blend Juice bottle"",""50220"",""False"",""29"","""",""50210"",""True"",""18"","""",""11"",""IJ003"",""2"",""20000"",""1"",""FJ0119B"",""14"",""8.00000000000000000000"",""45"",""8.00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Blend Juice bottle","50220","False","29","","50210","True","18","","11","IJ003","2","20000","1","FJ0119B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3" s="15"/>
      <c r="D1113" s="16" t="str">
        <f>"FJ0119B"</f>
        <v>FJ0119B</v>
      </c>
      <c r="E1113" s="16">
        <v>20000</v>
      </c>
      <c r="F1113" s="16" t="str">
        <f>"IJ003"</f>
        <v>IJ003</v>
      </c>
      <c r="G1113" s="17" t="str">
        <f>"Filled 48oz ORG Blend Juice bottle"</f>
        <v>Filled 48oz ORG Blend Juice bottle</v>
      </c>
      <c r="H1113" s="18" t="str">
        <f t="shared" si="138"/>
        <v>BTLS</v>
      </c>
      <c r="I1113" s="19">
        <v>8</v>
      </c>
      <c r="J1113" s="20">
        <v>8</v>
      </c>
    </row>
    <row r="1114" spans="1:10" ht="15.75" thickBot="1" x14ac:dyDescent="0.3">
      <c r="A1114" t="s">
        <v>31</v>
      </c>
      <c r="B1114" s="15" t="str">
        <f>"""Manzana NAV"",""MANZANA"",""99000772"",""44"","" "",""22"",""False"",""43"",""0.00000000000000000000"",""12"",""Filled 48oz ORG Blend Juice bottle - Copack"",""50220"",""False"",""29"","""",""50210"",""True"",""18"","""",""11"",""IJ103"",""2"",""20000"",""1"",""FJ0119"",""14"",""8.00000000000000000000"",""4"&amp;"5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Blend Juice bottle - Copack","50220","False","29","","50210","True","18","","11","IJ103","2","20000","1","FJ0119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4" s="15"/>
      <c r="D1114" s="16" t="str">
        <f>"FJ0119"</f>
        <v>FJ0119</v>
      </c>
      <c r="E1114" s="16">
        <v>20000</v>
      </c>
      <c r="F1114" s="16" t="str">
        <f>"IJ103"</f>
        <v>IJ103</v>
      </c>
      <c r="G1114" s="17" t="str">
        <f>"Filled 48oz ORG Blend Juice bottle - Copack"</f>
        <v>Filled 48oz ORG Blend Juice bottle - Copack</v>
      </c>
      <c r="H1114" s="18" t="str">
        <f t="shared" si="138"/>
        <v>BTLS</v>
      </c>
      <c r="I1114" s="19">
        <v>8</v>
      </c>
      <c r="J1114" s="20">
        <v>8</v>
      </c>
    </row>
    <row r="1115" spans="1:10" ht="15.75" thickBot="1" x14ac:dyDescent="0.3">
      <c r="A1115" t="s">
        <v>31</v>
      </c>
      <c r="B1115" s="15" t="str">
        <f>"""Manzana NAV"",""MANZANA"",""99000772"",""44"","" "",""22"",""False"",""43"",""0.00000000000000000000"",""12"",""Filled 48oz ORG GRAV Juice bottle"",""50220"",""False"",""29"","""",""50210"",""True"",""18"","""",""11"",""IJ026"",""2"",""10000"",""1"",""FJ0144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10000","1","FJ0144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5" s="15"/>
      <c r="D1115" s="16" t="str">
        <f>"FJ0144"</f>
        <v>FJ0144</v>
      </c>
      <c r="E1115" s="16">
        <v>10000</v>
      </c>
      <c r="F1115" s="16" t="str">
        <f>"IJ026"</f>
        <v>IJ026</v>
      </c>
      <c r="G1115" s="17" t="str">
        <f>"Filled 48oz ORG GRAV Juice bottle"</f>
        <v>Filled 48oz ORG GRAV Juice bottle</v>
      </c>
      <c r="H1115" s="18" t="str">
        <f t="shared" si="138"/>
        <v>BTLS</v>
      </c>
      <c r="I1115" s="19">
        <v>8</v>
      </c>
      <c r="J1115" s="20">
        <v>8</v>
      </c>
    </row>
    <row r="1116" spans="1:10" ht="15.75" thickBot="1" x14ac:dyDescent="0.3">
      <c r="A1116" t="s">
        <v>31</v>
      </c>
      <c r="B1116" s="15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0007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0007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6" s="15"/>
      <c r="D1116" s="16" t="str">
        <f>"FJ0007"</f>
        <v>FJ0007</v>
      </c>
      <c r="E1116" s="16">
        <v>20000</v>
      </c>
      <c r="F1116" s="16" t="str">
        <f>"IJ026"</f>
        <v>IJ026</v>
      </c>
      <c r="G1116" s="17" t="str">
        <f>"Filled 48oz ORG GRAV Juice bottle"</f>
        <v>Filled 48oz ORG GRAV Juice bottle</v>
      </c>
      <c r="H1116" s="18" t="str">
        <f t="shared" si="138"/>
        <v>BTLS</v>
      </c>
      <c r="I1116" s="19">
        <v>8</v>
      </c>
      <c r="J1116" s="20">
        <v>8</v>
      </c>
    </row>
    <row r="1117" spans="1:10" ht="15.75" thickBot="1" x14ac:dyDescent="0.3">
      <c r="A1117" t="s">
        <v>31</v>
      </c>
      <c r="B1117" s="15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0099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0099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7" s="15"/>
      <c r="D1117" s="16" t="str">
        <f>"FJ0099"</f>
        <v>FJ0099</v>
      </c>
      <c r="E1117" s="16">
        <v>20000</v>
      </c>
      <c r="F1117" s="16" t="str">
        <f>"IJ026"</f>
        <v>IJ026</v>
      </c>
      <c r="G1117" s="17" t="str">
        <f>"Filled 48oz ORG GRAV Juice bottle"</f>
        <v>Filled 48oz ORG GRAV Juice bottle</v>
      </c>
      <c r="H1117" s="18" t="str">
        <f t="shared" si="138"/>
        <v>BTLS</v>
      </c>
      <c r="I1117" s="19">
        <v>8</v>
      </c>
      <c r="J1117" s="20">
        <v>8</v>
      </c>
    </row>
    <row r="1118" spans="1:10" ht="15.75" thickBot="1" x14ac:dyDescent="0.3">
      <c r="A1118" t="s">
        <v>31</v>
      </c>
      <c r="B1118" s="15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0120B"",""14"",""8.00000000000000000000"",""45"",""8.000"&amp;"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0120B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8" s="15"/>
      <c r="D1118" s="16" t="str">
        <f>"FJ0120B"</f>
        <v>FJ0120B</v>
      </c>
      <c r="E1118" s="16">
        <v>20000</v>
      </c>
      <c r="F1118" s="16" t="str">
        <f>"IJ026"</f>
        <v>IJ026</v>
      </c>
      <c r="G1118" s="17" t="str">
        <f>"Filled 48oz ORG GRAV Juice bottle"</f>
        <v>Filled 48oz ORG GRAV Juice bottle</v>
      </c>
      <c r="H1118" s="18" t="str">
        <f t="shared" si="138"/>
        <v>BTLS</v>
      </c>
      <c r="I1118" s="19">
        <v>8</v>
      </c>
      <c r="J1118" s="20">
        <v>8</v>
      </c>
    </row>
    <row r="1119" spans="1:10" ht="15.75" thickBot="1" x14ac:dyDescent="0.3">
      <c r="A1119" t="s">
        <v>31</v>
      </c>
      <c r="B1119" s="15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0123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0123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9" s="15"/>
      <c r="D1119" s="16" t="str">
        <f>"FJ0123"</f>
        <v>FJ0123</v>
      </c>
      <c r="E1119" s="16">
        <v>20000</v>
      </c>
      <c r="F1119" s="16" t="str">
        <f>"IJ026"</f>
        <v>IJ026</v>
      </c>
      <c r="G1119" s="17" t="str">
        <f>"Filled 48oz ORG GRAV Juice bottle"</f>
        <v>Filled 48oz ORG GRAV Juice bottle</v>
      </c>
      <c r="H1119" s="18" t="str">
        <f t="shared" si="138"/>
        <v>BTLS</v>
      </c>
      <c r="I1119" s="19">
        <v>8</v>
      </c>
      <c r="J1119" s="20">
        <v>8</v>
      </c>
    </row>
    <row r="1120" spans="1:10" ht="15.75" thickBot="1" x14ac:dyDescent="0.3">
      <c r="A1120" t="s">
        <v>31</v>
      </c>
      <c r="B1120" s="15" t="str">
        <f>"""Manzana NAV"",""MANZANA"",""99000772"",""44"","" "",""22"",""False"",""43"",""0.00000000000000000000"",""12"",""Filled 48oz ORG GRAV Juice bottle - Copack"",""50220"",""False"",""29"","""",""50210"",""True"",""18"","""",""11"",""IJ108"",""2"",""20000"",""1"",""FJ0120"",""14"",""8.00000000000000000000"",""45"&amp;"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 - Copack","50220","False","29","","50210","True","18","","11","IJ108","2","20000","1","FJ0120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20" s="15"/>
      <c r="D1120" s="16" t="str">
        <f>"FJ0120"</f>
        <v>FJ0120</v>
      </c>
      <c r="E1120" s="16">
        <v>20000</v>
      </c>
      <c r="F1120" s="16" t="str">
        <f>"IJ108"</f>
        <v>IJ108</v>
      </c>
      <c r="G1120" s="17" t="str">
        <f>"Filled 48oz ORG GRAV Juice bottle - Copack"</f>
        <v>Filled 48oz ORG GRAV Juice bottle - Copack</v>
      </c>
      <c r="H1120" s="18" t="str">
        <f t="shared" si="138"/>
        <v>BTLS</v>
      </c>
      <c r="I1120" s="19">
        <v>8</v>
      </c>
      <c r="J1120" s="20">
        <v>8</v>
      </c>
    </row>
    <row r="1121" spans="1:10" ht="15.75" thickBot="1" x14ac:dyDescent="0.3">
      <c r="A1121" t="s">
        <v>31</v>
      </c>
      <c r="B1121" s="15" t="str">
        <f>"""Manzana NAV"",""MANZANA"",""99000772"",""44"","" "",""22"",""False"",""43"",""0.00000000000000000000"",""12"",""Filled 64oz NAT Blend Jc btl- DN - Copack"",""50220"",""False"",""29"","""",""50210"",""False"",""18"","""",""11"",""IJ118"",""2"",""20000"",""1"",""FJ0241"",""14"",""6.00000000000000000000"",""45"&amp;"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Jc btl- DN - Copack","50220","False","29","","50210","False","18","","11","IJ118","2","20000","1","FJ0241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1" s="15"/>
      <c r="D1121" s="16" t="str">
        <f>"FJ0241"</f>
        <v>FJ0241</v>
      </c>
      <c r="E1121" s="16">
        <v>20000</v>
      </c>
      <c r="F1121" s="16" t="str">
        <f>"IJ118"</f>
        <v>IJ118</v>
      </c>
      <c r="G1121" s="17" t="str">
        <f>"Filled 64oz NAT Blend Jc btl- DN - Copack"</f>
        <v>Filled 64oz NAT Blend Jc btl- DN - Copack</v>
      </c>
      <c r="H1121" s="18" t="str">
        <f t="shared" si="138"/>
        <v>BTLS</v>
      </c>
      <c r="I1121" s="19">
        <v>6</v>
      </c>
      <c r="J1121" s="20">
        <v>6</v>
      </c>
    </row>
    <row r="1122" spans="1:10" ht="15.75" thickBot="1" x14ac:dyDescent="0.3">
      <c r="A1122" t="s">
        <v>31</v>
      </c>
      <c r="B1122" s="15" t="str">
        <f>"""Manzana NAV"",""MANZANA"",""99000772"",""44"","" "",""22"",""False"",""43"",""0.00000000000000000000"",""12"",""Filled 64oz NAT Blend Juice bottle PET"",""50220"",""False"",""29"","""",""50210"",""True"",""18"","""",""11"",""IJ023"",""2"",""10000"",""1"",""FJ0245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bottle PET","50220","False","29","","50210","True","18","","11","IJ023","2","10000","1","FJ0245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22" s="15"/>
      <c r="D1122" s="16" t="str">
        <f>"FJ0245"</f>
        <v>FJ0245</v>
      </c>
      <c r="E1122" s="16">
        <v>10000</v>
      </c>
      <c r="F1122" s="16" t="str">
        <f>"IJ023"</f>
        <v>IJ023</v>
      </c>
      <c r="G1122" s="17" t="str">
        <f>"Filled 64oz NAT Blend Juice bottle PET"</f>
        <v>Filled 64oz NAT Blend Juice bottle PET</v>
      </c>
      <c r="H1122" s="18" t="str">
        <f t="shared" si="138"/>
        <v>BTLS</v>
      </c>
      <c r="I1122" s="19">
        <v>8</v>
      </c>
      <c r="J1122" s="20">
        <v>8</v>
      </c>
    </row>
    <row r="1123" spans="1:10" ht="15.75" thickBot="1" x14ac:dyDescent="0.3">
      <c r="A1123" t="s">
        <v>31</v>
      </c>
      <c r="B1123" s="15" t="str">
        <f>"""Manzana NAV"",""MANZANA"",""99000772"",""44"","" "",""22"",""False"",""43"",""0.00000000000000000000"",""12"",""Filled 64oz NAT Blend Juice btl - diamd neck"",""50220"",""False"",""29"","""",""50210"",""True"",""18"","""",""11"",""IJ022"",""2"",""20000"",""1"",""FJ0071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 - diamd neck","50220","False","29","","50210","True","18","","11","IJ022","2","20000","1","FJ0071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3" s="15"/>
      <c r="D1123" s="16" t="str">
        <f>"FJ0071"</f>
        <v>FJ0071</v>
      </c>
      <c r="E1123" s="16">
        <v>20000</v>
      </c>
      <c r="F1123" s="16" t="str">
        <f>"IJ022"</f>
        <v>IJ022</v>
      </c>
      <c r="G1123" s="17" t="str">
        <f>"Filled 64oz NAT Blend Juice btl - diamd neck"</f>
        <v>Filled 64oz NAT Blend Juice btl - diamd neck</v>
      </c>
      <c r="H1123" s="18" t="str">
        <f t="shared" si="138"/>
        <v>BTLS</v>
      </c>
      <c r="I1123" s="19">
        <v>6</v>
      </c>
      <c r="J1123" s="20">
        <v>6</v>
      </c>
    </row>
    <row r="1124" spans="1:10" ht="15.75" thickBot="1" x14ac:dyDescent="0.3">
      <c r="A1124" t="s">
        <v>31</v>
      </c>
      <c r="B1124" s="15" t="str">
        <f>"""Manzana NAV"",""MANZANA"",""99000772"",""44"","" "",""22"",""False"",""43"",""0.00000000000000000000"",""12"",""Filled 64oz NAT Blend Juice btl - diamd neck"",""50220"",""False"",""29"","""",""50210"",""True"",""18"","""",""11"",""IJ022"",""2"",""20000"",""1"",""FJ0084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 - diamd neck","50220","False","29","","50210","True","18","","11","IJ022","2","20000","1","FJ0084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4" s="15"/>
      <c r="D1124" s="16" t="str">
        <f>"FJ0084"</f>
        <v>FJ0084</v>
      </c>
      <c r="E1124" s="16">
        <v>20000</v>
      </c>
      <c r="F1124" s="16" t="str">
        <f>"IJ022"</f>
        <v>IJ022</v>
      </c>
      <c r="G1124" s="17" t="str">
        <f>"Filled 64oz NAT Blend Juice btl - diamd neck"</f>
        <v>Filled 64oz NAT Blend Juice btl - diamd neck</v>
      </c>
      <c r="H1124" s="18" t="str">
        <f t="shared" si="138"/>
        <v>BTLS</v>
      </c>
      <c r="I1124" s="19">
        <v>6</v>
      </c>
      <c r="J1124" s="20">
        <v>6</v>
      </c>
    </row>
    <row r="1125" spans="1:10" ht="15.75" thickBot="1" x14ac:dyDescent="0.3">
      <c r="A1125" t="s">
        <v>31</v>
      </c>
      <c r="B1125" s="15" t="str">
        <f>"""Manzana NAV"",""MANZANA"",""99000772"",""44"","" "",""22"",""False"",""43"",""0.00000000000000000000"",""12"",""Filled 64oz NAT Blend Juice btl - diamd neck"",""50220"",""False"",""29"","""",""50210"",""True"",""18"","""",""11"",""IJ022"",""2"",""30000"",""1"",""FJ0239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 - diamd neck","50220","False","29","","50210","True","18","","11","IJ022","2","30000","1","FJ0239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5" s="15"/>
      <c r="D1125" s="16" t="str">
        <f>"FJ0239"</f>
        <v>FJ0239</v>
      </c>
      <c r="E1125" s="16">
        <v>30000</v>
      </c>
      <c r="F1125" s="16" t="str">
        <f>"IJ022"</f>
        <v>IJ022</v>
      </c>
      <c r="G1125" s="17" t="str">
        <f>"Filled 64oz NAT Blend Juice btl - diamd neck"</f>
        <v>Filled 64oz NAT Blend Juice btl - diamd neck</v>
      </c>
      <c r="H1125" s="18" t="str">
        <f t="shared" si="138"/>
        <v>BTLS</v>
      </c>
      <c r="I1125" s="19">
        <v>6</v>
      </c>
      <c r="J1125" s="20">
        <v>6</v>
      </c>
    </row>
    <row r="1126" spans="1:10" ht="15.75" thickBot="1" x14ac:dyDescent="0.3">
      <c r="A1126" t="s">
        <v>31</v>
      </c>
      <c r="B1126" s="15" t="str">
        <f>"""Manzana NAV"",""MANZANA"",""99000772"",""44"","" "",""22"",""False"",""43"",""0.00000000000000000000"",""12"",""Filled 64oz NAT Blend Juice btl-pistol grip"",""50220"",""False"",""29"","""",""50210"",""True"",""18"","""",""11"",""IJ117"",""2"",""10000"",""1"",""FJ0221"",""14"",""6.00000000000000000000"",""4"&amp;"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btl-pistol grip","50220","False","29","","50210","True","18","","11","IJ117","2","10000","1","FJ0221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6" s="15"/>
      <c r="D1126" s="16" t="str">
        <f>"FJ0221"</f>
        <v>FJ0221</v>
      </c>
      <c r="E1126" s="16">
        <v>10000</v>
      </c>
      <c r="F1126" s="16" t="str">
        <f>"IJ117"</f>
        <v>IJ117</v>
      </c>
      <c r="G1126" s="17" t="str">
        <f>"Filled 64oz NAT Blend Juice btl-pistol grip"</f>
        <v>Filled 64oz NAT Blend Juice btl-pistol grip</v>
      </c>
      <c r="H1126" s="18" t="str">
        <f t="shared" si="138"/>
        <v>BTLS</v>
      </c>
      <c r="I1126" s="19">
        <v>6</v>
      </c>
      <c r="J1126" s="20">
        <v>6</v>
      </c>
    </row>
    <row r="1127" spans="1:10" ht="15.75" thickBot="1" x14ac:dyDescent="0.3">
      <c r="A1127" t="s">
        <v>31</v>
      </c>
      <c r="B1127" s="15" t="str">
        <f>"""Manzana NAV"",""MANZANA"",""99000772"",""44"","" "",""22"",""False"",""43"",""0.00000000000000000000"",""12"",""Filled 64oz NAT Blend Juice btl-pistol grip"",""50220"",""False"",""29"","""",""50210"",""True"",""18"","""",""11"",""IJ117"",""2"",""20000"",""1"",""FJ0220"",""14"",""6.00000000000000000000"",""4"&amp;"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btl-pistol grip","50220","False","29","","50210","True","18","","11","IJ117","2","20000","1","FJ0220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7" s="15"/>
      <c r="D1127" s="16" t="str">
        <f>"FJ0220"</f>
        <v>FJ0220</v>
      </c>
      <c r="E1127" s="16">
        <v>20000</v>
      </c>
      <c r="F1127" s="16" t="str">
        <f>"IJ117"</f>
        <v>IJ117</v>
      </c>
      <c r="G1127" s="17" t="str">
        <f>"Filled 64oz NAT Blend Juice btl-pistol grip"</f>
        <v>Filled 64oz NAT Blend Juice btl-pistol grip</v>
      </c>
      <c r="H1127" s="18" t="str">
        <f t="shared" si="138"/>
        <v>BTLS</v>
      </c>
      <c r="I1127" s="19">
        <v>6</v>
      </c>
      <c r="J1127" s="20">
        <v>6</v>
      </c>
    </row>
    <row r="1128" spans="1:10" ht="15.75" thickBot="1" x14ac:dyDescent="0.3">
      <c r="A1128" t="s">
        <v>31</v>
      </c>
      <c r="B1128" s="15" t="str">
        <f>"""Manzana NAV"",""MANZANA"",""99000772"",""44"","" "",""22"",""False"",""43"",""0.00000000000000000000"",""12"",""Filled 64oz NAT Blend Juice glass bottle"",""50220"",""False"",""29"","""",""50210"",""True"",""18"","""",""11"",""IJ022"",""2"",""10000"",""1"",""FJ0130"",""14"",""6.00000000000000000000"",""45"","&amp;"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glass bottle","50220","False","29","","50210","True","18","","11","IJ022","2","10000","1","FJ0130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8" s="15"/>
      <c r="D1128" s="16" t="str">
        <f>"FJ0130"</f>
        <v>FJ0130</v>
      </c>
      <c r="E1128" s="16">
        <v>10000</v>
      </c>
      <c r="F1128" s="16" t="str">
        <f>"IJ022"</f>
        <v>IJ022</v>
      </c>
      <c r="G1128" s="17" t="str">
        <f>"Filled 64oz NAT Blend Juice glass bottle"</f>
        <v>Filled 64oz NAT Blend Juice glass bottle</v>
      </c>
      <c r="H1128" s="18" t="str">
        <f t="shared" si="138"/>
        <v>BTLS</v>
      </c>
      <c r="I1128" s="19">
        <v>6</v>
      </c>
      <c r="J1128" s="20">
        <v>6</v>
      </c>
    </row>
    <row r="1129" spans="1:10" ht="15.75" thickBot="1" x14ac:dyDescent="0.3">
      <c r="A1129" t="s">
        <v>31</v>
      </c>
      <c r="B1129" s="15" t="str">
        <f>"""Manzana NAV"",""MANZANA"",""99000772"",""44"","" "",""22"",""False"",""43"",""0.00000000000000000000"",""12"",""Filled 64oz NAT Blend Juice glass btl - diamd neck"",""50220"",""False"",""29"","""",""50210"",""True"",""18"","""",""11"",""IJ022"",""2"",""20000"",""1"",""FJ0080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glass btl - diamd neck","50220","False","29","","50210","True","18","","11","IJ022","2","20000","1","FJ0080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9" s="15"/>
      <c r="D1129" s="16" t="str">
        <f>"FJ0080"</f>
        <v>FJ0080</v>
      </c>
      <c r="E1129" s="16">
        <v>20000</v>
      </c>
      <c r="F1129" s="16" t="str">
        <f>"IJ022"</f>
        <v>IJ022</v>
      </c>
      <c r="G1129" s="17" t="str">
        <f>"Filled 64oz NAT Blend Juice glass btl - diamd neck"</f>
        <v>Filled 64oz NAT Blend Juice glass btl - diamd neck</v>
      </c>
      <c r="H1129" s="18" t="str">
        <f t="shared" si="138"/>
        <v>BTLS</v>
      </c>
      <c r="I1129" s="19">
        <v>6</v>
      </c>
      <c r="J1129" s="20">
        <v>6</v>
      </c>
    </row>
    <row r="1130" spans="1:10" ht="15.75" thickBot="1" x14ac:dyDescent="0.3">
      <c r="A1130" t="s">
        <v>31</v>
      </c>
      <c r="B1130" s="15" t="str">
        <f>"""Manzana NAV"",""MANZANA"",""99000772"",""44"","" "",""22"",""False"",""43"",""0.00000000000000000000"",""12"",""Filled 64oz NAT Blend Juice glass btl - diamd neck"",""50220"",""False"",""29"","""",""50210"",""True"",""18"","""",""11"",""IJ022"",""2"",""20000"",""1"",""Z-FJ0034"",""14"",""6.000000000000000"&amp;"00000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glass btl - diamd neck","50220","False","29","","50210","True","18","","11","IJ022","2","20000","1","Z-FJ0034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0" s="15"/>
      <c r="D1130" s="16" t="str">
        <f>"Z-FJ0034"</f>
        <v>Z-FJ0034</v>
      </c>
      <c r="E1130" s="16">
        <v>20000</v>
      </c>
      <c r="F1130" s="16" t="str">
        <f>"IJ022"</f>
        <v>IJ022</v>
      </c>
      <c r="G1130" s="17" t="str">
        <f>"Filled 64oz NAT Blend Juice glass btl - diamd neck"</f>
        <v>Filled 64oz NAT Blend Juice glass btl - diamd neck</v>
      </c>
      <c r="H1130" s="18" t="str">
        <f t="shared" si="138"/>
        <v>BTLS</v>
      </c>
      <c r="I1130" s="19">
        <v>6</v>
      </c>
      <c r="J1130" s="20">
        <v>6</v>
      </c>
    </row>
    <row r="1131" spans="1:10" ht="15.75" thickBot="1" x14ac:dyDescent="0.3">
      <c r="A1131" t="s">
        <v>31</v>
      </c>
      <c r="B1131" s="15" t="str">
        <f>"""Manzana NAV"",""MANZANA"",""99000772"",""44"","" "",""22"",""False"",""43"",""0.00000000000000000000"",""12"",""Filled 64oz NAT Blend Juice PET bottle"",""50220"",""False"",""29"","""",""50210"",""True"",""18"","""",""11"",""IJ023"",""2"",""20000"",""1"",""FJ0072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PET bottle","50220","False","29","","50210","True","18","","11","IJ023","2","20000","1","FJ0072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1" s="15"/>
      <c r="D1131" s="16" t="str">
        <f>"FJ0072"</f>
        <v>FJ0072</v>
      </c>
      <c r="E1131" s="16">
        <v>20000</v>
      </c>
      <c r="F1131" s="16" t="str">
        <f>"IJ023"</f>
        <v>IJ023</v>
      </c>
      <c r="G1131" s="17" t="str">
        <f>"Filled 64oz NAT Blend Juice PET bottle"</f>
        <v>Filled 64oz NAT Blend Juice PET bottle</v>
      </c>
      <c r="H1131" s="18" t="str">
        <f t="shared" si="138"/>
        <v>BTLS</v>
      </c>
      <c r="I1131" s="19">
        <v>8</v>
      </c>
      <c r="J1131" s="20">
        <v>8</v>
      </c>
    </row>
    <row r="1132" spans="1:10" ht="15.75" thickBot="1" x14ac:dyDescent="0.3">
      <c r="A1132" t="s">
        <v>31</v>
      </c>
      <c r="B1132" s="15" t="str">
        <f>"""Manzana NAV"",""MANZANA"",""99000772"",""44"","" "",""22"",""False"",""43"",""0.00000000000000000000"",""12"",""Filled 64oz NAT Filtd Blend Jce - diamd neck"",""50220"",""False"",""29"","""",""50210"",""True"",""18"","""",""11"",""IJ021"",""2"",""10000"",""1"",""FJ0043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Filtd Blend Jce - diamd neck","50220","False","29","","50210","True","18","","11","IJ021","2","10000","1","FJ0043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2" s="15"/>
      <c r="D1132" s="16" t="str">
        <f>"FJ0043"</f>
        <v>FJ0043</v>
      </c>
      <c r="E1132" s="16">
        <v>10000</v>
      </c>
      <c r="F1132" s="16" t="str">
        <f>"IJ021"</f>
        <v>IJ021</v>
      </c>
      <c r="G1132" s="17" t="str">
        <f>"Filled 64oz NAT Filtd Blend Jce - diamd neck"</f>
        <v>Filled 64oz NAT Filtd Blend Jce - diamd neck</v>
      </c>
      <c r="H1132" s="18" t="str">
        <f t="shared" si="138"/>
        <v>BTLS</v>
      </c>
      <c r="I1132" s="19">
        <v>6</v>
      </c>
      <c r="J1132" s="20">
        <v>6</v>
      </c>
    </row>
    <row r="1133" spans="1:10" ht="15.75" thickBot="1" x14ac:dyDescent="0.3">
      <c r="A1133" t="s">
        <v>31</v>
      </c>
      <c r="B1133" s="15" t="str">
        <f>"""Manzana NAV"",""MANZANA"",""99000772"",""44"","" "",""22"",""False"",""43"",""0.00000000000000000000"",""12"",""Filled 64oz NAT Grape Juice bottle PET"",""50220"",""False"",""29"","""",""50210"",""True"",""18"","""",""11"",""IJ016"",""2"",""20000"",""1"",""FJ0076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Grape Juice bottle PET","50220","False","29","","50210","True","18","","11","IJ016","2","20000","1","FJ0076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3" s="15"/>
      <c r="D1133" s="16" t="str">
        <f>"FJ0076"</f>
        <v>FJ0076</v>
      </c>
      <c r="E1133" s="16">
        <v>20000</v>
      </c>
      <c r="F1133" s="16" t="str">
        <f>"IJ016"</f>
        <v>IJ016</v>
      </c>
      <c r="G1133" s="17" t="str">
        <f>"Filled 64oz NAT Grape Juice bottle PET"</f>
        <v>Filled 64oz NAT Grape Juice bottle PET</v>
      </c>
      <c r="H1133" s="18" t="str">
        <f t="shared" si="138"/>
        <v>BTLS</v>
      </c>
      <c r="I1133" s="19">
        <v>8</v>
      </c>
      <c r="J1133" s="20">
        <v>8</v>
      </c>
    </row>
    <row r="1134" spans="1:10" ht="15.75" thickBot="1" x14ac:dyDescent="0.3">
      <c r="A1134" t="s">
        <v>31</v>
      </c>
      <c r="B1134" s="15" t="str">
        <f>"""Manzana NAV"",""MANZANA"",""99000772"",""44"","" "",""22"",""False"",""43"",""0.00000000000000000000"",""12"",""Filled 64oz ORG Blend Jc btl - diamd neck - Copack"",""50220"",""False"",""29"","""",""50210"",""True"",""18"","""",""11"",""IJ104"",""2"",""10000"",""1"",""FJ0009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10000","1","FJ0009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4" s="15"/>
      <c r="D1134" s="16" t="str">
        <f>"FJ0009"</f>
        <v>FJ0009</v>
      </c>
      <c r="E1134" s="16">
        <v>10000</v>
      </c>
      <c r="F1134" s="16" t="str">
        <f>"IJ104"</f>
        <v>IJ104</v>
      </c>
      <c r="G1134" s="17" t="str">
        <f>"Filled 64oz ORG Blend Jc btl - diamd neck - Copack"</f>
        <v>Filled 64oz ORG Blend Jc btl - diamd neck - Copack</v>
      </c>
      <c r="H1134" s="18" t="str">
        <f t="shared" si="138"/>
        <v>BTLS</v>
      </c>
      <c r="I1134" s="19">
        <v>6</v>
      </c>
      <c r="J1134" s="20">
        <v>6</v>
      </c>
    </row>
    <row r="1135" spans="1:10" ht="15.75" thickBot="1" x14ac:dyDescent="0.3">
      <c r="A1135" t="s">
        <v>31</v>
      </c>
      <c r="B1135" s="15" t="str">
        <f>"""Manzana NAV"",""MANZANA"",""99000772"",""44"","" "",""22"",""False"",""43"",""0.00000000000000000000"",""12"",""Filled 64oz ORG Blend Jc btl - diamd neck - Copack"",""50220"",""False"",""29"","""",""50210"",""True"",""18"","""",""11"",""IJ104"",""2"",""10000"",""1"",""FJ0228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10000","1","FJ0228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5" s="15"/>
      <c r="D1135" s="16" t="str">
        <f>"FJ0228"</f>
        <v>FJ0228</v>
      </c>
      <c r="E1135" s="16">
        <v>10000</v>
      </c>
      <c r="F1135" s="16" t="str">
        <f>"IJ104"</f>
        <v>IJ104</v>
      </c>
      <c r="G1135" s="17" t="str">
        <f>"Filled 64oz ORG Blend Jc btl - diamd neck - Copack"</f>
        <v>Filled 64oz ORG Blend Jc btl - diamd neck - Copack</v>
      </c>
      <c r="H1135" s="18" t="str">
        <f t="shared" si="138"/>
        <v>BTLS</v>
      </c>
      <c r="I1135" s="19">
        <v>6</v>
      </c>
      <c r="J1135" s="20">
        <v>6</v>
      </c>
    </row>
    <row r="1136" spans="1:10" ht="15.75" thickBot="1" x14ac:dyDescent="0.3">
      <c r="A1136" t="s">
        <v>31</v>
      </c>
      <c r="B1136" s="15" t="str">
        <f>"""Manzana NAV"",""MANZANA"",""99000772"",""44"","" "",""22"",""False"",""43"",""0.00000000000000000000"",""12"",""Filled 64oz ORG Blend Jc btl - diamd neck - Copack"",""50220"",""False"",""29"","""",""50210"",""True"",""18"","""",""11"",""IJ104"",""2"",""20000"",""1"",""FJ0114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20000","1","FJ0114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6" s="15"/>
      <c r="D1136" s="16" t="str">
        <f>"FJ0114"</f>
        <v>FJ0114</v>
      </c>
      <c r="E1136" s="16">
        <v>20000</v>
      </c>
      <c r="F1136" s="16" t="str">
        <f>"IJ104"</f>
        <v>IJ104</v>
      </c>
      <c r="G1136" s="17" t="str">
        <f>"Filled 64oz ORG Blend Jc btl - diamd neck - Copack"</f>
        <v>Filled 64oz ORG Blend Jc btl - diamd neck - Copack</v>
      </c>
      <c r="H1136" s="18" t="str">
        <f t="shared" si="138"/>
        <v>BTLS</v>
      </c>
      <c r="I1136" s="19">
        <v>6</v>
      </c>
      <c r="J1136" s="20">
        <v>6</v>
      </c>
    </row>
    <row r="1137" spans="1:10" ht="15.75" thickBot="1" x14ac:dyDescent="0.3">
      <c r="A1137" t="s">
        <v>31</v>
      </c>
      <c r="B1137" s="15" t="str">
        <f>"""Manzana NAV"",""MANZANA"",""99000772"",""44"","" "",""22"",""False"",""43"",""0.00000000000000000000"",""12"",""Filled 64oz ORG Blend Jc btl - diamd neck - Copack"",""50220"",""False"",""29"","""",""50210"",""True"",""18"","""",""11"",""IJ104"",""2"",""20000"",""1"",""FJ0118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20000","1","FJ0118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7" s="15"/>
      <c r="D1137" s="16" t="str">
        <f>"FJ0118"</f>
        <v>FJ0118</v>
      </c>
      <c r="E1137" s="16">
        <v>20000</v>
      </c>
      <c r="F1137" s="16" t="str">
        <f>"IJ104"</f>
        <v>IJ104</v>
      </c>
      <c r="G1137" s="17" t="str">
        <f>"Filled 64oz ORG Blend Jc btl - diamd neck - Copack"</f>
        <v>Filled 64oz ORG Blend Jc btl - diamd neck - Copack</v>
      </c>
      <c r="H1137" s="18" t="str">
        <f t="shared" si="138"/>
        <v>BTLS</v>
      </c>
      <c r="I1137" s="19">
        <v>6</v>
      </c>
      <c r="J1137" s="20">
        <v>6</v>
      </c>
    </row>
    <row r="1138" spans="1:10" ht="15.75" thickBot="1" x14ac:dyDescent="0.3">
      <c r="A1138" t="s">
        <v>31</v>
      </c>
      <c r="B1138" s="15" t="str">
        <f>"""Manzana NAV"",""MANZANA"",""99000772"",""44"","" "",""22"",""False"",""43"",""0.00000000000000000000"",""12"",""Filled 64oz ORG Blend Juice bottle PET"",""50220"",""False"",""29"","""",""50210"",""True"",""18"","""",""11"",""IJ006"",""2"",""20000"",""1"",""FJ0162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bottle PET","50220","False","29","","50210","True","18","","11","IJ006","2","20000","1","FJ0162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8" s="15"/>
      <c r="D1138" s="16" t="str">
        <f>"FJ0162"</f>
        <v>FJ0162</v>
      </c>
      <c r="E1138" s="16">
        <v>20000</v>
      </c>
      <c r="F1138" s="16" t="str">
        <f>"IJ006"</f>
        <v>IJ006</v>
      </c>
      <c r="G1138" s="17" t="str">
        <f>"Filled 64oz ORG Blend Juice bottle PET"</f>
        <v>Filled 64oz ORG Blend Juice bottle PET</v>
      </c>
      <c r="H1138" s="18" t="str">
        <f t="shared" si="138"/>
        <v>BTLS</v>
      </c>
      <c r="I1138" s="19">
        <v>8</v>
      </c>
      <c r="J1138" s="20">
        <v>8</v>
      </c>
    </row>
    <row r="1139" spans="1:10" ht="15.75" thickBot="1" x14ac:dyDescent="0.3">
      <c r="A1139" t="s">
        <v>31</v>
      </c>
      <c r="B1139" s="15" t="str">
        <f>"""Manzana NAV"",""MANZANA"",""99000772"",""44"","" "",""22"",""False"",""43"",""0.00000000000000000000"",""12"",""Filled 64oz ORG Blend Juice bottle PET"",""50220"",""False"",""29"","""",""50210"",""True"",""18"","""",""11"",""IJ006"",""2"",""20000"",""1"",""FJ0209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bottle PET","50220","False","29","","50210","True","18","","11","IJ006","2","20000","1","FJ0209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9" s="15"/>
      <c r="D1139" s="16" t="str">
        <f>"FJ0209"</f>
        <v>FJ0209</v>
      </c>
      <c r="E1139" s="16">
        <v>20000</v>
      </c>
      <c r="F1139" s="16" t="str">
        <f>"IJ006"</f>
        <v>IJ006</v>
      </c>
      <c r="G1139" s="17" t="str">
        <f>"Filled 64oz ORG Blend Juice bottle PET"</f>
        <v>Filled 64oz ORG Blend Juice bottle PET</v>
      </c>
      <c r="H1139" s="18" t="str">
        <f t="shared" si="138"/>
        <v>BTLS</v>
      </c>
      <c r="I1139" s="19">
        <v>8</v>
      </c>
      <c r="J1139" s="20">
        <v>8</v>
      </c>
    </row>
    <row r="1140" spans="1:10" ht="15.75" thickBot="1" x14ac:dyDescent="0.3">
      <c r="A1140" t="s">
        <v>31</v>
      </c>
      <c r="B1140" s="15" t="str">
        <f>"""Manzana NAV"",""MANZANA"",""99000772"",""44"","" "",""22"",""False"",""43"",""0.00000000000000000000"",""12"",""Filled 64oz ORG Blend Juice bottle PET"",""50220"",""False"",""29"","""",""50210"",""True"",""18"","""",""11"",""IJ006"",""2"",""20000"",""1"",""FJ0215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bottle PET","50220","False","29","","50210","True","18","","11","IJ006","2","20000","1","FJ0215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40" s="15"/>
      <c r="D1140" s="16" t="str">
        <f>"FJ0215"</f>
        <v>FJ0215</v>
      </c>
      <c r="E1140" s="16">
        <v>20000</v>
      </c>
      <c r="F1140" s="16" t="str">
        <f>"IJ006"</f>
        <v>IJ006</v>
      </c>
      <c r="G1140" s="17" t="str">
        <f>"Filled 64oz ORG Blend Juice bottle PET"</f>
        <v>Filled 64oz ORG Blend Juice bottle PET</v>
      </c>
      <c r="H1140" s="18" t="str">
        <f t="shared" si="138"/>
        <v>BTLS</v>
      </c>
      <c r="I1140" s="19">
        <v>8</v>
      </c>
      <c r="J1140" s="20">
        <v>8</v>
      </c>
    </row>
    <row r="1141" spans="1:10" ht="15.75" thickBot="1" x14ac:dyDescent="0.3">
      <c r="A1141" t="s">
        <v>31</v>
      </c>
      <c r="B1141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0031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0031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1" s="15"/>
      <c r="D1141" s="16" t="str">
        <f>"FJ0031"</f>
        <v>FJ0031</v>
      </c>
      <c r="E1141" s="16">
        <v>20000</v>
      </c>
      <c r="F1141" s="16" t="str">
        <f t="shared" ref="F1141:F1154" si="139">"IJ004"</f>
        <v>IJ004</v>
      </c>
      <c r="G1141" s="17" t="str">
        <f t="shared" ref="G1141:G1154" si="140">"Filled 64oz ORG Blend Juice btl - diamd neck"</f>
        <v>Filled 64oz ORG Blend Juice btl - diamd neck</v>
      </c>
      <c r="H1141" s="18" t="str">
        <f t="shared" si="138"/>
        <v>BTLS</v>
      </c>
      <c r="I1141" s="19">
        <v>6</v>
      </c>
      <c r="J1141" s="20">
        <v>6</v>
      </c>
    </row>
    <row r="1142" spans="1:10" ht="15.75" thickBot="1" x14ac:dyDescent="0.3">
      <c r="A1142" t="s">
        <v>31</v>
      </c>
      <c r="B1142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0041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0041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2" s="15"/>
      <c r="D1142" s="16" t="str">
        <f>"FJ0041"</f>
        <v>FJ0041</v>
      </c>
      <c r="E1142" s="16">
        <v>20000</v>
      </c>
      <c r="F1142" s="16" t="str">
        <f t="shared" si="139"/>
        <v>IJ004</v>
      </c>
      <c r="G1142" s="17" t="str">
        <f t="shared" si="140"/>
        <v>Filled 64oz ORG Blend Juice btl - diamd neck</v>
      </c>
      <c r="H1142" s="18" t="str">
        <f t="shared" si="138"/>
        <v>BTLS</v>
      </c>
      <c r="I1142" s="19">
        <v>6</v>
      </c>
      <c r="J1142" s="20">
        <v>6</v>
      </c>
    </row>
    <row r="1143" spans="1:10" ht="15.75" thickBot="1" x14ac:dyDescent="0.3">
      <c r="A1143" t="s">
        <v>31</v>
      </c>
      <c r="B1143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0045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0045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3" s="15"/>
      <c r="D1143" s="16" t="str">
        <f>"FJ0045"</f>
        <v>FJ0045</v>
      </c>
      <c r="E1143" s="16">
        <v>20000</v>
      </c>
      <c r="F1143" s="16" t="str">
        <f t="shared" si="139"/>
        <v>IJ004</v>
      </c>
      <c r="G1143" s="17" t="str">
        <f t="shared" si="140"/>
        <v>Filled 64oz ORG Blend Juice btl - diamd neck</v>
      </c>
      <c r="H1143" s="18" t="str">
        <f t="shared" si="138"/>
        <v>BTLS</v>
      </c>
      <c r="I1143" s="19">
        <v>6</v>
      </c>
      <c r="J1143" s="20">
        <v>6</v>
      </c>
    </row>
    <row r="1144" spans="1:10" ht="15.75" thickBot="1" x14ac:dyDescent="0.3">
      <c r="A1144" t="s">
        <v>31</v>
      </c>
      <c r="B1144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0047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0047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4" s="15"/>
      <c r="D1144" s="16" t="str">
        <f>"FJ0047"</f>
        <v>FJ0047</v>
      </c>
      <c r="E1144" s="16">
        <v>20000</v>
      </c>
      <c r="F1144" s="16" t="str">
        <f t="shared" si="139"/>
        <v>IJ004</v>
      </c>
      <c r="G1144" s="17" t="str">
        <f t="shared" si="140"/>
        <v>Filled 64oz ORG Blend Juice btl - diamd neck</v>
      </c>
      <c r="H1144" s="18" t="str">
        <f t="shared" si="138"/>
        <v>BTLS</v>
      </c>
      <c r="I1144" s="19">
        <v>6</v>
      </c>
      <c r="J1144" s="20">
        <v>6</v>
      </c>
    </row>
    <row r="1145" spans="1:10" ht="15.75" thickBot="1" x14ac:dyDescent="0.3">
      <c r="A1145" t="s">
        <v>31</v>
      </c>
      <c r="B1145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0089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0089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5" s="15"/>
      <c r="D1145" s="16" t="str">
        <f>"FJ0089"</f>
        <v>FJ0089</v>
      </c>
      <c r="E1145" s="16">
        <v>20000</v>
      </c>
      <c r="F1145" s="16" t="str">
        <f t="shared" si="139"/>
        <v>IJ004</v>
      </c>
      <c r="G1145" s="17" t="str">
        <f t="shared" si="140"/>
        <v>Filled 64oz ORG Blend Juice btl - diamd neck</v>
      </c>
      <c r="H1145" s="18" t="str">
        <f t="shared" si="138"/>
        <v>BTLS</v>
      </c>
      <c r="I1145" s="19">
        <v>6</v>
      </c>
      <c r="J1145" s="20">
        <v>6</v>
      </c>
    </row>
    <row r="1146" spans="1:10" ht="15.75" thickBot="1" x14ac:dyDescent="0.3">
      <c r="A1146" t="s">
        <v>31</v>
      </c>
      <c r="B1146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0098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0098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6" s="15"/>
      <c r="D1146" s="16" t="str">
        <f>"FJ0098"</f>
        <v>FJ0098</v>
      </c>
      <c r="E1146" s="16">
        <v>20000</v>
      </c>
      <c r="F1146" s="16" t="str">
        <f t="shared" si="139"/>
        <v>IJ004</v>
      </c>
      <c r="G1146" s="17" t="str">
        <f t="shared" si="140"/>
        <v>Filled 64oz ORG Blend Juice btl - diamd neck</v>
      </c>
      <c r="H1146" s="18" t="str">
        <f t="shared" si="138"/>
        <v>BTLS</v>
      </c>
      <c r="I1146" s="19">
        <v>6</v>
      </c>
      <c r="J1146" s="20">
        <v>6</v>
      </c>
    </row>
    <row r="1147" spans="1:10" ht="15.75" thickBot="1" x14ac:dyDescent="0.3">
      <c r="A1147" t="s">
        <v>31</v>
      </c>
      <c r="B1147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0105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0105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7" s="15"/>
      <c r="D1147" s="16" t="str">
        <f>"FJ0105"</f>
        <v>FJ0105</v>
      </c>
      <c r="E1147" s="16">
        <v>20000</v>
      </c>
      <c r="F1147" s="16" t="str">
        <f t="shared" si="139"/>
        <v>IJ004</v>
      </c>
      <c r="G1147" s="17" t="str">
        <f t="shared" si="140"/>
        <v>Filled 64oz ORG Blend Juice btl - diamd neck</v>
      </c>
      <c r="H1147" s="18" t="str">
        <f t="shared" si="138"/>
        <v>BTLS</v>
      </c>
      <c r="I1147" s="19">
        <v>6</v>
      </c>
      <c r="J1147" s="20">
        <v>6</v>
      </c>
    </row>
    <row r="1148" spans="1:10" ht="15.75" thickBot="1" x14ac:dyDescent="0.3">
      <c r="A1148" t="s">
        <v>31</v>
      </c>
      <c r="B1148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0114B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0114B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8" s="15"/>
      <c r="D1148" s="16" t="str">
        <f>"FJ0114B"</f>
        <v>FJ0114B</v>
      </c>
      <c r="E1148" s="16">
        <v>20000</v>
      </c>
      <c r="F1148" s="16" t="str">
        <f t="shared" si="139"/>
        <v>IJ004</v>
      </c>
      <c r="G1148" s="17" t="str">
        <f t="shared" si="140"/>
        <v>Filled 64oz ORG Blend Juice btl - diamd neck</v>
      </c>
      <c r="H1148" s="18" t="str">
        <f t="shared" si="138"/>
        <v>BTLS</v>
      </c>
      <c r="I1148" s="19">
        <v>6</v>
      </c>
      <c r="J1148" s="20">
        <v>6</v>
      </c>
    </row>
    <row r="1149" spans="1:10" ht="15.75" thickBot="1" x14ac:dyDescent="0.3">
      <c r="A1149" t="s">
        <v>31</v>
      </c>
      <c r="B1149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0118B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0118B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9" s="15"/>
      <c r="D1149" s="16" t="str">
        <f>"FJ0118B"</f>
        <v>FJ0118B</v>
      </c>
      <c r="E1149" s="16">
        <v>20000</v>
      </c>
      <c r="F1149" s="16" t="str">
        <f t="shared" si="139"/>
        <v>IJ004</v>
      </c>
      <c r="G1149" s="17" t="str">
        <f t="shared" si="140"/>
        <v>Filled 64oz ORG Blend Juice btl - diamd neck</v>
      </c>
      <c r="H1149" s="18" t="str">
        <f t="shared" si="138"/>
        <v>BTLS</v>
      </c>
      <c r="I1149" s="19">
        <v>6</v>
      </c>
      <c r="J1149" s="20">
        <v>6</v>
      </c>
    </row>
    <row r="1150" spans="1:10" ht="15.75" thickBot="1" x14ac:dyDescent="0.3">
      <c r="A1150" t="s">
        <v>31</v>
      </c>
      <c r="B1150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0153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0153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0" s="15"/>
      <c r="D1150" s="16" t="str">
        <f>"FJ0153"</f>
        <v>FJ0153</v>
      </c>
      <c r="E1150" s="16">
        <v>20000</v>
      </c>
      <c r="F1150" s="16" t="str">
        <f t="shared" si="139"/>
        <v>IJ004</v>
      </c>
      <c r="G1150" s="17" t="str">
        <f t="shared" si="140"/>
        <v>Filled 64oz ORG Blend Juice btl - diamd neck</v>
      </c>
      <c r="H1150" s="18" t="str">
        <f t="shared" si="138"/>
        <v>BTLS</v>
      </c>
      <c r="I1150" s="19">
        <v>6</v>
      </c>
      <c r="J1150" s="20">
        <v>6</v>
      </c>
    </row>
    <row r="1151" spans="1:10" ht="15.75" thickBot="1" x14ac:dyDescent="0.3">
      <c r="A1151" t="s">
        <v>31</v>
      </c>
      <c r="B1151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0169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0169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1" s="15"/>
      <c r="D1151" s="16" t="str">
        <f>"FJ0169"</f>
        <v>FJ0169</v>
      </c>
      <c r="E1151" s="16">
        <v>20000</v>
      </c>
      <c r="F1151" s="16" t="str">
        <f t="shared" si="139"/>
        <v>IJ004</v>
      </c>
      <c r="G1151" s="17" t="str">
        <f t="shared" si="140"/>
        <v>Filled 64oz ORG Blend Juice btl - diamd neck</v>
      </c>
      <c r="H1151" s="18" t="str">
        <f t="shared" si="138"/>
        <v>BTLS</v>
      </c>
      <c r="I1151" s="19">
        <v>6</v>
      </c>
      <c r="J1151" s="20">
        <v>6</v>
      </c>
    </row>
    <row r="1152" spans="1:10" ht="15.75" thickBot="1" x14ac:dyDescent="0.3">
      <c r="A1152" t="s">
        <v>31</v>
      </c>
      <c r="B1152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0223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0223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2" s="15"/>
      <c r="D1152" s="16" t="str">
        <f>"FJ0223"</f>
        <v>FJ0223</v>
      </c>
      <c r="E1152" s="16">
        <v>20000</v>
      </c>
      <c r="F1152" s="16" t="str">
        <f t="shared" si="139"/>
        <v>IJ004</v>
      </c>
      <c r="G1152" s="17" t="str">
        <f t="shared" si="140"/>
        <v>Filled 64oz ORG Blend Juice btl - diamd neck</v>
      </c>
      <c r="H1152" s="18" t="str">
        <f t="shared" si="138"/>
        <v>BTLS</v>
      </c>
      <c r="I1152" s="19">
        <v>6</v>
      </c>
      <c r="J1152" s="20">
        <v>6</v>
      </c>
    </row>
    <row r="1153" spans="1:10" ht="15.75" thickBot="1" x14ac:dyDescent="0.3">
      <c r="A1153" t="s">
        <v>31</v>
      </c>
      <c r="B1153" s="15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0229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0229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3" s="15"/>
      <c r="D1153" s="16" t="str">
        <f>"FJ0229"</f>
        <v>FJ0229</v>
      </c>
      <c r="E1153" s="16">
        <v>20000</v>
      </c>
      <c r="F1153" s="16" t="str">
        <f t="shared" si="139"/>
        <v>IJ004</v>
      </c>
      <c r="G1153" s="17" t="str">
        <f t="shared" si="140"/>
        <v>Filled 64oz ORG Blend Juice btl - diamd neck</v>
      </c>
      <c r="H1153" s="18" t="str">
        <f t="shared" si="138"/>
        <v>BTLS</v>
      </c>
      <c r="I1153" s="19">
        <v>6</v>
      </c>
      <c r="J1153" s="20">
        <v>6</v>
      </c>
    </row>
    <row r="1154" spans="1:10" ht="15.75" thickBot="1" x14ac:dyDescent="0.3">
      <c r="A1154" t="s">
        <v>31</v>
      </c>
      <c r="B1154" s="15" t="str">
        <f>"""Manzana NAV"",""MANZANA"",""99000772"",""44"","" "",""22"",""False"",""43"",""0.00000000000000000000"",""12"",""Filled 64oz ORG Blend Juice btl - diamd neck"",""50220"",""False"",""29"","""",""50210"",""True"",""18"","""",""11"",""IJ004"",""2"",""40000"",""1"",""FJ0111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40000","1","FJ0111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4" s="15"/>
      <c r="D1154" s="16" t="str">
        <f>"FJ0111"</f>
        <v>FJ0111</v>
      </c>
      <c r="E1154" s="16">
        <v>40000</v>
      </c>
      <c r="F1154" s="16" t="str">
        <f t="shared" si="139"/>
        <v>IJ004</v>
      </c>
      <c r="G1154" s="17" t="str">
        <f t="shared" si="140"/>
        <v>Filled 64oz ORG Blend Juice btl - diamd neck</v>
      </c>
      <c r="H1154" s="18" t="str">
        <f t="shared" si="138"/>
        <v>BTLS</v>
      </c>
      <c r="I1154" s="19">
        <v>6</v>
      </c>
      <c r="J1154" s="20">
        <v>6</v>
      </c>
    </row>
    <row r="1155" spans="1:10" ht="15.75" thickBot="1" x14ac:dyDescent="0.3">
      <c r="A1155" t="s">
        <v>31</v>
      </c>
      <c r="B1155" s="15" t="str">
        <f>"""Manzana NAV"",""MANZANA"",""99000772"",""44"","" "",""22"",""False"",""43"",""0.00000000000000000000"",""12"",""Filled 64oz ORG Blend Juice btl - pistol grip"",""50220"",""False"",""29"","""",""50210"",""True"",""18"","""",""11"",""IJ005"",""2"",""10000"",""1"",""FJ0038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10000","1","FJ0038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5" s="15"/>
      <c r="D1155" s="16" t="str">
        <f>"FJ0038"</f>
        <v>FJ0038</v>
      </c>
      <c r="E1155" s="16">
        <v>10000</v>
      </c>
      <c r="F1155" s="16" t="str">
        <f t="shared" ref="F1155:F1160" si="141">"IJ005"</f>
        <v>IJ005</v>
      </c>
      <c r="G1155" s="17" t="str">
        <f t="shared" ref="G1155:G1160" si="142">"Filled 64oz ORG Blend Juice btl - pistol grip"</f>
        <v>Filled 64oz ORG Blend Juice btl - pistol grip</v>
      </c>
      <c r="H1155" s="18" t="str">
        <f t="shared" si="138"/>
        <v>BTLS</v>
      </c>
      <c r="I1155" s="19">
        <v>6</v>
      </c>
      <c r="J1155" s="20">
        <v>6</v>
      </c>
    </row>
    <row r="1156" spans="1:10" ht="15.75" thickBot="1" x14ac:dyDescent="0.3">
      <c r="A1156" t="s">
        <v>31</v>
      </c>
      <c r="B1156" s="15" t="str">
        <f>"""Manzana NAV"",""MANZANA"",""99000772"",""44"","" "",""22"",""False"",""43"",""0.00000000000000000000"",""12"",""Filled 64oz ORG Blend Juice btl - pistol grip"",""50220"",""False"",""29"","""",""50210"",""True"",""18"","""",""11"",""IJ005"",""2"",""10000"",""1"",""FJ0199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10000","1","FJ0199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6" s="15"/>
      <c r="D1156" s="16" t="str">
        <f>"FJ0199"</f>
        <v>FJ0199</v>
      </c>
      <c r="E1156" s="16">
        <v>10000</v>
      </c>
      <c r="F1156" s="16" t="str">
        <f t="shared" si="141"/>
        <v>IJ005</v>
      </c>
      <c r="G1156" s="17" t="str">
        <f t="shared" si="142"/>
        <v>Filled 64oz ORG Blend Juice btl - pistol grip</v>
      </c>
      <c r="H1156" s="18" t="str">
        <f t="shared" si="138"/>
        <v>BTLS</v>
      </c>
      <c r="I1156" s="19">
        <v>6</v>
      </c>
      <c r="J1156" s="20">
        <v>6</v>
      </c>
    </row>
    <row r="1157" spans="1:10" ht="15.75" thickBot="1" x14ac:dyDescent="0.3">
      <c r="A1157" t="s">
        <v>31</v>
      </c>
      <c r="B1157" s="15" t="str">
        <f>"""Manzana NAV"",""MANZANA"",""99000772"",""44"","" "",""22"",""False"",""43"",""0.00000000000000000000"",""12"",""Filled 64oz ORG Blend Juice btl - pistol grip"",""50220"",""False"",""29"","""",""50210"",""True"",""18"","""",""11"",""IJ005"",""2"",""10000"",""1"",""FJ0200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10000","1","FJ0200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7" s="15"/>
      <c r="D1157" s="16" t="str">
        <f>"FJ0200"</f>
        <v>FJ0200</v>
      </c>
      <c r="E1157" s="16">
        <v>10000</v>
      </c>
      <c r="F1157" s="16" t="str">
        <f t="shared" si="141"/>
        <v>IJ005</v>
      </c>
      <c r="G1157" s="17" t="str">
        <f t="shared" si="142"/>
        <v>Filled 64oz ORG Blend Juice btl - pistol grip</v>
      </c>
      <c r="H1157" s="18" t="str">
        <f t="shared" si="138"/>
        <v>BTLS</v>
      </c>
      <c r="I1157" s="19">
        <v>6</v>
      </c>
      <c r="J1157" s="20">
        <v>6</v>
      </c>
    </row>
    <row r="1158" spans="1:10" ht="15.75" thickBot="1" x14ac:dyDescent="0.3">
      <c r="A1158" t="s">
        <v>31</v>
      </c>
      <c r="B1158" s="15" t="str">
        <f>"""Manzana NAV"",""MANZANA"",""99000772"",""44"","" "",""22"",""False"",""43"",""0.00000000000000000000"",""12"",""Filled 64oz ORG Blend Juice btl - pistol grip"",""50220"",""False"",""29"","""",""50210"",""True"",""18"","""",""11"",""IJ005"",""2"",""20000"",""1"",""FJ0175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20000","1","FJ0175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8" s="15"/>
      <c r="D1158" s="16" t="str">
        <f>"FJ0175"</f>
        <v>FJ0175</v>
      </c>
      <c r="E1158" s="16">
        <v>20000</v>
      </c>
      <c r="F1158" s="16" t="str">
        <f t="shared" si="141"/>
        <v>IJ005</v>
      </c>
      <c r="G1158" s="17" t="str">
        <f t="shared" si="142"/>
        <v>Filled 64oz ORG Blend Juice btl - pistol grip</v>
      </c>
      <c r="H1158" s="18" t="str">
        <f t="shared" si="138"/>
        <v>BTLS</v>
      </c>
      <c r="I1158" s="19">
        <v>6</v>
      </c>
      <c r="J1158" s="20">
        <v>6</v>
      </c>
    </row>
    <row r="1159" spans="1:10" ht="15.75" thickBot="1" x14ac:dyDescent="0.3">
      <c r="A1159" t="s">
        <v>31</v>
      </c>
      <c r="B1159" s="15" t="str">
        <f>"""Manzana NAV"",""MANZANA"",""99000772"",""44"","" "",""22"",""False"",""43"",""0.00000000000000000000"",""12"",""Filled 64oz ORG Blend Juice btl - pistol grip"",""50220"",""False"",""29"","""",""50210"",""True"",""18"","""",""11"",""IJ005"",""2"",""20000"",""1"",""FJ0195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20000","1","FJ0195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9" s="15"/>
      <c r="D1159" s="16" t="str">
        <f>"FJ0195"</f>
        <v>FJ0195</v>
      </c>
      <c r="E1159" s="16">
        <v>20000</v>
      </c>
      <c r="F1159" s="16" t="str">
        <f t="shared" si="141"/>
        <v>IJ005</v>
      </c>
      <c r="G1159" s="17" t="str">
        <f t="shared" si="142"/>
        <v>Filled 64oz ORG Blend Juice btl - pistol grip</v>
      </c>
      <c r="H1159" s="18" t="str">
        <f t="shared" si="138"/>
        <v>BTLS</v>
      </c>
      <c r="I1159" s="19">
        <v>6</v>
      </c>
      <c r="J1159" s="20">
        <v>6</v>
      </c>
    </row>
    <row r="1160" spans="1:10" ht="15.75" thickBot="1" x14ac:dyDescent="0.3">
      <c r="A1160" t="s">
        <v>31</v>
      </c>
      <c r="B1160" s="15" t="str">
        <f>"""Manzana NAV"",""MANZANA"",""99000772"",""44"","" "",""22"",""False"",""43"",""0.00000000000000000000"",""12"",""Filled 64oz ORG Blend Juice btl - pistol grip"",""50220"",""False"",""29"","""",""50210"",""True"",""18"","""",""11"",""IJ005"",""2"",""20000"",""1"",""FJ0196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20000","1","FJ0196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0" s="15"/>
      <c r="D1160" s="16" t="str">
        <f>"FJ0196"</f>
        <v>FJ0196</v>
      </c>
      <c r="E1160" s="16">
        <v>20000</v>
      </c>
      <c r="F1160" s="16" t="str">
        <f t="shared" si="141"/>
        <v>IJ005</v>
      </c>
      <c r="G1160" s="17" t="str">
        <f t="shared" si="142"/>
        <v>Filled 64oz ORG Blend Juice btl - pistol grip</v>
      </c>
      <c r="H1160" s="18" t="str">
        <f t="shared" si="138"/>
        <v>BTLS</v>
      </c>
      <c r="I1160" s="19">
        <v>6</v>
      </c>
      <c r="J1160" s="20">
        <v>6</v>
      </c>
    </row>
    <row r="1161" spans="1:10" ht="15.75" thickBot="1" x14ac:dyDescent="0.3">
      <c r="A1161" t="s">
        <v>31</v>
      </c>
      <c r="B1161" s="15" t="str">
        <f>"""Manzana NAV"",""MANZANA"",""99000772"",""44"","" "",""22"",""False"",""43"",""0.00000000000000000000"",""12"",""Filled 64oz ORG Blend Juice PET bottle"",""50220"",""False"",""29"","""",""50210"",""True"",""18"","""",""11"",""IJ006"",""2"",""20000"",""1"",""FJ0060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PET bottle","50220","False","29","","50210","True","18","","11","IJ006","2","20000","1","FJ0060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1" s="15"/>
      <c r="D1161" s="16" t="str">
        <f>"FJ0060"</f>
        <v>FJ0060</v>
      </c>
      <c r="E1161" s="16">
        <v>20000</v>
      </c>
      <c r="F1161" s="16" t="str">
        <f>"IJ006"</f>
        <v>IJ006</v>
      </c>
      <c r="G1161" s="17" t="str">
        <f>"Filled 64oz ORG Blend Juice PET bottle"</f>
        <v>Filled 64oz ORG Blend Juice PET bottle</v>
      </c>
      <c r="H1161" s="18" t="str">
        <f t="shared" si="138"/>
        <v>BTLS</v>
      </c>
      <c r="I1161" s="19">
        <v>8</v>
      </c>
      <c r="J1161" s="20">
        <v>8</v>
      </c>
    </row>
    <row r="1162" spans="1:10" ht="15.75" thickBot="1" x14ac:dyDescent="0.3">
      <c r="A1162" t="s">
        <v>31</v>
      </c>
      <c r="B1162" s="15" t="str">
        <f>"""Manzana NAV"",""MANZANA"",""99000772"",""44"","" "",""22"",""False"",""43"",""0.00000000000000000000"",""12"",""Filled 64oz ORG Blend Juice PET bottle"",""50220"",""False"",""29"","""",""50210"",""True"",""18"","""",""11"",""IJ006"",""2"",""20000"",""1"",""FJ0073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PET bottle","50220","False","29","","50210","True","18","","11","IJ006","2","20000","1","FJ0073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2" s="15"/>
      <c r="D1162" s="16" t="str">
        <f>"FJ0073"</f>
        <v>FJ0073</v>
      </c>
      <c r="E1162" s="16">
        <v>20000</v>
      </c>
      <c r="F1162" s="16" t="str">
        <f>"IJ006"</f>
        <v>IJ006</v>
      </c>
      <c r="G1162" s="17" t="str">
        <f>"Filled 64oz ORG Blend Juice PET bottle"</f>
        <v>Filled 64oz ORG Blend Juice PET bottle</v>
      </c>
      <c r="H1162" s="18" t="str">
        <f t="shared" si="138"/>
        <v>BTLS</v>
      </c>
      <c r="I1162" s="19">
        <v>8</v>
      </c>
      <c r="J1162" s="20">
        <v>8</v>
      </c>
    </row>
    <row r="1163" spans="1:10" ht="15.75" thickBot="1" x14ac:dyDescent="0.3">
      <c r="A1163" t="s">
        <v>31</v>
      </c>
      <c r="B1163" s="15" t="str">
        <f>"""Manzana NAV"",""MANZANA"",""99000772"",""44"","" "",""22"",""False"",""43"",""0.00000000000000000000"",""12"",""Filled 64oz ORG Blend Juice PET bottle"",""50220"",""False"",""29"","""",""50210"",""True"",""18"","""",""11"",""IJ006"",""2"",""20000"",""1"",""FJ0103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PET bottle","50220","False","29","","50210","True","18","","11","IJ006","2","20000","1","FJ0103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3" s="15"/>
      <c r="D1163" s="16" t="str">
        <f>"FJ0103"</f>
        <v>FJ0103</v>
      </c>
      <c r="E1163" s="16">
        <v>20000</v>
      </c>
      <c r="F1163" s="16" t="str">
        <f>"IJ006"</f>
        <v>IJ006</v>
      </c>
      <c r="G1163" s="17" t="str">
        <f>"Filled 64oz ORG Blend Juice PET bottle"</f>
        <v>Filled 64oz ORG Blend Juice PET bottle</v>
      </c>
      <c r="H1163" s="18" t="str">
        <f t="shared" si="138"/>
        <v>BTLS</v>
      </c>
      <c r="I1163" s="19">
        <v>8</v>
      </c>
      <c r="J1163" s="20">
        <v>8</v>
      </c>
    </row>
    <row r="1164" spans="1:10" ht="15.75" thickBot="1" x14ac:dyDescent="0.3">
      <c r="A1164" t="s">
        <v>31</v>
      </c>
      <c r="B1164" s="15" t="str">
        <f>"""Manzana NAV"",""MANZANA"",""99000772"",""44"","" "",""22"",""False"",""43"",""0.00000000000000000000"",""12"",""Filled 64oz ORG CoPack Vinegar bottle - PET"",""50220"",""False"",""29"","""",""50210"",""True"",""18"","""",""11"",""IV012"",""2"",""30000"",""1"",""FV0014"",""14"",""8.00000000000000000000"",""4"&amp;"5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CoPack Vinegar bottle - PET","50220","False","29","","50210","True","18","","11","IV012","2","30000","1","FV0014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4" s="15"/>
      <c r="D1164" s="16" t="str">
        <f>"FV0014"</f>
        <v>FV0014</v>
      </c>
      <c r="E1164" s="16">
        <v>30000</v>
      </c>
      <c r="F1164" s="16" t="str">
        <f>"IV012"</f>
        <v>IV012</v>
      </c>
      <c r="G1164" s="17" t="str">
        <f>"Filled 64oz ORG CoPack Vinegar bottle - PET"</f>
        <v>Filled 64oz ORG CoPack Vinegar bottle - PET</v>
      </c>
      <c r="H1164" s="18" t="str">
        <f t="shared" si="138"/>
        <v>BTLS</v>
      </c>
      <c r="I1164" s="19">
        <v>8</v>
      </c>
      <c r="J1164" s="20">
        <v>8</v>
      </c>
    </row>
    <row r="1165" spans="1:10" ht="15.75" thickBot="1" x14ac:dyDescent="0.3">
      <c r="A1165" t="s">
        <v>31</v>
      </c>
      <c r="B1165" s="15" t="str">
        <f>"""Manzana NAV"",""MANZANA"",""99000772"",""44"","" "",""22"",""False"",""43"",""0.00000000000000000000"",""12"",""Filled 64oz ORG CoPack Vinegar bottle - PET"",""50220"",""False"",""29"","""",""50210"",""True"",""18"","""",""11"",""IV012"",""2"",""30000"",""1"",""FV0023"",""14"",""8.00000000000000000000"",""4"&amp;"5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CoPack Vinegar bottle - PET","50220","False","29","","50210","True","18","","11","IV012","2","30000","1","FV0023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5" s="15"/>
      <c r="D1165" s="16" t="str">
        <f>"FV0023"</f>
        <v>FV0023</v>
      </c>
      <c r="E1165" s="16">
        <v>30000</v>
      </c>
      <c r="F1165" s="16" t="str">
        <f>"IV012"</f>
        <v>IV012</v>
      </c>
      <c r="G1165" s="17" t="str">
        <f>"Filled 64oz ORG CoPack Vinegar bottle - PET"</f>
        <v>Filled 64oz ORG CoPack Vinegar bottle - PET</v>
      </c>
      <c r="H1165" s="18" t="str">
        <f t="shared" si="138"/>
        <v>BTLS</v>
      </c>
      <c r="I1165" s="19">
        <v>8</v>
      </c>
      <c r="J1165" s="20">
        <v>8</v>
      </c>
    </row>
    <row r="1166" spans="1:10" ht="15.75" thickBot="1" x14ac:dyDescent="0.3">
      <c r="A1166" t="s">
        <v>31</v>
      </c>
      <c r="B1166" s="15" t="str">
        <f>"""Manzana NAV"",""MANZANA"",""99000772"",""44"","" "",""22"",""False"",""43"",""0.00000000000000000000"",""12"",""Filled 64oz ORG FILT Juice bottle"",""50220"",""False"",""29"","""",""50210"",""True"",""18"","""",""11"",""IJ031"",""2"",""20000"",""1"",""FJ0125"",""14"",""6.00000000000000000000"",""45"",""6.0000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FILT Juice bottle","50220","False","29","","50210","True","18","","11","IJ031","2","20000","1","FJ0125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6" s="15"/>
      <c r="D1166" s="16" t="str">
        <f>"FJ0125"</f>
        <v>FJ0125</v>
      </c>
      <c r="E1166" s="16">
        <v>20000</v>
      </c>
      <c r="F1166" s="16" t="str">
        <f>"IJ031"</f>
        <v>IJ031</v>
      </c>
      <c r="G1166" s="17" t="str">
        <f>"Filled 64oz ORG FILT Juice bottle"</f>
        <v>Filled 64oz ORG FILT Juice bottle</v>
      </c>
      <c r="H1166" s="18" t="str">
        <f t="shared" si="138"/>
        <v>BTLS</v>
      </c>
      <c r="I1166" s="19">
        <v>6</v>
      </c>
      <c r="J1166" s="20">
        <v>6</v>
      </c>
    </row>
    <row r="1167" spans="1:10" ht="15.75" thickBot="1" x14ac:dyDescent="0.3">
      <c r="A1167" t="s">
        <v>31</v>
      </c>
      <c r="B1167" s="15" t="str">
        <f>"""Manzana NAV"",""MANZANA"",""99000772"",""44"","" "",""22"",""False"",""43"",""0.00000000000000000000"",""12"",""Filled 64oz ORG GRAPE Juice bottle - PG"",""50220"",""False"",""29"","""",""50210"",""True"",""18"","""",""11"",""IJ043"",""2"",""5000"",""1"",""FJ0143"",""14"",""6.00000000000000000000"",""45"",""6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GRAPE Juice bottle - PG","50220","False","29","","50210","True","18","","11","IJ043","2","5000","1","FJ0143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7" s="15"/>
      <c r="D1167" s="16" t="str">
        <f>"FJ0143"</f>
        <v>FJ0143</v>
      </c>
      <c r="E1167" s="16">
        <v>5000</v>
      </c>
      <c r="F1167" s="16" t="str">
        <f>"IJ043"</f>
        <v>IJ043</v>
      </c>
      <c r="G1167" s="17" t="str">
        <f>"Filled 64oz ORG GRAPE Juice bottle - PG"</f>
        <v>Filled 64oz ORG GRAPE Juice bottle - PG</v>
      </c>
      <c r="H1167" s="18" t="str">
        <f t="shared" si="138"/>
        <v>BTLS</v>
      </c>
      <c r="I1167" s="19">
        <v>6</v>
      </c>
      <c r="J1167" s="20">
        <v>6</v>
      </c>
    </row>
    <row r="1168" spans="1:10" ht="15.75" thickBot="1" x14ac:dyDescent="0.3">
      <c r="A1168" t="s">
        <v>31</v>
      </c>
      <c r="B1168" s="15" t="str">
        <f>"""Manzana NAV"",""MANZANA"",""99000772"",""44"","" "",""22"",""False"",""43"",""0.00000000000000000000"",""12"",""Filled 64oz ORG GRAPE Juice bottle - PG"",""50220"",""False"",""29"","""",""50210"",""True"",""18"","""",""11"",""IJ043"",""2"",""10000"",""1"",""FJ0244"",""14"",""6.00000000000000000000"",""45"","""&amp;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GRAPE Juice bottle - PG","50220","False","29","","50210","True","18","","11","IJ043","2","10000","1","FJ0244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8" s="15"/>
      <c r="D1168" s="16" t="str">
        <f>"FJ0244"</f>
        <v>FJ0244</v>
      </c>
      <c r="E1168" s="16">
        <v>10000</v>
      </c>
      <c r="F1168" s="16" t="str">
        <f>"IJ043"</f>
        <v>IJ043</v>
      </c>
      <c r="G1168" s="17" t="str">
        <f>"Filled 64oz ORG GRAPE Juice bottle - PG"</f>
        <v>Filled 64oz ORG GRAPE Juice bottle - PG</v>
      </c>
      <c r="H1168" s="18" t="str">
        <f t="shared" si="138"/>
        <v>BTLS</v>
      </c>
      <c r="I1168" s="19">
        <v>6</v>
      </c>
      <c r="J1168" s="20">
        <v>6</v>
      </c>
    </row>
    <row r="1169" spans="1:10" ht="15.75" thickBot="1" x14ac:dyDescent="0.3">
      <c r="A1169" t="s">
        <v>31</v>
      </c>
      <c r="B1169" s="15" t="str">
        <f>"""Manzana NAV"",""MANZANA"",""99000772"",""44"","" "",""22"",""False"",""43"",""0.00000000000000000000"",""12"",""Filled 64oz ORG GRAV Jc btl - diamd neck - Copack"",""50220"",""False"",""29"","""",""50210"",""True"",""18"","""",""11"",""IJ109"",""2"",""10000"",""1"",""FJ0012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Jc btl - diamd neck - Copack","50220","False","29","","50210","True","18","","11","IJ109","2","10000","1","FJ0012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9" s="15"/>
      <c r="D1169" s="16" t="str">
        <f>"FJ0012"</f>
        <v>FJ0012</v>
      </c>
      <c r="E1169" s="16">
        <v>10000</v>
      </c>
      <c r="F1169" s="16" t="str">
        <f>"IJ109"</f>
        <v>IJ109</v>
      </c>
      <c r="G1169" s="17" t="str">
        <f>"Filled 64oz ORG GRAV Jc btl - diamd neck - Copack"</f>
        <v>Filled 64oz ORG GRAV Jc btl - diamd neck - Copack</v>
      </c>
      <c r="H1169" s="18" t="str">
        <f t="shared" si="138"/>
        <v>BTLS</v>
      </c>
      <c r="I1169" s="19">
        <v>6</v>
      </c>
      <c r="J1169" s="20">
        <v>6</v>
      </c>
    </row>
    <row r="1170" spans="1:10" ht="15.75" thickBot="1" x14ac:dyDescent="0.3">
      <c r="A1170" t="s">
        <v>31</v>
      </c>
      <c r="B1170" s="15" t="str">
        <f>"""Manzana NAV"",""MANZANA"",""99000772"",""44"","" "",""22"",""False"",""43"",""0.00000000000000000000"",""12"",""Filled 64oz ORG Grav Juice glass btl - diamd neck"",""50220"",""False"",""29"","""",""50210"",""True"",""18"","""",""11"",""IJ025"",""2"",""20000"",""1"",""FJ0108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20000","1","FJ0108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0" s="15"/>
      <c r="D1170" s="16" t="str">
        <f>"FJ0108"</f>
        <v>FJ0108</v>
      </c>
      <c r="E1170" s="16">
        <v>20000</v>
      </c>
      <c r="F1170" s="16" t="str">
        <f>"IJ025"</f>
        <v>IJ025</v>
      </c>
      <c r="G1170" s="17" t="str">
        <f>"Filled 64oz ORG Grav Juice glass btl - diamd neck"</f>
        <v>Filled 64oz ORG Grav Juice glass btl - diamd neck</v>
      </c>
      <c r="H1170" s="18" t="str">
        <f t="shared" si="138"/>
        <v>BTLS</v>
      </c>
      <c r="I1170" s="19">
        <v>6</v>
      </c>
      <c r="J1170" s="20">
        <v>6</v>
      </c>
    </row>
    <row r="1171" spans="1:10" ht="15.75" thickBot="1" x14ac:dyDescent="0.3">
      <c r="A1171" t="s">
        <v>31</v>
      </c>
      <c r="B1171" s="15" t="str">
        <f>"""Manzana NAV"",""MANZANA"",""99000772"",""44"","" "",""22"",""False"",""43"",""0.00000000000000000000"",""12"",""Filled 64oz ORG GRAV Juice glass btl - diamd neck"",""50220"",""False"",""29"","""",""50210"",""True"",""18"","""",""11"",""IJ025"",""2"",""10000"",""1"",""FJ0012B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10000","1","FJ0012B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1" s="15"/>
      <c r="D1171" s="16" t="str">
        <f>"FJ0012B"</f>
        <v>FJ0012B</v>
      </c>
      <c r="E1171" s="16">
        <v>10000</v>
      </c>
      <c r="F1171" s="16" t="str">
        <f>"IJ025"</f>
        <v>IJ025</v>
      </c>
      <c r="G1171" s="17" t="str">
        <f>"Filled 64oz ORG GRAV Juice glass btl - diamd neck"</f>
        <v>Filled 64oz ORG GRAV Juice glass btl - diamd neck</v>
      </c>
      <c r="H1171" s="18" t="str">
        <f t="shared" si="138"/>
        <v>BTLS</v>
      </c>
      <c r="I1171" s="19">
        <v>6</v>
      </c>
      <c r="J1171" s="20">
        <v>6</v>
      </c>
    </row>
    <row r="1172" spans="1:10" ht="15.75" thickBot="1" x14ac:dyDescent="0.3">
      <c r="A1172" t="s">
        <v>31</v>
      </c>
      <c r="B1172" s="15" t="str">
        <f>"""Manzana NAV"",""MANZANA"",""99000772"",""44"","" "",""22"",""False"",""43"",""0.00000000000000000000"",""12"",""Filled 64oz ORG GRAV Juice glass btl - diamd neck"",""50220"",""False"",""29"","""",""50210"",""True"",""18"","""",""11"",""IJ025"",""2"",""20000"",""1"",""FJ0087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20000","1","FJ0087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2" s="15"/>
      <c r="D1172" s="16" t="str">
        <f>"FJ0087"</f>
        <v>FJ0087</v>
      </c>
      <c r="E1172" s="16">
        <v>20000</v>
      </c>
      <c r="F1172" s="16" t="str">
        <f>"IJ025"</f>
        <v>IJ025</v>
      </c>
      <c r="G1172" s="17" t="str">
        <f>"Filled 64oz ORG GRAV Juice glass btl - diamd neck"</f>
        <v>Filled 64oz ORG GRAV Juice glass btl - diamd neck</v>
      </c>
      <c r="H1172" s="18" t="str">
        <f t="shared" si="138"/>
        <v>BTLS</v>
      </c>
      <c r="I1172" s="19">
        <v>6</v>
      </c>
      <c r="J1172" s="20">
        <v>6</v>
      </c>
    </row>
    <row r="1173" spans="1:10" ht="15.75" thickBot="1" x14ac:dyDescent="0.3">
      <c r="A1173" t="s">
        <v>31</v>
      </c>
      <c r="B1173" s="15" t="str">
        <f>"""Manzana NAV"",""MANZANA"",""99000772"",""44"","" "",""22"",""False"",""43"",""0.00000000000000000000"",""12"",""Filled 64oz ORG GRAV Juice glass btl - diamd neck"",""50220"",""False"",""29"","""",""50210"",""True"",""18"","""",""11"",""IJ025"",""2"",""20000"",""1"",""FJ0096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20000","1","FJ0096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3" s="15"/>
      <c r="D1173" s="16" t="str">
        <f>"FJ0096"</f>
        <v>FJ0096</v>
      </c>
      <c r="E1173" s="16">
        <v>20000</v>
      </c>
      <c r="F1173" s="16" t="str">
        <f>"IJ025"</f>
        <v>IJ025</v>
      </c>
      <c r="G1173" s="17" t="str">
        <f>"Filled 64oz ORG GRAV Juice glass btl - diamd neck"</f>
        <v>Filled 64oz ORG GRAV Juice glass btl - diamd neck</v>
      </c>
      <c r="H1173" s="18" t="str">
        <f t="shared" si="138"/>
        <v>BTLS</v>
      </c>
      <c r="I1173" s="19">
        <v>6</v>
      </c>
      <c r="J1173" s="20">
        <v>6</v>
      </c>
    </row>
    <row r="1174" spans="1:10" ht="15.75" thickBot="1" x14ac:dyDescent="0.3">
      <c r="A1174" t="s">
        <v>31</v>
      </c>
      <c r="B1174" s="15" t="str">
        <f>"""Manzana NAV"",""MANZANA"",""99000772"",""44"","" "",""22"",""False"",""43"",""0.00000000000000000000"",""12"",""Filled 64oz ORG HCrisp Juice bottle - diamd neck"",""50220"",""False"",""29"","""",""50210"",""True"",""18"","""",""11"",""IJ014"",""2"",""10000"",""1"",""FJ0140"",""14"",""6.0000000000000000000"&amp;"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HCrisp Juice bottle - diamd neck","50220","False","29","","50210","True","18","","11","IJ014","2","10000","1","FJ0140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4" s="15"/>
      <c r="D1174" s="16" t="str">
        <f>"FJ0140"</f>
        <v>FJ0140</v>
      </c>
      <c r="E1174" s="16">
        <v>10000</v>
      </c>
      <c r="F1174" s="16" t="str">
        <f>"IJ014"</f>
        <v>IJ014</v>
      </c>
      <c r="G1174" s="17" t="str">
        <f>"Filled 64oz ORG HCrisp Juice bottle - diamd neck"</f>
        <v>Filled 64oz ORG HCrisp Juice bottle - diamd neck</v>
      </c>
      <c r="H1174" s="18" t="str">
        <f t="shared" si="138"/>
        <v>BTLS</v>
      </c>
      <c r="I1174" s="19">
        <v>6</v>
      </c>
      <c r="J1174" s="20">
        <v>6</v>
      </c>
    </row>
    <row r="1175" spans="1:10" ht="15.75" thickBot="1" x14ac:dyDescent="0.3">
      <c r="A1175" t="s">
        <v>31</v>
      </c>
      <c r="B1175" s="15" t="str">
        <f>"""Manzana NAV"",""MANZANA"",""99000772"",""44"","" "",""22"",""False"",""43"",""0.00000000000000000000"",""12"",""Filled 64oz ORG HCrisp Juice bottle - diamd neck"",""50220"",""False"",""29"","""",""50210"",""True"",""18"","""",""11"",""IJ014"",""2"",""20000"",""1"",""FJ0104"",""14"",""6.0000000000000000000"&amp;"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HCrisp Juice bottle - diamd neck","50220","False","29","","50210","True","18","","11","IJ014","2","20000","1","FJ0104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5" s="15"/>
      <c r="D1175" s="16" t="str">
        <f>"FJ0104"</f>
        <v>FJ0104</v>
      </c>
      <c r="E1175" s="16">
        <v>20000</v>
      </c>
      <c r="F1175" s="16" t="str">
        <f>"IJ014"</f>
        <v>IJ014</v>
      </c>
      <c r="G1175" s="17" t="str">
        <f>"Filled 64oz ORG HCrisp Juice bottle - diamd neck"</f>
        <v>Filled 64oz ORG HCrisp Juice bottle - diamd neck</v>
      </c>
      <c r="H1175" s="18" t="str">
        <f t="shared" ref="H1175:H1211" si="143">"BTLS"</f>
        <v>BTLS</v>
      </c>
      <c r="I1175" s="19">
        <v>6</v>
      </c>
      <c r="J1175" s="20">
        <v>6</v>
      </c>
    </row>
    <row r="1176" spans="1:10" ht="15.75" thickBot="1" x14ac:dyDescent="0.3">
      <c r="A1176" t="s">
        <v>31</v>
      </c>
      <c r="B1176" s="15" t="str">
        <f>"""Manzana NAV"",""MANZANA"",""99000772"",""44"","" "",""22"",""False"",""43"",""0.00000000000000000000"",""12"",""Filled 64oz ORG HCrisp Juice bottle - diamd neck"",""50220"",""False"",""29"","""",""50210"",""True"",""18"","""",""11"",""IJ014"",""2"",""20000"",""1"",""FJ0230"",""14"",""6.0000000000000000000"&amp;"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HCrisp Juice bottle - diamd neck","50220","False","29","","50210","True","18","","11","IJ014","2","20000","1","FJ0230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6" s="15"/>
      <c r="D1176" s="16" t="str">
        <f>"FJ0230"</f>
        <v>FJ0230</v>
      </c>
      <c r="E1176" s="16">
        <v>20000</v>
      </c>
      <c r="F1176" s="16" t="str">
        <f>"IJ014"</f>
        <v>IJ014</v>
      </c>
      <c r="G1176" s="17" t="str">
        <f>"Filled 64oz ORG HCrisp Juice bottle - diamd neck"</f>
        <v>Filled 64oz ORG HCrisp Juice bottle - diamd neck</v>
      </c>
      <c r="H1176" s="18" t="str">
        <f t="shared" si="143"/>
        <v>BTLS</v>
      </c>
      <c r="I1176" s="19">
        <v>6</v>
      </c>
      <c r="J1176" s="20">
        <v>6</v>
      </c>
    </row>
    <row r="1177" spans="1:10" ht="15.75" thickBot="1" x14ac:dyDescent="0.3">
      <c r="A1177" t="s">
        <v>31</v>
      </c>
      <c r="B1177" s="15" t="str">
        <f>"""Manzana NAV"",""MANZANA"",""99000772"",""44"","" "",""22"",""False"",""43"",""0.00000000000000000000"",""12"",""Filled 64oz ORG Pear Juice Bottle-diamd neck COPAK"",""50220"",""False"",""29"","""",""50210"",""True"",""18"","""",""11"",""IJ114"",""2"",""10000"",""1"",""FJ0197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Pear Juice Bottle-diamd neck COPAK","50220","False","29","","50210","True","18","","11","IJ114","2","10000","1","FJ0197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7" s="15"/>
      <c r="D1177" s="16" t="str">
        <f>"FJ0197"</f>
        <v>FJ0197</v>
      </c>
      <c r="E1177" s="16">
        <v>10000</v>
      </c>
      <c r="F1177" s="16" t="str">
        <f>"IJ114"</f>
        <v>IJ114</v>
      </c>
      <c r="G1177" s="17" t="str">
        <f>"Filled 64oz ORG Pear Juice Bottle-diamd neck COPAK"</f>
        <v>Filled 64oz ORG Pear Juice Bottle-diamd neck COPAK</v>
      </c>
      <c r="H1177" s="18" t="str">
        <f t="shared" si="143"/>
        <v>BTLS</v>
      </c>
      <c r="I1177" s="19">
        <v>6</v>
      </c>
      <c r="J1177" s="20">
        <v>6</v>
      </c>
    </row>
    <row r="1178" spans="1:10" ht="15.75" thickBot="1" x14ac:dyDescent="0.3">
      <c r="A1178" t="s">
        <v>31</v>
      </c>
      <c r="B1178" s="15" t="str">
        <f>"""Manzana NAV"",""MANZANA"",""99000772"",""44"","" "",""22"",""False"",""43"",""0.00000000000000000000"",""12"",""Filled 64oz ORG Spiced Cider btl - diamd neck"",""50220"",""False"",""29"","""",""50210"",""True"",""18"","""",""11"",""IJ027"",""2"",""20000"",""1"",""FJ0081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Spiced Cider btl - diamd neck","50220","False","29","","50210","True","18","","11","IJ027","2","20000","1","FJ0081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8" s="15"/>
      <c r="D1178" s="16" t="str">
        <f>"FJ0081"</f>
        <v>FJ0081</v>
      </c>
      <c r="E1178" s="16">
        <v>20000</v>
      </c>
      <c r="F1178" s="16" t="str">
        <f>"IJ027"</f>
        <v>IJ027</v>
      </c>
      <c r="G1178" s="17" t="str">
        <f>"Filled 64oz ORG Spiced Cider btl - diamd neck"</f>
        <v>Filled 64oz ORG Spiced Cider btl - diamd neck</v>
      </c>
      <c r="H1178" s="18" t="str">
        <f t="shared" si="143"/>
        <v>BTLS</v>
      </c>
      <c r="I1178" s="19">
        <v>6</v>
      </c>
      <c r="J1178" s="20">
        <v>6</v>
      </c>
    </row>
    <row r="1179" spans="1:10" ht="15.75" thickBot="1" x14ac:dyDescent="0.3">
      <c r="A1179" t="s">
        <v>31</v>
      </c>
      <c r="B1179" s="15" t="str">
        <f>"""Manzana NAV"",""MANZANA"",""99000772"",""44"","" "",""22"",""False"",""43"",""0.00000000000000000000"",""12"",""Filled 64oz ORG Vinegar bottle - PET - MZ"",""50220"",""False"",""29"","""",""50210"",""True"",""18"","""",""11"",""IV016"",""2"",""30000"",""1"",""FV0014B"",""14"",""8.00000000000000000000"",""45"&amp;"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Vinegar bottle - PET - MZ","50220","False","29","","50210","True","18","","11","IV016","2","30000","1","FV0014B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79" s="15"/>
      <c r="D1179" s="16" t="str">
        <f>"FV0014B"</f>
        <v>FV0014B</v>
      </c>
      <c r="E1179" s="16">
        <v>30000</v>
      </c>
      <c r="F1179" s="16" t="str">
        <f>"IV016"</f>
        <v>IV016</v>
      </c>
      <c r="G1179" s="17" t="str">
        <f>"Filled 64oz ORG Vinegar bottle - PET - MZ"</f>
        <v>Filled 64oz ORG Vinegar bottle - PET - MZ</v>
      </c>
      <c r="H1179" s="18" t="str">
        <f t="shared" si="143"/>
        <v>BTLS</v>
      </c>
      <c r="I1179" s="19">
        <v>8</v>
      </c>
      <c r="J1179" s="20">
        <v>8</v>
      </c>
    </row>
    <row r="1180" spans="1:10" ht="15.75" thickBot="1" x14ac:dyDescent="0.3">
      <c r="A1180" t="s">
        <v>31</v>
      </c>
      <c r="B1180" s="15" t="str">
        <f>"""Manzana NAV"",""MANZANA"",""99000772"",""44"","" "",""22"",""False"",""43"",""0.00000000000000000000"",""12"",""Individual ORG North Coast Berry Sauce pouch"",""50220"",""False"",""29"","""",""50210"",""True"",""18"","""",""11"",""ISP0003"",""2"",""30000"",""1"",""FSP0003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ORG North Coast Berry Sauce pouch","50220","False","29","","50210","True","18","","11","ISP0003","2","30000","1","FSP0003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180" s="15"/>
      <c r="D1180" s="16" t="str">
        <f>"FSP0003"</f>
        <v>FSP0003</v>
      </c>
      <c r="E1180" s="16">
        <v>30000</v>
      </c>
      <c r="F1180" s="16" t="str">
        <f>"ISP0003"</f>
        <v>ISP0003</v>
      </c>
      <c r="G1180" s="17" t="str">
        <f>"Individual ORG North Coast Berry Sauce pouch"</f>
        <v>Individual ORG North Coast Berry Sauce pouch</v>
      </c>
      <c r="H1180" s="18" t="str">
        <f t="shared" ref="H1180:H1185" si="144">"POUCHES"</f>
        <v>POUCHES</v>
      </c>
      <c r="I1180" s="19">
        <v>48</v>
      </c>
      <c r="J1180" s="20">
        <v>48</v>
      </c>
    </row>
    <row r="1181" spans="1:10" ht="15.75" thickBot="1" x14ac:dyDescent="0.3">
      <c r="A1181" t="s">
        <v>31</v>
      </c>
      <c r="B1181" s="15" t="str">
        <f>"""Manzana NAV"",""MANZANA"",""99000772"",""44"","" "",""22"",""False"",""43"",""0.00000000000000000000"",""12"",""Individual ORG North Coast Blend Sauce pouch"",""50220"",""False"",""29"","""",""50210"",""True"",""18"","""",""11"",""ISP0001"",""2"",""30000"",""1"",""FSP0001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ORG North Coast Blend Sauce pouch","50220","False","29","","50210","True","18","","11","ISP0001","2","30000","1","FSP0001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181" s="15"/>
      <c r="D1181" s="16" t="str">
        <f>"FSP0001"</f>
        <v>FSP0001</v>
      </c>
      <c r="E1181" s="16">
        <v>30000</v>
      </c>
      <c r="F1181" s="16" t="str">
        <f>"ISP0001"</f>
        <v>ISP0001</v>
      </c>
      <c r="G1181" s="17" t="str">
        <f>"Individual ORG North Coast Blend Sauce pouch"</f>
        <v>Individual ORG North Coast Blend Sauce pouch</v>
      </c>
      <c r="H1181" s="18" t="str">
        <f t="shared" si="144"/>
        <v>POUCHES</v>
      </c>
      <c r="I1181" s="19">
        <v>48</v>
      </c>
      <c r="J1181" s="20">
        <v>48</v>
      </c>
    </row>
    <row r="1182" spans="1:10" ht="15.75" thickBot="1" x14ac:dyDescent="0.3">
      <c r="A1182" t="s">
        <v>31</v>
      </c>
      <c r="B1182" s="15" t="str">
        <f>"""Manzana NAV"",""MANZANA"",""99000772"",""44"","" "",""22"",""False"",""43"",""0.00000000000000000000"",""12"",""Individual ORG North Coast Cinnamon Sauce pouch"",""50220"",""False"",""29"","""",""50210"",""True"",""18"","""",""11"",""ISP0002"",""2"",""30000"",""1"",""FSP0002"",""14"",""48.0000000000000000"&amp;"0000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ORG North Coast Cinnamon Sauce pouch","50220","False","29","","50210","True","18","","11","ISP0002","2","30000","1","FSP0002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182" s="15"/>
      <c r="D1182" s="16" t="str">
        <f>"FSP0002"</f>
        <v>FSP0002</v>
      </c>
      <c r="E1182" s="16">
        <v>30000</v>
      </c>
      <c r="F1182" s="16" t="str">
        <f>"ISP0002"</f>
        <v>ISP0002</v>
      </c>
      <c r="G1182" s="17" t="str">
        <f>"Individual ORG North Coast Cinnamon Sauce pouch"</f>
        <v>Individual ORG North Coast Cinnamon Sauce pouch</v>
      </c>
      <c r="H1182" s="18" t="str">
        <f t="shared" si="144"/>
        <v>POUCHES</v>
      </c>
      <c r="I1182" s="19">
        <v>48</v>
      </c>
      <c r="J1182" s="20">
        <v>48</v>
      </c>
    </row>
    <row r="1183" spans="1:10" ht="15.75" thickBot="1" x14ac:dyDescent="0.3">
      <c r="A1183" t="s">
        <v>31</v>
      </c>
      <c r="B1183" s="15" t="str">
        <f>"""Manzana NAV"",""MANZANA"",""99000772"",""44"","" "",""22"",""False"",""43"",""0.00000000000000000000"",""12"",""Individual TEST Apple Sauce Pouch"",""50220"",""False"",""29"","""",""50210"",""True"",""18"","""",""11"",""ISPT000"",""2"",""30000"",""1"",""FSPT000"",""14"",""36.00000000000000000000"",""45"",""36"&amp;"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TEST Apple Sauce Pouch","50220","False","29","","50210","True","18","","11","ISPT000","2","30000","1","FSPT000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183" s="15"/>
      <c r="D1183" s="16" t="str">
        <f>"FSPT000"</f>
        <v>FSPT000</v>
      </c>
      <c r="E1183" s="16">
        <v>30000</v>
      </c>
      <c r="F1183" s="16" t="str">
        <f>"ISPT000"</f>
        <v>ISPT000</v>
      </c>
      <c r="G1183" s="17" t="str">
        <f>"Individual TEST Apple Sauce Pouch"</f>
        <v>Individual TEST Apple Sauce Pouch</v>
      </c>
      <c r="H1183" s="18" t="str">
        <f t="shared" si="144"/>
        <v>POUCHES</v>
      </c>
      <c r="I1183" s="19">
        <v>36</v>
      </c>
      <c r="J1183" s="20">
        <v>36</v>
      </c>
    </row>
    <row r="1184" spans="1:10" ht="15.75" thickBot="1" x14ac:dyDescent="0.3">
      <c r="A1184" t="s">
        <v>31</v>
      </c>
      <c r="B1184" s="15" t="str">
        <f>"""Manzana NAV"",""MANZANA"",""99000772"",""44"","" "",""22"",""False"",""43"",""0.00000000000000000000"",""12"",""Individual TEST Apple Sauce Pouch"",""50220"",""False"",""29"","""",""50210"",""True"",""18"","""",""11"",""ISPT000"",""2"",""30000"",""1"",""FSPT001"",""14"",""20.00000000000000000000"",""45"",""20"&amp;"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TEST Apple Sauce Pouch","50220","False","29","","50210","True","18","","11","ISPT000","2","30000","1","FSPT001","14","20.00000000000000000000","45","20.00000000000000000000","19","","20","0.00000000000000000000","50000","0.00000000000000000000","50230","False","28","","10","Item","13","POUCHES","21","","3","","42","0.00000000000000000000","50200","False","41","0.00000000000000000000"</v>
      </c>
      <c r="C1184" s="15"/>
      <c r="D1184" s="16" t="str">
        <f>"FSPT001"</f>
        <v>FSPT001</v>
      </c>
      <c r="E1184" s="16">
        <v>30000</v>
      </c>
      <c r="F1184" s="16" t="str">
        <f>"ISPT000"</f>
        <v>ISPT000</v>
      </c>
      <c r="G1184" s="17" t="str">
        <f>"Individual TEST Apple Sauce Pouch"</f>
        <v>Individual TEST Apple Sauce Pouch</v>
      </c>
      <c r="H1184" s="18" t="str">
        <f t="shared" si="144"/>
        <v>POUCHES</v>
      </c>
      <c r="I1184" s="19">
        <v>20</v>
      </c>
      <c r="J1184" s="20">
        <v>20</v>
      </c>
    </row>
    <row r="1185" spans="1:10" ht="15.75" thickBot="1" x14ac:dyDescent="0.3">
      <c r="A1185" t="s">
        <v>31</v>
      </c>
      <c r="B1185" s="15" t="str">
        <f>"""Manzana NAV"",""MANZANA"",""99000772"",""44"","" "",""22"",""False"",""43"",""0.00000000000000000000"",""12"",""Individual TEST Apple Sauce Pouch"",""50220"",""False"",""29"","""",""50210"",""True"",""18"","""",""11"",""ISPT000"",""2"",""30000"",""1"",""FSPT002"",""14"",""36.00000000000000000000"",""45"",""36"&amp;"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TEST Apple Sauce Pouch","50220","False","29","","50210","True","18","","11","ISPT000","2","30000","1","FSPT002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185" s="15"/>
      <c r="D1185" s="16" t="str">
        <f>"FSPT002"</f>
        <v>FSPT002</v>
      </c>
      <c r="E1185" s="16">
        <v>30000</v>
      </c>
      <c r="F1185" s="16" t="str">
        <f>"ISPT000"</f>
        <v>ISPT000</v>
      </c>
      <c r="G1185" s="17" t="str">
        <f>"Individual TEST Apple Sauce Pouch"</f>
        <v>Individual TEST Apple Sauce Pouch</v>
      </c>
      <c r="H1185" s="18" t="str">
        <f t="shared" si="144"/>
        <v>POUCHES</v>
      </c>
      <c r="I1185" s="19">
        <v>36</v>
      </c>
      <c r="J1185" s="20">
        <v>36</v>
      </c>
    </row>
    <row r="1186" spans="1:10" ht="15.75" thickBot="1" x14ac:dyDescent="0.3">
      <c r="A1186" t="s">
        <v>31</v>
      </c>
      <c r="B1186" s="15" t="str">
        <f>"""Manzana NAV"",""MANZANA"",""99000772"",""44"","" "",""22"",""False"",""43"",""0.00000000000000000000"",""12"",""Intermed 24oz Jar Org blkbry (2%)MZapples/SGigdt"",""50220"",""False"",""29"","""",""50210"",""True"",""18"","""",""11"",""ISJ034"",""2"",""30000"",""1"",""FS0073B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 24oz Jar Org blkbry (2%)MZapples/SGigdt","50220","False","29","","50210","True","18","","11","ISJ034","2","30000","1","FS0073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86" s="15"/>
      <c r="D1186" s="16" t="str">
        <f>"FS0073B"</f>
        <v>FS0073B</v>
      </c>
      <c r="E1186" s="16">
        <v>30000</v>
      </c>
      <c r="F1186" s="16" t="str">
        <f>"ISJ034"</f>
        <v>ISJ034</v>
      </c>
      <c r="G1186" s="17" t="str">
        <f>"Intermed 24oz Jar Org blkbry (2%)MZapples/SGigdt"</f>
        <v>Intermed 24oz Jar Org blkbry (2%)MZapples/SGigdt</v>
      </c>
      <c r="H1186" s="18" t="str">
        <f>"JARS"</f>
        <v>JARS</v>
      </c>
      <c r="I1186" s="19">
        <v>12</v>
      </c>
      <c r="J1186" s="20">
        <v>12</v>
      </c>
    </row>
    <row r="1187" spans="1:10" ht="15.75" thickBot="1" x14ac:dyDescent="0.3">
      <c r="A1187" t="s">
        <v>31</v>
      </c>
      <c r="B1187" s="15" t="str">
        <f>"""Manzana NAV"",""MANZANA"",""99000772"",""44"","" "",""22"",""False"",""43"",""0.00000000000000000000"",""12"",""Intermediar 4oz Cup - ORG Apricot Sauce - no vit C"",""50220"",""False"",""29"","""",""50210"",""True"",""18"","""",""11"",""ISCU024"",""2"",""10000"",""1"",""Z-FS0091"",""14"",""80.000000000000"&amp;"00000000"",""45"",""80.00000000000000000000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 4oz Cup - ORG Apricot Sauce - no vit C","50220","False","29","","50210","True","18","","11","ISCU024","2","10000","1","Z-FS0091","14","80.00000000000000000000","45","80.00000000000000000000","19","","20","0.00000000000000000000","50000","0.00000000000000000000","50230","False","28","","10","Item","13","CUPS","21","","3","","42","0.00000000000000000000","50200","False","41","0.00000000000000000000"</v>
      </c>
      <c r="C1187" s="15"/>
      <c r="D1187" s="16" t="str">
        <f>"Z-FS0091"</f>
        <v>Z-FS0091</v>
      </c>
      <c r="E1187" s="16">
        <v>10000</v>
      </c>
      <c r="F1187" s="16" t="str">
        <f>"ISCU024"</f>
        <v>ISCU024</v>
      </c>
      <c r="G1187" s="17" t="str">
        <f>"Intermediar 4oz Cup - ORG Apricot Sauce - no vit C"</f>
        <v>Intermediar 4oz Cup - ORG Apricot Sauce - no vit C</v>
      </c>
      <c r="H1187" s="18" t="str">
        <f>"CUPS"</f>
        <v>CUPS</v>
      </c>
      <c r="I1187" s="19">
        <v>80</v>
      </c>
      <c r="J1187" s="20">
        <v>80</v>
      </c>
    </row>
    <row r="1188" spans="1:10" ht="15.75" thickBot="1" x14ac:dyDescent="0.3">
      <c r="A1188" t="s">
        <v>31</v>
      </c>
      <c r="B1188" s="15" t="str">
        <f>"""Manzana NAV"",""MANZANA"",""99000772"",""44"","" "",""22"",""False"",""43"",""0.00000000000000000000"",""12"",""Intermediary 24oz Jar - NAT Apricot (2% VC)"",""50220"",""False"",""29"","""",""50210"",""True"",""18"","""",""11"",""ISJ019"",""2"",""10000"",""1"",""FS0131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Apricot (2% VC)","50220","False","29","","50210","True","18","","11","ISJ019","2","10000","1","FS0131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88" s="15"/>
      <c r="D1188" s="16" t="str">
        <f>"FS0131"</f>
        <v>FS0131</v>
      </c>
      <c r="E1188" s="16">
        <v>10000</v>
      </c>
      <c r="F1188" s="16" t="str">
        <f>"ISJ019"</f>
        <v>ISJ019</v>
      </c>
      <c r="G1188" s="17" t="str">
        <f>"Intermediary 24oz Jar - NAT Apricot (2% VC)"</f>
        <v>Intermediary 24oz Jar - NAT Apricot (2% VC)</v>
      </c>
      <c r="H1188" s="18" t="str">
        <f t="shared" ref="H1188:H1251" si="145">"JARS"</f>
        <v>JARS</v>
      </c>
      <c r="I1188" s="19">
        <v>12</v>
      </c>
      <c r="J1188" s="20">
        <v>12</v>
      </c>
    </row>
    <row r="1189" spans="1:10" ht="15.75" thickBot="1" x14ac:dyDescent="0.3">
      <c r="A1189" t="s">
        <v>31</v>
      </c>
      <c r="B1189" s="15" t="str">
        <f>"""Manzana NAV"",""MANZANA"",""99000772"",""44"","" "",""22"",""False"",""43"",""0.00000000000000000000"",""12"",""Intermediary 24oz Jar - NAT Apricot (2% VC)"",""50220"",""False"",""29"","""",""50210"",""True"",""18"","""",""11"",""ISJ019"",""2"",""15000"",""1"",""FS0063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Apricot (2% VC)","50220","False","29","","50210","True","18","","11","ISJ019","2","15000","1","FS0063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89" s="15"/>
      <c r="D1189" s="16" t="str">
        <f>"FS0063"</f>
        <v>FS0063</v>
      </c>
      <c r="E1189" s="16">
        <v>15000</v>
      </c>
      <c r="F1189" s="16" t="str">
        <f>"ISJ019"</f>
        <v>ISJ019</v>
      </c>
      <c r="G1189" s="17" t="str">
        <f>"Intermediary 24oz Jar - NAT Apricot (2% VC)"</f>
        <v>Intermediary 24oz Jar - NAT Apricot (2% VC)</v>
      </c>
      <c r="H1189" s="18" t="str">
        <f t="shared" si="145"/>
        <v>JARS</v>
      </c>
      <c r="I1189" s="19">
        <v>12</v>
      </c>
      <c r="J1189" s="20">
        <v>12</v>
      </c>
    </row>
    <row r="1190" spans="1:10" ht="15.75" thickBot="1" x14ac:dyDescent="0.3">
      <c r="A1190" t="s">
        <v>31</v>
      </c>
      <c r="B1190" s="15" t="str">
        <f>"""Manzana NAV"",""MANZANA"",""99000772"",""44"","" "",""22"",""False"",""43"",""0.00000000000000000000"",""12"",""Intermediary 24oz Jar - NAT Blend (2% VC)"",""50220"",""False"",""29"","""",""50210"",""True"",""18"","""",""11"",""ISJ007"",""2"",""10000"",""1"",""FS0003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10000","1","FS0003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0" s="15"/>
      <c r="D1190" s="16" t="str">
        <f>"FS0003"</f>
        <v>FS0003</v>
      </c>
      <c r="E1190" s="16">
        <v>10000</v>
      </c>
      <c r="F1190" s="16" t="str">
        <f t="shared" ref="F1190:F1197" si="146">"ISJ007"</f>
        <v>ISJ007</v>
      </c>
      <c r="G1190" s="17" t="str">
        <f t="shared" ref="G1190:G1197" si="147">"Intermediary 24oz Jar - NAT Blend (2% VC)"</f>
        <v>Intermediary 24oz Jar - NAT Blend (2% VC)</v>
      </c>
      <c r="H1190" s="18" t="str">
        <f t="shared" si="145"/>
        <v>JARS</v>
      </c>
      <c r="I1190" s="19">
        <v>12</v>
      </c>
      <c r="J1190" s="20">
        <v>12</v>
      </c>
    </row>
    <row r="1191" spans="1:10" ht="15.75" thickBot="1" x14ac:dyDescent="0.3">
      <c r="A1191" t="s">
        <v>31</v>
      </c>
      <c r="B1191" s="15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0055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0055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1" s="15"/>
      <c r="D1191" s="16" t="str">
        <f>"FS0055"</f>
        <v>FS0055</v>
      </c>
      <c r="E1191" s="16">
        <v>30000</v>
      </c>
      <c r="F1191" s="16" t="str">
        <f t="shared" si="146"/>
        <v>ISJ007</v>
      </c>
      <c r="G1191" s="17" t="str">
        <f t="shared" si="147"/>
        <v>Intermediary 24oz Jar - NAT Blend (2% VC)</v>
      </c>
      <c r="H1191" s="18" t="str">
        <f t="shared" si="145"/>
        <v>JARS</v>
      </c>
      <c r="I1191" s="19">
        <v>12</v>
      </c>
      <c r="J1191" s="20">
        <v>12</v>
      </c>
    </row>
    <row r="1192" spans="1:10" ht="15.75" thickBot="1" x14ac:dyDescent="0.3">
      <c r="A1192" t="s">
        <v>31</v>
      </c>
      <c r="B1192" s="15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0061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0061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2" s="15"/>
      <c r="D1192" s="16" t="str">
        <f>"FS0061"</f>
        <v>FS0061</v>
      </c>
      <c r="E1192" s="16">
        <v>30000</v>
      </c>
      <c r="F1192" s="16" t="str">
        <f t="shared" si="146"/>
        <v>ISJ007</v>
      </c>
      <c r="G1192" s="17" t="str">
        <f t="shared" si="147"/>
        <v>Intermediary 24oz Jar - NAT Blend (2% VC)</v>
      </c>
      <c r="H1192" s="18" t="str">
        <f t="shared" si="145"/>
        <v>JARS</v>
      </c>
      <c r="I1192" s="19">
        <v>12</v>
      </c>
      <c r="J1192" s="20">
        <v>12</v>
      </c>
    </row>
    <row r="1193" spans="1:10" ht="15.75" thickBot="1" x14ac:dyDescent="0.3">
      <c r="A1193" t="s">
        <v>31</v>
      </c>
      <c r="B1193" s="15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0190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0190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3" s="15"/>
      <c r="D1193" s="16" t="str">
        <f>"FS0190"</f>
        <v>FS0190</v>
      </c>
      <c r="E1193" s="16">
        <v>30000</v>
      </c>
      <c r="F1193" s="16" t="str">
        <f t="shared" si="146"/>
        <v>ISJ007</v>
      </c>
      <c r="G1193" s="17" t="str">
        <f t="shared" si="147"/>
        <v>Intermediary 24oz Jar - NAT Blend (2% VC)</v>
      </c>
      <c r="H1193" s="18" t="str">
        <f t="shared" si="145"/>
        <v>JARS</v>
      </c>
      <c r="I1193" s="19">
        <v>12</v>
      </c>
      <c r="J1193" s="20">
        <v>12</v>
      </c>
    </row>
    <row r="1194" spans="1:10" ht="15.75" thickBot="1" x14ac:dyDescent="0.3">
      <c r="A1194" t="s">
        <v>31</v>
      </c>
      <c r="B1194" s="15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0196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0196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4" s="15"/>
      <c r="D1194" s="16" t="str">
        <f>"FS0196"</f>
        <v>FS0196</v>
      </c>
      <c r="E1194" s="16">
        <v>30000</v>
      </c>
      <c r="F1194" s="16" t="str">
        <f t="shared" si="146"/>
        <v>ISJ007</v>
      </c>
      <c r="G1194" s="17" t="str">
        <f t="shared" si="147"/>
        <v>Intermediary 24oz Jar - NAT Blend (2% VC)</v>
      </c>
      <c r="H1194" s="18" t="str">
        <f t="shared" si="145"/>
        <v>JARS</v>
      </c>
      <c r="I1194" s="19">
        <v>12</v>
      </c>
      <c r="J1194" s="20">
        <v>12</v>
      </c>
    </row>
    <row r="1195" spans="1:10" ht="15.75" thickBot="1" x14ac:dyDescent="0.3">
      <c r="A1195" t="s">
        <v>31</v>
      </c>
      <c r="B1195" s="15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Z-FS0042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Z-FS0042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5" s="15"/>
      <c r="D1195" s="16" t="str">
        <f>"Z-FS0042"</f>
        <v>Z-FS0042</v>
      </c>
      <c r="E1195" s="16">
        <v>30000</v>
      </c>
      <c r="F1195" s="16" t="str">
        <f t="shared" si="146"/>
        <v>ISJ007</v>
      </c>
      <c r="G1195" s="17" t="str">
        <f t="shared" si="147"/>
        <v>Intermediary 24oz Jar - NAT Blend (2% VC)</v>
      </c>
      <c r="H1195" s="18" t="str">
        <f t="shared" si="145"/>
        <v>JARS</v>
      </c>
      <c r="I1195" s="19">
        <v>12</v>
      </c>
      <c r="J1195" s="20">
        <v>12</v>
      </c>
    </row>
    <row r="1196" spans="1:10" ht="15.75" thickBot="1" x14ac:dyDescent="0.3">
      <c r="A1196" t="s">
        <v>31</v>
      </c>
      <c r="B1196" s="15" t="str">
        <f>"""Manzana NAV"",""MANZANA"",""99000772"",""44"","" "",""22"",""False"",""43"",""0.00000000000000000000"",""12"",""Intermediary 24oz Jar - NAT Blend (2% VC)"",""50220"",""False"",""29"","""",""50210"",""True"",""18"","""",""11"",""ISJ007"",""2"",""40000"",""1"",""FS0010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40000","1","FS0010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6" s="15"/>
      <c r="D1196" s="16" t="str">
        <f>"FS0010"</f>
        <v>FS0010</v>
      </c>
      <c r="E1196" s="16">
        <v>40000</v>
      </c>
      <c r="F1196" s="16" t="str">
        <f t="shared" si="146"/>
        <v>ISJ007</v>
      </c>
      <c r="G1196" s="17" t="str">
        <f t="shared" si="147"/>
        <v>Intermediary 24oz Jar - NAT Blend (2% VC)</v>
      </c>
      <c r="H1196" s="18" t="str">
        <f t="shared" si="145"/>
        <v>JARS</v>
      </c>
      <c r="I1196" s="19">
        <v>12</v>
      </c>
      <c r="J1196" s="20">
        <v>12</v>
      </c>
    </row>
    <row r="1197" spans="1:10" ht="15.75" thickBot="1" x14ac:dyDescent="0.3">
      <c r="A1197" t="s">
        <v>31</v>
      </c>
      <c r="B1197" s="15" t="str">
        <f>"""Manzana NAV"",""MANZANA"",""99000772"",""44"","" "",""22"",""False"",""43"",""0.00000000000000000000"",""12"",""Intermediary 24oz Jar - NAT Blend (2% VC)"",""50220"",""False"",""29"","""",""50210"",""True"",""18"","""",""11"",""ISJ007"",""2"",""40000"",""1"",""FS0022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40000","1","FS0022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7" s="15"/>
      <c r="D1197" s="16" t="str">
        <f>"FS0022"</f>
        <v>FS0022</v>
      </c>
      <c r="E1197" s="16">
        <v>40000</v>
      </c>
      <c r="F1197" s="16" t="str">
        <f t="shared" si="146"/>
        <v>ISJ007</v>
      </c>
      <c r="G1197" s="17" t="str">
        <f t="shared" si="147"/>
        <v>Intermediary 24oz Jar - NAT Blend (2% VC)</v>
      </c>
      <c r="H1197" s="18" t="str">
        <f t="shared" si="145"/>
        <v>JARS</v>
      </c>
      <c r="I1197" s="19">
        <v>12</v>
      </c>
      <c r="J1197" s="20">
        <v>12</v>
      </c>
    </row>
    <row r="1198" spans="1:10" ht="15.75" thickBot="1" x14ac:dyDescent="0.3">
      <c r="A1198" t="s">
        <v>31</v>
      </c>
      <c r="B1198" s="15" t="str">
        <f>"""Manzana NAV"",""MANZANA"",""99000772"",""44"","" "",""22"",""False"",""43"",""0.00000000000000000000"",""12"",""Intermediary 24oz Jar - NAT Cinn (2% VC)"",""50220"",""False"",""29"","""",""50210"",""True"",""18"","""",""11"",""ISJ028"",""2"",""10000"",""1"",""FS0123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10000","1","FS0123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8" s="15"/>
      <c r="D1198" s="16" t="str">
        <f>"FS0123"</f>
        <v>FS0123</v>
      </c>
      <c r="E1198" s="16">
        <v>10000</v>
      </c>
      <c r="F1198" s="16" t="str">
        <f t="shared" ref="F1198:F1203" si="148">"ISJ028"</f>
        <v>ISJ028</v>
      </c>
      <c r="G1198" s="17" t="str">
        <f t="shared" ref="G1198:G1203" si="149">"Intermediary 24oz Jar - NAT Cinn (2% VC)"</f>
        <v>Intermediary 24oz Jar - NAT Cinn (2% VC)</v>
      </c>
      <c r="H1198" s="18" t="str">
        <f t="shared" si="145"/>
        <v>JARS</v>
      </c>
      <c r="I1198" s="19">
        <v>12</v>
      </c>
      <c r="J1198" s="20">
        <v>12</v>
      </c>
    </row>
    <row r="1199" spans="1:10" ht="15.75" thickBot="1" x14ac:dyDescent="0.3">
      <c r="A1199" t="s">
        <v>31</v>
      </c>
      <c r="B1199" s="15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0062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0062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9" s="15"/>
      <c r="D1199" s="16" t="str">
        <f>"FS0062"</f>
        <v>FS0062</v>
      </c>
      <c r="E1199" s="16">
        <v>30000</v>
      </c>
      <c r="F1199" s="16" t="str">
        <f t="shared" si="148"/>
        <v>ISJ028</v>
      </c>
      <c r="G1199" s="17" t="str">
        <f t="shared" si="149"/>
        <v>Intermediary 24oz Jar - NAT Cinn (2% VC)</v>
      </c>
      <c r="H1199" s="18" t="str">
        <f t="shared" si="145"/>
        <v>JARS</v>
      </c>
      <c r="I1199" s="19">
        <v>12</v>
      </c>
      <c r="J1199" s="20">
        <v>12</v>
      </c>
    </row>
    <row r="1200" spans="1:10" ht="15.75" thickBot="1" x14ac:dyDescent="0.3">
      <c r="A1200" t="s">
        <v>31</v>
      </c>
      <c r="B1200" s="15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0138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0138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0" s="15"/>
      <c r="D1200" s="16" t="str">
        <f>"FS0138"</f>
        <v>FS0138</v>
      </c>
      <c r="E1200" s="16">
        <v>30000</v>
      </c>
      <c r="F1200" s="16" t="str">
        <f t="shared" si="148"/>
        <v>ISJ028</v>
      </c>
      <c r="G1200" s="17" t="str">
        <f t="shared" si="149"/>
        <v>Intermediary 24oz Jar - NAT Cinn (2% VC)</v>
      </c>
      <c r="H1200" s="18" t="str">
        <f t="shared" si="145"/>
        <v>JARS</v>
      </c>
      <c r="I1200" s="19">
        <v>12</v>
      </c>
      <c r="J1200" s="20">
        <v>12</v>
      </c>
    </row>
    <row r="1201" spans="1:10" ht="15.75" thickBot="1" x14ac:dyDescent="0.3">
      <c r="A1201" t="s">
        <v>31</v>
      </c>
      <c r="B1201" s="15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0191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0191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1" s="15"/>
      <c r="D1201" s="16" t="str">
        <f>"FS0191"</f>
        <v>FS0191</v>
      </c>
      <c r="E1201" s="16">
        <v>30000</v>
      </c>
      <c r="F1201" s="16" t="str">
        <f t="shared" si="148"/>
        <v>ISJ028</v>
      </c>
      <c r="G1201" s="17" t="str">
        <f t="shared" si="149"/>
        <v>Intermediary 24oz Jar - NAT Cinn (2% VC)</v>
      </c>
      <c r="H1201" s="18" t="str">
        <f t="shared" si="145"/>
        <v>JARS</v>
      </c>
      <c r="I1201" s="19">
        <v>12</v>
      </c>
      <c r="J1201" s="20">
        <v>12</v>
      </c>
    </row>
    <row r="1202" spans="1:10" ht="15.75" thickBot="1" x14ac:dyDescent="0.3">
      <c r="A1202" t="s">
        <v>31</v>
      </c>
      <c r="B1202" s="15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0197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0197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2" s="15"/>
      <c r="D1202" s="16" t="str">
        <f>"FS0197"</f>
        <v>FS0197</v>
      </c>
      <c r="E1202" s="16">
        <v>30000</v>
      </c>
      <c r="F1202" s="16" t="str">
        <f t="shared" si="148"/>
        <v>ISJ028</v>
      </c>
      <c r="G1202" s="17" t="str">
        <f t="shared" si="149"/>
        <v>Intermediary 24oz Jar - NAT Cinn (2% VC)</v>
      </c>
      <c r="H1202" s="18" t="str">
        <f t="shared" si="145"/>
        <v>JARS</v>
      </c>
      <c r="I1202" s="19">
        <v>12</v>
      </c>
      <c r="J1202" s="20">
        <v>12</v>
      </c>
    </row>
    <row r="1203" spans="1:10" ht="15.75" thickBot="1" x14ac:dyDescent="0.3">
      <c r="A1203" t="s">
        <v>31</v>
      </c>
      <c r="B1203" s="15" t="str">
        <f>"""Manzana NAV"",""MANZANA"",""99000772"",""44"","" "",""22"",""False"",""43"",""0.00000000000000000000"",""12"",""Intermediary 24oz Jar - NAT Cinn (2% VC)"",""50220"",""False"",""29"","""",""50210"",""True"",""18"","""",""11"",""ISJ028"",""2"",""40000"",""1"",""FS0028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40000","1","FS0028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3" s="15"/>
      <c r="D1203" s="16" t="str">
        <f>"FS0028"</f>
        <v>FS0028</v>
      </c>
      <c r="E1203" s="16">
        <v>40000</v>
      </c>
      <c r="F1203" s="16" t="str">
        <f t="shared" si="148"/>
        <v>ISJ028</v>
      </c>
      <c r="G1203" s="17" t="str">
        <f t="shared" si="149"/>
        <v>Intermediary 24oz Jar - NAT Cinn (2% VC)</v>
      </c>
      <c r="H1203" s="18" t="str">
        <f t="shared" si="145"/>
        <v>JARS</v>
      </c>
      <c r="I1203" s="19">
        <v>12</v>
      </c>
      <c r="J1203" s="20">
        <v>12</v>
      </c>
    </row>
    <row r="1204" spans="1:10" ht="15.75" thickBot="1" x14ac:dyDescent="0.3">
      <c r="A1204" t="s">
        <v>31</v>
      </c>
      <c r="B1204" s="15" t="str">
        <f>"""Manzana NAV"",""MANZANA"",""99000772"",""44"","" "",""22"",""False"",""43"",""0.00000000000000000000"",""12"",""Intermediary 24oz Jar - NAT Grav (2% VC)"",""50220"",""False"",""29"","""",""50210"",""True"",""18"","""",""11"",""ISJ008"",""2"",""20000"",""1"",""FS0006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20000","1","FS0006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4" s="15"/>
      <c r="D1204" s="16" t="str">
        <f>"FS0006"</f>
        <v>FS0006</v>
      </c>
      <c r="E1204" s="16">
        <v>20000</v>
      </c>
      <c r="F1204" s="16" t="str">
        <f>"ISJ008"</f>
        <v>ISJ008</v>
      </c>
      <c r="G1204" s="17" t="str">
        <f>"Intermediary 24oz Jar - NAT Grav (2% VC)"</f>
        <v>Intermediary 24oz Jar - NAT Grav (2% VC)</v>
      </c>
      <c r="H1204" s="18" t="str">
        <f t="shared" si="145"/>
        <v>JARS</v>
      </c>
      <c r="I1204" s="19">
        <v>12</v>
      </c>
      <c r="J1204" s="20">
        <v>12</v>
      </c>
    </row>
    <row r="1205" spans="1:10" ht="15.75" thickBot="1" x14ac:dyDescent="0.3">
      <c r="A1205" t="s">
        <v>31</v>
      </c>
      <c r="B1205" s="15" t="str">
        <f>"""Manzana NAV"",""MANZANA"",""99000772"",""44"","" "",""22"",""False"",""43"",""0.00000000000000000000"",""12"",""Intermediary 24oz Jar - NAT Grav (2% VC)"",""50220"",""False"",""29"","""",""50210"",""True"",""18"","""",""11"",""ISJ008"",""2"",""40000"",""1"",""FS0023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40000","1","FS0023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5" s="15"/>
      <c r="D1205" s="16" t="str">
        <f>"FS0023"</f>
        <v>FS0023</v>
      </c>
      <c r="E1205" s="16">
        <v>40000</v>
      </c>
      <c r="F1205" s="16" t="str">
        <f>"ISJ008"</f>
        <v>ISJ008</v>
      </c>
      <c r="G1205" s="17" t="str">
        <f>"Intermediary 24oz Jar - NAT Grav (2% VC)"</f>
        <v>Intermediary 24oz Jar - NAT Grav (2% VC)</v>
      </c>
      <c r="H1205" s="18" t="str">
        <f t="shared" si="145"/>
        <v>JARS</v>
      </c>
      <c r="I1205" s="19">
        <v>12</v>
      </c>
      <c r="J1205" s="20">
        <v>12</v>
      </c>
    </row>
    <row r="1206" spans="1:10" ht="15.75" thickBot="1" x14ac:dyDescent="0.3">
      <c r="A1206" t="s">
        <v>31</v>
      </c>
      <c r="B1206" s="15" t="str">
        <f>"""Manzana NAV"",""MANZANA"",""99000772"",""44"","" "",""22"",""False"",""43"",""0.00000000000000000000"",""12"",""Intermediary 24oz Jar - NAT Grav (2% VC)"",""50220"",""False"",""29"","""",""50210"",""True"",""18"","""",""11"",""ISJ008"",""2"",""40000"",""1"",""FS0027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40000","1","FS0027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6" s="15"/>
      <c r="D1206" s="16" t="str">
        <f>"FS0027"</f>
        <v>FS0027</v>
      </c>
      <c r="E1206" s="16">
        <v>40000</v>
      </c>
      <c r="F1206" s="16" t="str">
        <f>"ISJ008"</f>
        <v>ISJ008</v>
      </c>
      <c r="G1206" s="17" t="str">
        <f>"Intermediary 24oz Jar - NAT Grav (2% VC)"</f>
        <v>Intermediary 24oz Jar - NAT Grav (2% VC)</v>
      </c>
      <c r="H1206" s="18" t="str">
        <f t="shared" si="145"/>
        <v>JARS</v>
      </c>
      <c r="I1206" s="19">
        <v>12</v>
      </c>
      <c r="J1206" s="20">
        <v>12</v>
      </c>
    </row>
    <row r="1207" spans="1:10" ht="15.75" thickBot="1" x14ac:dyDescent="0.3">
      <c r="A1207" t="s">
        <v>31</v>
      </c>
      <c r="B1207" s="15" t="str">
        <f>"""Manzana NAV"",""MANZANA"",""99000772"",""44"","" "",""22"",""False"",""43"",""0.00000000000000000000"",""12"",""Intermediary 24oz Jar - NAT Grav (2% VC)"",""50220"",""False"",""29"","""",""50210"",""True"",""18"","""",""11"",""ISJ008"",""2"",""40000"",""1"",""FS0030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40000","1","FS0030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7" s="15"/>
      <c r="D1207" s="16" t="str">
        <f>"FS0030"</f>
        <v>FS0030</v>
      </c>
      <c r="E1207" s="16">
        <v>40000</v>
      </c>
      <c r="F1207" s="16" t="str">
        <f>"ISJ008"</f>
        <v>ISJ008</v>
      </c>
      <c r="G1207" s="17" t="str">
        <f>"Intermediary 24oz Jar - NAT Grav (2% VC)"</f>
        <v>Intermediary 24oz Jar - NAT Grav (2% VC)</v>
      </c>
      <c r="H1207" s="18" t="str">
        <f t="shared" si="145"/>
        <v>JARS</v>
      </c>
      <c r="I1207" s="19">
        <v>12</v>
      </c>
      <c r="J1207" s="20">
        <v>12</v>
      </c>
    </row>
    <row r="1208" spans="1:10" ht="15.75" thickBot="1" x14ac:dyDescent="0.3">
      <c r="A1208" t="s">
        <v>31</v>
      </c>
      <c r="B1208" s="15" t="str">
        <f>"""Manzana NAV"",""MANZANA"",""99000772"",""44"","" "",""22"",""False"",""43"",""0.00000000000000000000"",""12"",""Intermediary 24oz Jar - NAT Sweet Blend (100% VC)"",""50220"",""False"",""29"","""",""50210"",""True"",""18"","""",""11"",""ISJ009"",""2"",""20000"",""1"",""FS0148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Blend (100% VC)","50220","False","29","","50210","True","18","","11","ISJ009","2","20000","1","FS0148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8" s="15"/>
      <c r="D1208" s="16" t="str">
        <f>"FS0148"</f>
        <v>FS0148</v>
      </c>
      <c r="E1208" s="16">
        <v>20000</v>
      </c>
      <c r="F1208" s="16" t="str">
        <f>"ISJ009"</f>
        <v>ISJ009</v>
      </c>
      <c r="G1208" s="17" t="str">
        <f>"Intermediary 24oz Jar - NAT Sweet Blend (100% VC)"</f>
        <v>Intermediary 24oz Jar - NAT Sweet Blend (100% VC)</v>
      </c>
      <c r="H1208" s="18" t="str">
        <f t="shared" si="145"/>
        <v>JARS</v>
      </c>
      <c r="I1208" s="19">
        <v>12</v>
      </c>
      <c r="J1208" s="20">
        <v>12</v>
      </c>
    </row>
    <row r="1209" spans="1:10" ht="15.75" thickBot="1" x14ac:dyDescent="0.3">
      <c r="A1209" t="s">
        <v>31</v>
      </c>
      <c r="B1209" s="15" t="str">
        <f>"""Manzana NAV"",""MANZANA"",""99000772"",""44"","" "",""22"",""False"",""43"",""0.00000000000000000000"",""12"",""Intermediary 24oz Jar - NAT Sweet Blend (100% VC)"",""50220"",""False"",""29"","""",""50210"",""True"",""18"","""",""11"",""ISJ009"",""2"",""40000"",""1"",""FS0134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Blend (100% VC)","50220","False","29","","50210","True","18","","11","ISJ009","2","40000","1","FS0134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9" s="15"/>
      <c r="D1209" s="16" t="str">
        <f>"FS0134"</f>
        <v>FS0134</v>
      </c>
      <c r="E1209" s="16">
        <v>40000</v>
      </c>
      <c r="F1209" s="16" t="str">
        <f>"ISJ009"</f>
        <v>ISJ009</v>
      </c>
      <c r="G1209" s="17" t="str">
        <f>"Intermediary 24oz Jar - NAT Sweet Blend (100% VC)"</f>
        <v>Intermediary 24oz Jar - NAT Sweet Blend (100% VC)</v>
      </c>
      <c r="H1209" s="18" t="str">
        <f t="shared" si="145"/>
        <v>JARS</v>
      </c>
      <c r="I1209" s="19">
        <v>12</v>
      </c>
      <c r="J1209" s="20">
        <v>12</v>
      </c>
    </row>
    <row r="1210" spans="1:10" ht="15.75" thickBot="1" x14ac:dyDescent="0.3">
      <c r="A1210" t="s">
        <v>31</v>
      </c>
      <c r="B1210" s="15" t="str">
        <f>"""Manzana NAV"",""MANZANA"",""99000772"",""44"","" "",""22"",""False"",""43"",""0.00000000000000000000"",""12"",""Intermediary 24oz Jar - NAT Sweet Grav (100% VC)"",""50220"",""False"",""29"","""",""50210"",""True"",""18"","""",""11"",""ISJ010"",""2"",""20000"",""1"",""FS0058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Grav (100% VC)","50220","False","29","","50210","True","18","","11","ISJ010","2","20000","1","FS0058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0" s="15"/>
      <c r="D1210" s="16" t="str">
        <f>"FS0058"</f>
        <v>FS0058</v>
      </c>
      <c r="E1210" s="16">
        <v>20000</v>
      </c>
      <c r="F1210" s="16" t="str">
        <f>"ISJ010"</f>
        <v>ISJ010</v>
      </c>
      <c r="G1210" s="17" t="str">
        <f>"Intermediary 24oz Jar - NAT Sweet Grav (100% VC)"</f>
        <v>Intermediary 24oz Jar - NAT Sweet Grav (100% VC)</v>
      </c>
      <c r="H1210" s="18" t="str">
        <f t="shared" si="145"/>
        <v>JARS</v>
      </c>
      <c r="I1210" s="19">
        <v>12</v>
      </c>
      <c r="J1210" s="20">
        <v>12</v>
      </c>
    </row>
    <row r="1211" spans="1:10" ht="15.75" thickBot="1" x14ac:dyDescent="0.3">
      <c r="A1211" t="s">
        <v>31</v>
      </c>
      <c r="B1211" s="15" t="str">
        <f>"""Manzana NAV"",""MANZANA"",""99000772"",""44"","" "",""22"",""False"",""43"",""0.00000000000000000000"",""12"",""Intermediary 24oz Jar - NAT Sweet Grav (100% VC)"",""50220"",""False"",""29"","""",""50210"",""True"",""18"","""",""11"",""ISJ010"",""2"",""30000"",""1"",""FS0128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Grav (100% VC)","50220","False","29","","50210","True","18","","11","ISJ010","2","30000","1","FS0128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1" s="15"/>
      <c r="D1211" s="16" t="str">
        <f>"FS0128"</f>
        <v>FS0128</v>
      </c>
      <c r="E1211" s="16">
        <v>30000</v>
      </c>
      <c r="F1211" s="16" t="str">
        <f>"ISJ010"</f>
        <v>ISJ010</v>
      </c>
      <c r="G1211" s="17" t="str">
        <f>"Intermediary 24oz Jar - NAT Sweet Grav (100% VC)"</f>
        <v>Intermediary 24oz Jar - NAT Sweet Grav (100% VC)</v>
      </c>
      <c r="H1211" s="18" t="str">
        <f t="shared" si="145"/>
        <v>JARS</v>
      </c>
      <c r="I1211" s="19">
        <v>12</v>
      </c>
      <c r="J1211" s="20">
        <v>12</v>
      </c>
    </row>
    <row r="1212" spans="1:10" ht="15.75" thickBot="1" x14ac:dyDescent="0.3">
      <c r="A1212" t="s">
        <v>31</v>
      </c>
      <c r="B1212" s="15" t="str">
        <f>"""Manzana NAV"",""MANZANA"",""99000772"",""44"","" "",""22"",""False"",""43"",""0.00000000000000000000"",""12"",""Intermediary 24oz Jar - ORG ApplePie Spice (2% VC)"",""50220"",""False"",""29"","""",""50210"",""True"",""18"","""",""11"",""ISJ030"",""2"",""30000"",""1"",""Z-FS0157"",""14"",""6.00000000000000"&amp;"000000"",""45"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ApplePie Spice (2% VC)","50220","False","29","","50210","True","18","","11","ISJ030","2","30000","1","Z-FS0157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12" s="15"/>
      <c r="D1212" s="16" t="str">
        <f>"Z-FS0157"</f>
        <v>Z-FS0157</v>
      </c>
      <c r="E1212" s="16">
        <v>30000</v>
      </c>
      <c r="F1212" s="16" t="str">
        <f>"ISJ030"</f>
        <v>ISJ030</v>
      </c>
      <c r="G1212" s="17" t="str">
        <f>"Intermediary 24oz Jar - ORG ApplePie Spice (2% VC)"</f>
        <v>Intermediary 24oz Jar - ORG ApplePie Spice (2% VC)</v>
      </c>
      <c r="H1212" s="18" t="str">
        <f t="shared" si="145"/>
        <v>JARS</v>
      </c>
      <c r="I1212" s="19">
        <v>6</v>
      </c>
      <c r="J1212" s="20">
        <v>6</v>
      </c>
    </row>
    <row r="1213" spans="1:10" ht="15.75" thickBot="1" x14ac:dyDescent="0.3">
      <c r="A1213" t="s">
        <v>31</v>
      </c>
      <c r="B1213" s="15" t="str">
        <f>"""Manzana NAV"",""MANZANA"",""99000772"",""44"","" "",""22"",""False"",""43"",""0.00000000000000000000"",""12"",""Intermediary 24oz Jar - ORG Apricot (2% VC)"",""50220"",""False"",""29"","""",""50210"",""True"",""18"","""",""11"",""ISJ015"",""2"",""10000"",""1"",""FS0127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10000","1","FS0127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3" s="15"/>
      <c r="D1213" s="16" t="str">
        <f>"FS0127"</f>
        <v>FS0127</v>
      </c>
      <c r="E1213" s="16">
        <v>10000</v>
      </c>
      <c r="F1213" s="16" t="str">
        <f>"ISJ015"</f>
        <v>ISJ015</v>
      </c>
      <c r="G1213" s="17" t="str">
        <f>"Intermediary 24oz Jar - ORG Apricot (2% VC)"</f>
        <v>Intermediary 24oz Jar - ORG Apricot (2% VC)</v>
      </c>
      <c r="H1213" s="18" t="str">
        <f t="shared" si="145"/>
        <v>JARS</v>
      </c>
      <c r="I1213" s="19">
        <v>12</v>
      </c>
      <c r="J1213" s="20">
        <v>12</v>
      </c>
    </row>
    <row r="1214" spans="1:10" ht="15.75" thickBot="1" x14ac:dyDescent="0.3">
      <c r="A1214" t="s">
        <v>31</v>
      </c>
      <c r="B1214" s="15" t="str">
        <f>"""Manzana NAV"",""MANZANA"",""99000772"",""44"","" "",""22"",""False"",""43"",""0.00000000000000000000"",""12"",""Intermediary 24oz Jar - ORG Apricot (2% VC)"",""50220"",""False"",""29"","""",""50210"",""True"",""18"","""",""11"",""ISJ015"",""2"",""20000"",""1"",""FS0162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20000","1","FS0162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4" s="15"/>
      <c r="D1214" s="16" t="str">
        <f>"FS0162"</f>
        <v>FS0162</v>
      </c>
      <c r="E1214" s="16">
        <v>20000</v>
      </c>
      <c r="F1214" s="16" t="str">
        <f>"ISJ015"</f>
        <v>ISJ015</v>
      </c>
      <c r="G1214" s="17" t="str">
        <f>"Intermediary 24oz Jar - ORG Apricot (2% VC)"</f>
        <v>Intermediary 24oz Jar - ORG Apricot (2% VC)</v>
      </c>
      <c r="H1214" s="18" t="str">
        <f t="shared" si="145"/>
        <v>JARS</v>
      </c>
      <c r="I1214" s="19">
        <v>12</v>
      </c>
      <c r="J1214" s="20">
        <v>12</v>
      </c>
    </row>
    <row r="1215" spans="1:10" ht="15.75" thickBot="1" x14ac:dyDescent="0.3">
      <c r="A1215" t="s">
        <v>31</v>
      </c>
      <c r="B1215" s="15" t="str">
        <f>"""Manzana NAV"",""MANZANA"",""99000772"",""44"","" "",""22"",""False"",""43"",""0.00000000000000000000"",""12"",""Intermediary 24oz Jar - ORG Apricot (2% VC)"",""50220"",""False"",""29"","""",""50210"",""True"",""18"","""",""11"",""ISJ015"",""2"",""30000"",""1"",""FS0046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30000","1","FS0046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5" s="15"/>
      <c r="D1215" s="16" t="str">
        <f>"FS0046"</f>
        <v>FS0046</v>
      </c>
      <c r="E1215" s="16">
        <v>30000</v>
      </c>
      <c r="F1215" s="16" t="str">
        <f>"ISJ015"</f>
        <v>ISJ015</v>
      </c>
      <c r="G1215" s="17" t="str">
        <f>"Intermediary 24oz Jar - ORG Apricot (2% VC)"</f>
        <v>Intermediary 24oz Jar - ORG Apricot (2% VC)</v>
      </c>
      <c r="H1215" s="18" t="str">
        <f t="shared" si="145"/>
        <v>JARS</v>
      </c>
      <c r="I1215" s="19">
        <v>12</v>
      </c>
      <c r="J1215" s="20">
        <v>12</v>
      </c>
    </row>
    <row r="1216" spans="1:10" ht="15.75" thickBot="1" x14ac:dyDescent="0.3">
      <c r="A1216" t="s">
        <v>31</v>
      </c>
      <c r="B1216" s="15" t="str">
        <f>"""Manzana NAV"",""MANZANA"",""99000772"",""44"","" "",""22"",""False"",""43"",""0.00000000000000000000"",""12"",""Intermediary 24oz Jar - ORG Apricot (2% VC)"",""50220"",""False"",""29"","""",""50210"",""True"",""18"","""",""11"",""ISJ015"",""2"",""30000"",""1"",""FS0050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30000","1","FS0050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6" s="15"/>
      <c r="D1216" s="16" t="str">
        <f>"FS0050"</f>
        <v>FS0050</v>
      </c>
      <c r="E1216" s="16">
        <v>30000</v>
      </c>
      <c r="F1216" s="16" t="str">
        <f>"ISJ015"</f>
        <v>ISJ015</v>
      </c>
      <c r="G1216" s="17" t="str">
        <f>"Intermediary 24oz Jar - ORG Apricot (2% VC)"</f>
        <v>Intermediary 24oz Jar - ORG Apricot (2% VC)</v>
      </c>
      <c r="H1216" s="18" t="str">
        <f t="shared" si="145"/>
        <v>JARS</v>
      </c>
      <c r="I1216" s="19">
        <v>12</v>
      </c>
      <c r="J1216" s="20">
        <v>12</v>
      </c>
    </row>
    <row r="1217" spans="1:10" ht="15.75" thickBot="1" x14ac:dyDescent="0.3">
      <c r="A1217" t="s">
        <v>31</v>
      </c>
      <c r="B1217" s="15" t="str">
        <f>"""Manzana NAV"",""MANZANA"",""99000772"",""44"","" "",""22"",""False"",""43"",""0.00000000000000000000"",""12"",""Intermediary 24oz Jar - ORG Apricot (2% VC)"",""50220"",""False"",""29"","""",""50210"",""True"",""18"","""",""11"",""ISJ015"",""2"",""30000"",""1"",""FS0071B"",""14"",""12.00000000000000000000"""&amp;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30000","1","FS0071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7" s="15"/>
      <c r="D1217" s="16" t="str">
        <f>"FS0071B"</f>
        <v>FS0071B</v>
      </c>
      <c r="E1217" s="16">
        <v>30000</v>
      </c>
      <c r="F1217" s="16" t="str">
        <f>"ISJ015"</f>
        <v>ISJ015</v>
      </c>
      <c r="G1217" s="17" t="str">
        <f>"Intermediary 24oz Jar - ORG Apricot (2% VC)"</f>
        <v>Intermediary 24oz Jar - ORG Apricot (2% VC)</v>
      </c>
      <c r="H1217" s="18" t="str">
        <f t="shared" si="145"/>
        <v>JARS</v>
      </c>
      <c r="I1217" s="19">
        <v>12</v>
      </c>
      <c r="J1217" s="20">
        <v>12</v>
      </c>
    </row>
    <row r="1218" spans="1:10" ht="15.75" thickBot="1" x14ac:dyDescent="0.3">
      <c r="A1218" t="s">
        <v>31</v>
      </c>
      <c r="B1218" s="15" t="str">
        <f>"""Manzana NAV"",""MANZANA"",""99000772"",""44"","" "",""22"",""False"",""43"",""0.00000000000000000000"",""12"",""Intermediary 24oz Jar - ORG Berry (100% VC)"",""50220"",""False"",""29"","""",""50210"",""True"",""18"","""",""11"",""ISJ014"",""2"",""10000"",""1"",""FS0126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10000","1","FS0126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8" s="15"/>
      <c r="D1218" s="16" t="str">
        <f>"FS0126"</f>
        <v>FS0126</v>
      </c>
      <c r="E1218" s="16">
        <v>10000</v>
      </c>
      <c r="F1218" s="16" t="str">
        <f t="shared" ref="F1218:F1224" si="150">"ISJ014"</f>
        <v>ISJ014</v>
      </c>
      <c r="G1218" s="17" t="str">
        <f t="shared" ref="G1218:G1224" si="151">"Intermediary 24oz Jar - ORG Berry (100% VC)"</f>
        <v>Intermediary 24oz Jar - ORG Berry (100% VC)</v>
      </c>
      <c r="H1218" s="18" t="str">
        <f t="shared" si="145"/>
        <v>JARS</v>
      </c>
      <c r="I1218" s="19">
        <v>12</v>
      </c>
      <c r="J1218" s="20">
        <v>12</v>
      </c>
    </row>
    <row r="1219" spans="1:10" ht="15.75" thickBot="1" x14ac:dyDescent="0.3">
      <c r="A1219" t="s">
        <v>31</v>
      </c>
      <c r="B1219" s="15" t="str">
        <f>"""Manzana NAV"",""MANZANA"",""99000772"",""44"","" "",""22"",""False"",""43"",""0.00000000000000000000"",""12"",""Intermediary 24oz Jar - ORG Berry (100% VC)"",""50220"",""False"",""29"","""",""50210"",""True"",""18"","""",""11"",""ISJ014"",""2"",""20000"",""1"",""FS0163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20000","1","FS0163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9" s="15"/>
      <c r="D1219" s="16" t="str">
        <f>"FS0163"</f>
        <v>FS0163</v>
      </c>
      <c r="E1219" s="16">
        <v>20000</v>
      </c>
      <c r="F1219" s="16" t="str">
        <f t="shared" si="150"/>
        <v>ISJ014</v>
      </c>
      <c r="G1219" s="17" t="str">
        <f t="shared" si="151"/>
        <v>Intermediary 24oz Jar - ORG Berry (100% VC)</v>
      </c>
      <c r="H1219" s="18" t="str">
        <f t="shared" si="145"/>
        <v>JARS</v>
      </c>
      <c r="I1219" s="19">
        <v>12</v>
      </c>
      <c r="J1219" s="20">
        <v>12</v>
      </c>
    </row>
    <row r="1220" spans="1:10" ht="15.75" thickBot="1" x14ac:dyDescent="0.3">
      <c r="A1220" t="s">
        <v>31</v>
      </c>
      <c r="B1220" s="15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0033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0033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0" s="15"/>
      <c r="D1220" s="16" t="str">
        <f>"FS0033"</f>
        <v>FS0033</v>
      </c>
      <c r="E1220" s="16">
        <v>30000</v>
      </c>
      <c r="F1220" s="16" t="str">
        <f t="shared" si="150"/>
        <v>ISJ014</v>
      </c>
      <c r="G1220" s="17" t="str">
        <f t="shared" si="151"/>
        <v>Intermediary 24oz Jar - ORG Berry (100% VC)</v>
      </c>
      <c r="H1220" s="18" t="str">
        <f t="shared" si="145"/>
        <v>JARS</v>
      </c>
      <c r="I1220" s="19">
        <v>12</v>
      </c>
      <c r="J1220" s="20">
        <v>12</v>
      </c>
    </row>
    <row r="1221" spans="1:10" ht="15.75" thickBot="1" x14ac:dyDescent="0.3">
      <c r="A1221" t="s">
        <v>31</v>
      </c>
      <c r="B1221" s="15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0049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0049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1" s="15"/>
      <c r="D1221" s="16" t="str">
        <f>"FS0049"</f>
        <v>FS0049</v>
      </c>
      <c r="E1221" s="16">
        <v>30000</v>
      </c>
      <c r="F1221" s="16" t="str">
        <f t="shared" si="150"/>
        <v>ISJ014</v>
      </c>
      <c r="G1221" s="17" t="str">
        <f t="shared" si="151"/>
        <v>Intermediary 24oz Jar - ORG Berry (100% VC)</v>
      </c>
      <c r="H1221" s="18" t="str">
        <f t="shared" si="145"/>
        <v>JARS</v>
      </c>
      <c r="I1221" s="19">
        <v>12</v>
      </c>
      <c r="J1221" s="20">
        <v>12</v>
      </c>
    </row>
    <row r="1222" spans="1:10" ht="15.75" thickBot="1" x14ac:dyDescent="0.3">
      <c r="A1222" t="s">
        <v>31</v>
      </c>
      <c r="B1222" s="15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0188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0188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2" s="15"/>
      <c r="D1222" s="16" t="str">
        <f>"FS0188"</f>
        <v>FS0188</v>
      </c>
      <c r="E1222" s="16">
        <v>30000</v>
      </c>
      <c r="F1222" s="16" t="str">
        <f t="shared" si="150"/>
        <v>ISJ014</v>
      </c>
      <c r="G1222" s="17" t="str">
        <f t="shared" si="151"/>
        <v>Intermediary 24oz Jar - ORG Berry (100% VC)</v>
      </c>
      <c r="H1222" s="18" t="str">
        <f t="shared" si="145"/>
        <v>JARS</v>
      </c>
      <c r="I1222" s="19">
        <v>12</v>
      </c>
      <c r="J1222" s="20">
        <v>12</v>
      </c>
    </row>
    <row r="1223" spans="1:10" ht="15.75" thickBot="1" x14ac:dyDescent="0.3">
      <c r="A1223" t="s">
        <v>31</v>
      </c>
      <c r="B1223" s="15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0200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0200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3" s="15"/>
      <c r="D1223" s="16" t="str">
        <f>"FS0200"</f>
        <v>FS0200</v>
      </c>
      <c r="E1223" s="16">
        <v>30000</v>
      </c>
      <c r="F1223" s="16" t="str">
        <f t="shared" si="150"/>
        <v>ISJ014</v>
      </c>
      <c r="G1223" s="17" t="str">
        <f t="shared" si="151"/>
        <v>Intermediary 24oz Jar - ORG Berry (100% VC)</v>
      </c>
      <c r="H1223" s="18" t="str">
        <f t="shared" si="145"/>
        <v>JARS</v>
      </c>
      <c r="I1223" s="19">
        <v>12</v>
      </c>
      <c r="J1223" s="20">
        <v>12</v>
      </c>
    </row>
    <row r="1224" spans="1:10" ht="15.75" thickBot="1" x14ac:dyDescent="0.3">
      <c r="A1224" t="s">
        <v>31</v>
      </c>
      <c r="B1224" s="15" t="str">
        <f>"""Manzana NAV"",""MANZANA"",""99000772"",""44"","" "",""22"",""False"",""43"",""0.00000000000000000000"",""12"",""Intermediary 24oz Jar - ORG Berry (100% VC)"",""50220"",""False"",""29"","""",""50210"",""True"",""18"","""",""11"",""ISJ014"",""2"",""40000"",""1"",""FS0026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40000","1","FS0026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4" s="15"/>
      <c r="D1224" s="16" t="str">
        <f>"FS0026"</f>
        <v>FS0026</v>
      </c>
      <c r="E1224" s="16">
        <v>40000</v>
      </c>
      <c r="F1224" s="16" t="str">
        <f t="shared" si="150"/>
        <v>ISJ014</v>
      </c>
      <c r="G1224" s="17" t="str">
        <f t="shared" si="151"/>
        <v>Intermediary 24oz Jar - ORG Berry (100% VC)</v>
      </c>
      <c r="H1224" s="18" t="str">
        <f t="shared" si="145"/>
        <v>JARS</v>
      </c>
      <c r="I1224" s="19">
        <v>12</v>
      </c>
      <c r="J1224" s="20">
        <v>12</v>
      </c>
    </row>
    <row r="1225" spans="1:10" ht="15.75" thickBot="1" x14ac:dyDescent="0.3">
      <c r="A1225" t="s">
        <v>31</v>
      </c>
      <c r="B1225" s="15" t="str">
        <f>"""Manzana NAV"",""MANZANA"",""99000772"",""44"","" "",""22"",""False"",""43"",""0.00000000000000000000"",""12"",""Intermediary 24oz Jar - ORG Blend - COPK (2% VC)"",""50220"",""False"",""29"","""",""50210"",""True"",""18"","""",""11"",""ISJ020"",""2"",""10000"",""1"",""FS0154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10000","1","FS0154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5" s="15"/>
      <c r="D1225" s="16" t="str">
        <f>"FS0154"</f>
        <v>FS0154</v>
      </c>
      <c r="E1225" s="16">
        <v>10000</v>
      </c>
      <c r="F1225" s="16" t="str">
        <f>"ISJ020"</f>
        <v>ISJ020</v>
      </c>
      <c r="G1225" s="17" t="str">
        <f>"Intermediary 24oz Jar - ORG Blend - COPK (2% VC)"</f>
        <v>Intermediary 24oz Jar - ORG Blend - COPK (2% VC)</v>
      </c>
      <c r="H1225" s="18" t="str">
        <f t="shared" si="145"/>
        <v>JARS</v>
      </c>
      <c r="I1225" s="19">
        <v>12</v>
      </c>
      <c r="J1225" s="20">
        <v>12</v>
      </c>
    </row>
    <row r="1226" spans="1:10" ht="15.75" thickBot="1" x14ac:dyDescent="0.3">
      <c r="A1226" t="s">
        <v>31</v>
      </c>
      <c r="B1226" s="15" t="str">
        <f>"""Manzana NAV"",""MANZANA"",""99000772"",""44"","" "",""22"",""False"",""43"",""0.00000000000000000000"",""12"",""Intermediary 24oz Jar - ORG Blend - COPK (2% VC)"",""50220"",""False"",""29"","""",""50210"",""True"",""18"","""",""11"",""ISJ020"",""2"",""20000"",""1"",""FS0066C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20000","1","FS0066C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6" s="15"/>
      <c r="D1226" s="16" t="str">
        <f>"FS0066C"</f>
        <v>FS0066C</v>
      </c>
      <c r="E1226" s="16">
        <v>20000</v>
      </c>
      <c r="F1226" s="16" t="str">
        <f>"ISJ020"</f>
        <v>ISJ020</v>
      </c>
      <c r="G1226" s="17" t="str">
        <f>"Intermediary 24oz Jar - ORG Blend - COPK (2% VC)"</f>
        <v>Intermediary 24oz Jar - ORG Blend - COPK (2% VC)</v>
      </c>
      <c r="H1226" s="18" t="str">
        <f t="shared" si="145"/>
        <v>JARS</v>
      </c>
      <c r="I1226" s="19">
        <v>12</v>
      </c>
      <c r="J1226" s="20">
        <v>12</v>
      </c>
    </row>
    <row r="1227" spans="1:10" ht="15.75" thickBot="1" x14ac:dyDescent="0.3">
      <c r="A1227" t="s">
        <v>31</v>
      </c>
      <c r="B1227" s="15" t="str">
        <f>"""Manzana NAV"",""MANZANA"",""99000772"",""44"","" "",""22"",""False"",""43"",""0.00000000000000000000"",""12"",""Intermediary 24oz Jar - ORG Blend - COPK (2% VC)"",""50220"",""False"",""29"","""",""50210"",""True"",""18"","""",""11"",""ISJ020"",""2"",""30000"",""1"",""FS0064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30000","1","FS0064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7" s="15"/>
      <c r="D1227" s="16" t="str">
        <f>"FS0064"</f>
        <v>FS0064</v>
      </c>
      <c r="E1227" s="16">
        <v>30000</v>
      </c>
      <c r="F1227" s="16" t="str">
        <f>"ISJ020"</f>
        <v>ISJ020</v>
      </c>
      <c r="G1227" s="17" t="str">
        <f>"Intermediary 24oz Jar - ORG Blend - COPK (2% VC)"</f>
        <v>Intermediary 24oz Jar - ORG Blend - COPK (2% VC)</v>
      </c>
      <c r="H1227" s="18" t="str">
        <f t="shared" si="145"/>
        <v>JARS</v>
      </c>
      <c r="I1227" s="19">
        <v>12</v>
      </c>
      <c r="J1227" s="20">
        <v>12</v>
      </c>
    </row>
    <row r="1228" spans="1:10" ht="15.75" thickBot="1" x14ac:dyDescent="0.3">
      <c r="A1228" t="s">
        <v>31</v>
      </c>
      <c r="B1228" s="15" t="str">
        <f>"""Manzana NAV"",""MANZANA"",""99000772"",""44"","" "",""22"",""False"",""43"",""0.00000000000000000000"",""12"",""Intermediary 24oz Jar - ORG Blend - COPK (2% VC)"",""50220"",""False"",""29"","""",""50210"",""True"",""18"","""",""11"",""ISJ020"",""2"",""30000"",""1"",""FS0066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30000","1","FS0066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8" s="15"/>
      <c r="D1228" s="16" t="str">
        <f>"FS0066"</f>
        <v>FS0066</v>
      </c>
      <c r="E1228" s="16">
        <v>30000</v>
      </c>
      <c r="F1228" s="16" t="str">
        <f>"ISJ020"</f>
        <v>ISJ020</v>
      </c>
      <c r="G1228" s="17" t="str">
        <f>"Intermediary 24oz Jar - ORG Blend - COPK (2% VC)"</f>
        <v>Intermediary 24oz Jar - ORG Blend - COPK (2% VC)</v>
      </c>
      <c r="H1228" s="18" t="str">
        <f t="shared" si="145"/>
        <v>JARS</v>
      </c>
      <c r="I1228" s="19">
        <v>12</v>
      </c>
      <c r="J1228" s="20">
        <v>12</v>
      </c>
    </row>
    <row r="1229" spans="1:10" ht="15.75" thickBot="1" x14ac:dyDescent="0.3">
      <c r="A1229" t="s">
        <v>31</v>
      </c>
      <c r="B1229" s="15" t="str">
        <f>"""Manzana NAV"",""MANZANA"",""99000772"",""44"","" "",""22"",""False"",""43"",""0.00000000000000000000"",""12"",""Intermediary 24oz Jar - ORG Blend (2% VC)"",""50220"",""False"",""29"","""",""50210"",""True"",""18"","""",""11"",""ISJ001"",""2"",""10000"",""1"",""FS0001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10000","1","FS0001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9" s="15"/>
      <c r="D1229" s="16" t="str">
        <f>"FS0001"</f>
        <v>FS0001</v>
      </c>
      <c r="E1229" s="16">
        <v>10000</v>
      </c>
      <c r="F1229" s="16" t="str">
        <f t="shared" ref="F1229:F1256" si="152">"ISJ001"</f>
        <v>ISJ001</v>
      </c>
      <c r="G1229" s="17" t="str">
        <f t="shared" ref="G1229:G1256" si="153">"Intermediary 24oz Jar - ORG Blend (2% VC)"</f>
        <v>Intermediary 24oz Jar - ORG Blend (2% VC)</v>
      </c>
      <c r="H1229" s="18" t="str">
        <f t="shared" si="145"/>
        <v>JARS</v>
      </c>
      <c r="I1229" s="19">
        <v>12</v>
      </c>
      <c r="J1229" s="20">
        <v>12</v>
      </c>
    </row>
    <row r="1230" spans="1:10" ht="15.75" thickBot="1" x14ac:dyDescent="0.3">
      <c r="A1230" t="s">
        <v>31</v>
      </c>
      <c r="B1230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0069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0069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0" s="15"/>
      <c r="D1230" s="16" t="str">
        <f>"FS0069B"</f>
        <v>FS0069B</v>
      </c>
      <c r="E1230" s="16">
        <v>20000</v>
      </c>
      <c r="F1230" s="16" t="str">
        <f t="shared" si="152"/>
        <v>ISJ001</v>
      </c>
      <c r="G1230" s="17" t="str">
        <f t="shared" si="153"/>
        <v>Intermediary 24oz Jar - ORG Blend (2% VC)</v>
      </c>
      <c r="H1230" s="18" t="str">
        <f t="shared" si="145"/>
        <v>JARS</v>
      </c>
      <c r="I1230" s="19">
        <v>12</v>
      </c>
      <c r="J1230" s="20">
        <v>12</v>
      </c>
    </row>
    <row r="1231" spans="1:10" ht="15.75" thickBot="1" x14ac:dyDescent="0.3">
      <c r="A1231" t="s">
        <v>31</v>
      </c>
      <c r="B1231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0159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0159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1" s="15"/>
      <c r="D1231" s="16" t="str">
        <f>"FS0159"</f>
        <v>FS0159</v>
      </c>
      <c r="E1231" s="16">
        <v>20000</v>
      </c>
      <c r="F1231" s="16" t="str">
        <f t="shared" si="152"/>
        <v>ISJ001</v>
      </c>
      <c r="G1231" s="17" t="str">
        <f t="shared" si="153"/>
        <v>Intermediary 24oz Jar - ORG Blend (2% VC)</v>
      </c>
      <c r="H1231" s="18" t="str">
        <f t="shared" si="145"/>
        <v>JARS</v>
      </c>
      <c r="I1231" s="19">
        <v>12</v>
      </c>
      <c r="J1231" s="20">
        <v>12</v>
      </c>
    </row>
    <row r="1232" spans="1:10" ht="15.75" thickBot="1" x14ac:dyDescent="0.3">
      <c r="A1232" t="s">
        <v>31</v>
      </c>
      <c r="B1232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0164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0164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2" s="15"/>
      <c r="D1232" s="16" t="str">
        <f>"FS0164"</f>
        <v>FS0164</v>
      </c>
      <c r="E1232" s="16">
        <v>20000</v>
      </c>
      <c r="F1232" s="16" t="str">
        <f t="shared" si="152"/>
        <v>ISJ001</v>
      </c>
      <c r="G1232" s="17" t="str">
        <f t="shared" si="153"/>
        <v>Intermediary 24oz Jar - ORG Blend (2% VC)</v>
      </c>
      <c r="H1232" s="18" t="str">
        <f t="shared" si="145"/>
        <v>JARS</v>
      </c>
      <c r="I1232" s="19">
        <v>12</v>
      </c>
      <c r="J1232" s="20">
        <v>12</v>
      </c>
    </row>
    <row r="1233" spans="1:10" ht="15.75" thickBot="1" x14ac:dyDescent="0.3">
      <c r="A1233" t="s">
        <v>31</v>
      </c>
      <c r="B1233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0165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0165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3" s="15"/>
      <c r="D1233" s="16" t="str">
        <f>"FS0165"</f>
        <v>FS0165</v>
      </c>
      <c r="E1233" s="16">
        <v>20000</v>
      </c>
      <c r="F1233" s="16" t="str">
        <f t="shared" si="152"/>
        <v>ISJ001</v>
      </c>
      <c r="G1233" s="17" t="str">
        <f t="shared" si="153"/>
        <v>Intermediary 24oz Jar - ORG Blend (2% VC)</v>
      </c>
      <c r="H1233" s="18" t="str">
        <f t="shared" si="145"/>
        <v>JARS</v>
      </c>
      <c r="I1233" s="19">
        <v>12</v>
      </c>
      <c r="J1233" s="20">
        <v>12</v>
      </c>
    </row>
    <row r="1234" spans="1:10" ht="15.75" thickBot="1" x14ac:dyDescent="0.3">
      <c r="A1234" t="s">
        <v>31</v>
      </c>
      <c r="B1234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0166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0166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4" s="15"/>
      <c r="D1234" s="16" t="str">
        <f>"FS0166"</f>
        <v>FS0166</v>
      </c>
      <c r="E1234" s="16">
        <v>20000</v>
      </c>
      <c r="F1234" s="16" t="str">
        <f t="shared" si="152"/>
        <v>ISJ001</v>
      </c>
      <c r="G1234" s="17" t="str">
        <f t="shared" si="153"/>
        <v>Intermediary 24oz Jar - ORG Blend (2% VC)</v>
      </c>
      <c r="H1234" s="18" t="str">
        <f t="shared" si="145"/>
        <v>JARS</v>
      </c>
      <c r="I1234" s="19">
        <v>12</v>
      </c>
      <c r="J1234" s="20">
        <v>12</v>
      </c>
    </row>
    <row r="1235" spans="1:10" ht="15.75" thickBot="1" x14ac:dyDescent="0.3">
      <c r="A1235" t="s">
        <v>31</v>
      </c>
      <c r="B1235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0179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0179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5" s="15"/>
      <c r="D1235" s="16" t="str">
        <f>"FS0179"</f>
        <v>FS0179</v>
      </c>
      <c r="E1235" s="16">
        <v>20000</v>
      </c>
      <c r="F1235" s="16" t="str">
        <f t="shared" si="152"/>
        <v>ISJ001</v>
      </c>
      <c r="G1235" s="17" t="str">
        <f t="shared" si="153"/>
        <v>Intermediary 24oz Jar - ORG Blend (2% VC)</v>
      </c>
      <c r="H1235" s="18" t="str">
        <f t="shared" si="145"/>
        <v>JARS</v>
      </c>
      <c r="I1235" s="19">
        <v>12</v>
      </c>
      <c r="J1235" s="20">
        <v>12</v>
      </c>
    </row>
    <row r="1236" spans="1:10" ht="15.75" thickBot="1" x14ac:dyDescent="0.3">
      <c r="A1236" t="s">
        <v>31</v>
      </c>
      <c r="B1236" s="15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0192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0192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6" s="15"/>
      <c r="D1236" s="16" t="str">
        <f>"FS0192"</f>
        <v>FS0192</v>
      </c>
      <c r="E1236" s="16">
        <v>20000</v>
      </c>
      <c r="F1236" s="16" t="str">
        <f t="shared" si="152"/>
        <v>ISJ001</v>
      </c>
      <c r="G1236" s="17" t="str">
        <f t="shared" si="153"/>
        <v>Intermediary 24oz Jar - ORG Blend (2% VC)</v>
      </c>
      <c r="H1236" s="18" t="str">
        <f t="shared" si="145"/>
        <v>JARS</v>
      </c>
      <c r="I1236" s="19">
        <v>12</v>
      </c>
      <c r="J1236" s="20">
        <v>12</v>
      </c>
    </row>
    <row r="1237" spans="1:10" ht="15.75" thickBot="1" x14ac:dyDescent="0.3">
      <c r="A1237" t="s">
        <v>31</v>
      </c>
      <c r="B1237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0037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0037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7" s="15"/>
      <c r="D1237" s="16" t="str">
        <f>"FS0037"</f>
        <v>FS0037</v>
      </c>
      <c r="E1237" s="16">
        <v>30000</v>
      </c>
      <c r="F1237" s="16" t="str">
        <f t="shared" si="152"/>
        <v>ISJ001</v>
      </c>
      <c r="G1237" s="17" t="str">
        <f t="shared" si="153"/>
        <v>Intermediary 24oz Jar - ORG Blend (2% VC)</v>
      </c>
      <c r="H1237" s="18" t="str">
        <f t="shared" si="145"/>
        <v>JARS</v>
      </c>
      <c r="I1237" s="19">
        <v>12</v>
      </c>
      <c r="J1237" s="20">
        <v>12</v>
      </c>
    </row>
    <row r="1238" spans="1:10" ht="15.75" thickBot="1" x14ac:dyDescent="0.3">
      <c r="A1238" t="s">
        <v>31</v>
      </c>
      <c r="B1238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0044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0044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8" s="15"/>
      <c r="D1238" s="16" t="str">
        <f>"FS0044"</f>
        <v>FS0044</v>
      </c>
      <c r="E1238" s="16">
        <v>30000</v>
      </c>
      <c r="F1238" s="16" t="str">
        <f t="shared" si="152"/>
        <v>ISJ001</v>
      </c>
      <c r="G1238" s="17" t="str">
        <f t="shared" si="153"/>
        <v>Intermediary 24oz Jar - ORG Blend (2% VC)</v>
      </c>
      <c r="H1238" s="18" t="str">
        <f t="shared" si="145"/>
        <v>JARS</v>
      </c>
      <c r="I1238" s="19">
        <v>12</v>
      </c>
      <c r="J1238" s="20">
        <v>12</v>
      </c>
    </row>
    <row r="1239" spans="1:10" ht="15.75" thickBot="1" x14ac:dyDescent="0.3">
      <c r="A1239" t="s">
        <v>31</v>
      </c>
      <c r="B1239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0048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0048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9" s="15"/>
      <c r="D1239" s="16" t="str">
        <f>"FS0048"</f>
        <v>FS0048</v>
      </c>
      <c r="E1239" s="16">
        <v>30000</v>
      </c>
      <c r="F1239" s="16" t="str">
        <f t="shared" si="152"/>
        <v>ISJ001</v>
      </c>
      <c r="G1239" s="17" t="str">
        <f t="shared" si="153"/>
        <v>Intermediary 24oz Jar - ORG Blend (2% VC)</v>
      </c>
      <c r="H1239" s="18" t="str">
        <f t="shared" si="145"/>
        <v>JARS</v>
      </c>
      <c r="I1239" s="19">
        <v>12</v>
      </c>
      <c r="J1239" s="20">
        <v>12</v>
      </c>
    </row>
    <row r="1240" spans="1:10" ht="15.75" thickBot="1" x14ac:dyDescent="0.3">
      <c r="A1240" t="s">
        <v>31</v>
      </c>
      <c r="B1240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0053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0053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0" s="15"/>
      <c r="D1240" s="16" t="str">
        <f>"FS0053"</f>
        <v>FS0053</v>
      </c>
      <c r="E1240" s="16">
        <v>30000</v>
      </c>
      <c r="F1240" s="16" t="str">
        <f t="shared" si="152"/>
        <v>ISJ001</v>
      </c>
      <c r="G1240" s="17" t="str">
        <f t="shared" si="153"/>
        <v>Intermediary 24oz Jar - ORG Blend (2% VC)</v>
      </c>
      <c r="H1240" s="18" t="str">
        <f t="shared" si="145"/>
        <v>JARS</v>
      </c>
      <c r="I1240" s="19">
        <v>12</v>
      </c>
      <c r="J1240" s="20">
        <v>12</v>
      </c>
    </row>
    <row r="1241" spans="1:10" ht="15.75" thickBot="1" x14ac:dyDescent="0.3">
      <c r="A1241" t="s">
        <v>31</v>
      </c>
      <c r="B1241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0054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0054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1" s="15"/>
      <c r="D1241" s="16" t="str">
        <f>"FS0054"</f>
        <v>FS0054</v>
      </c>
      <c r="E1241" s="16">
        <v>30000</v>
      </c>
      <c r="F1241" s="16" t="str">
        <f t="shared" si="152"/>
        <v>ISJ001</v>
      </c>
      <c r="G1241" s="17" t="str">
        <f t="shared" si="153"/>
        <v>Intermediary 24oz Jar - ORG Blend (2% VC)</v>
      </c>
      <c r="H1241" s="18" t="str">
        <f t="shared" si="145"/>
        <v>JARS</v>
      </c>
      <c r="I1241" s="19">
        <v>12</v>
      </c>
      <c r="J1241" s="20">
        <v>12</v>
      </c>
    </row>
    <row r="1242" spans="1:10" ht="15.75" thickBot="1" x14ac:dyDescent="0.3">
      <c r="A1242" t="s">
        <v>31</v>
      </c>
      <c r="B1242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0060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0060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2" s="15"/>
      <c r="D1242" s="16" t="str">
        <f>"FS0060"</f>
        <v>FS0060</v>
      </c>
      <c r="E1242" s="16">
        <v>30000</v>
      </c>
      <c r="F1242" s="16" t="str">
        <f t="shared" si="152"/>
        <v>ISJ001</v>
      </c>
      <c r="G1242" s="17" t="str">
        <f t="shared" si="153"/>
        <v>Intermediary 24oz Jar - ORG Blend (2% VC)</v>
      </c>
      <c r="H1242" s="18" t="str">
        <f t="shared" si="145"/>
        <v>JARS</v>
      </c>
      <c r="I1242" s="19">
        <v>12</v>
      </c>
      <c r="J1242" s="20">
        <v>12</v>
      </c>
    </row>
    <row r="1243" spans="1:10" ht="15.75" thickBot="1" x14ac:dyDescent="0.3">
      <c r="A1243" t="s">
        <v>31</v>
      </c>
      <c r="B1243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0064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0064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3" s="15"/>
      <c r="D1243" s="16" t="str">
        <f>"FS0064B"</f>
        <v>FS0064B</v>
      </c>
      <c r="E1243" s="16">
        <v>30000</v>
      </c>
      <c r="F1243" s="16" t="str">
        <f t="shared" si="152"/>
        <v>ISJ001</v>
      </c>
      <c r="G1243" s="17" t="str">
        <f t="shared" si="153"/>
        <v>Intermediary 24oz Jar - ORG Blend (2% VC)</v>
      </c>
      <c r="H1243" s="18" t="str">
        <f t="shared" si="145"/>
        <v>JARS</v>
      </c>
      <c r="I1243" s="19">
        <v>12</v>
      </c>
      <c r="J1243" s="20">
        <v>12</v>
      </c>
    </row>
    <row r="1244" spans="1:10" ht="15.75" thickBot="1" x14ac:dyDescent="0.3">
      <c r="A1244" t="s">
        <v>31</v>
      </c>
      <c r="B1244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0066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0066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4" s="15"/>
      <c r="D1244" s="16" t="str">
        <f>"FS0066B"</f>
        <v>FS0066B</v>
      </c>
      <c r="E1244" s="16">
        <v>30000</v>
      </c>
      <c r="F1244" s="16" t="str">
        <f t="shared" si="152"/>
        <v>ISJ001</v>
      </c>
      <c r="G1244" s="17" t="str">
        <f t="shared" si="153"/>
        <v>Intermediary 24oz Jar - ORG Blend (2% VC)</v>
      </c>
      <c r="H1244" s="18" t="str">
        <f t="shared" si="145"/>
        <v>JARS</v>
      </c>
      <c r="I1244" s="19">
        <v>12</v>
      </c>
      <c r="J1244" s="20">
        <v>12</v>
      </c>
    </row>
    <row r="1245" spans="1:10" ht="15.75" thickBot="1" x14ac:dyDescent="0.3">
      <c r="A1245" t="s">
        <v>31</v>
      </c>
      <c r="B1245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0174"",""14"",""6.00000000000000000000"",""45"&amp;""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0174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45" s="15"/>
      <c r="D1245" s="16" t="str">
        <f>"FS0174"</f>
        <v>FS0174</v>
      </c>
      <c r="E1245" s="16">
        <v>30000</v>
      </c>
      <c r="F1245" s="16" t="str">
        <f t="shared" si="152"/>
        <v>ISJ001</v>
      </c>
      <c r="G1245" s="17" t="str">
        <f t="shared" si="153"/>
        <v>Intermediary 24oz Jar - ORG Blend (2% VC)</v>
      </c>
      <c r="H1245" s="18" t="str">
        <f t="shared" si="145"/>
        <v>JARS</v>
      </c>
      <c r="I1245" s="19">
        <v>6</v>
      </c>
      <c r="J1245" s="20">
        <v>6</v>
      </c>
    </row>
    <row r="1246" spans="1:10" ht="15.75" thickBot="1" x14ac:dyDescent="0.3">
      <c r="A1246" t="s">
        <v>31</v>
      </c>
      <c r="B1246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0178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0178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6" s="15"/>
      <c r="D1246" s="16" t="str">
        <f>"FS0178"</f>
        <v>FS0178</v>
      </c>
      <c r="E1246" s="16">
        <v>30000</v>
      </c>
      <c r="F1246" s="16" t="str">
        <f t="shared" si="152"/>
        <v>ISJ001</v>
      </c>
      <c r="G1246" s="17" t="str">
        <f t="shared" si="153"/>
        <v>Intermediary 24oz Jar - ORG Blend (2% VC)</v>
      </c>
      <c r="H1246" s="18" t="str">
        <f t="shared" si="145"/>
        <v>JARS</v>
      </c>
      <c r="I1246" s="19">
        <v>12</v>
      </c>
      <c r="J1246" s="20">
        <v>12</v>
      </c>
    </row>
    <row r="1247" spans="1:10" ht="15.75" thickBot="1" x14ac:dyDescent="0.3">
      <c r="A1247" t="s">
        <v>31</v>
      </c>
      <c r="B1247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0183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0183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7" s="15"/>
      <c r="D1247" s="16" t="str">
        <f>"FS0183"</f>
        <v>FS0183</v>
      </c>
      <c r="E1247" s="16">
        <v>30000</v>
      </c>
      <c r="F1247" s="16" t="str">
        <f t="shared" si="152"/>
        <v>ISJ001</v>
      </c>
      <c r="G1247" s="17" t="str">
        <f t="shared" si="153"/>
        <v>Intermediary 24oz Jar - ORG Blend (2% VC)</v>
      </c>
      <c r="H1247" s="18" t="str">
        <f t="shared" si="145"/>
        <v>JARS</v>
      </c>
      <c r="I1247" s="19">
        <v>12</v>
      </c>
      <c r="J1247" s="20">
        <v>12</v>
      </c>
    </row>
    <row r="1248" spans="1:10" ht="15.75" thickBot="1" x14ac:dyDescent="0.3">
      <c r="A1248" t="s">
        <v>31</v>
      </c>
      <c r="B1248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0186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0186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8" s="15"/>
      <c r="D1248" s="16" t="str">
        <f>"FS0186"</f>
        <v>FS0186</v>
      </c>
      <c r="E1248" s="16">
        <v>30000</v>
      </c>
      <c r="F1248" s="16" t="str">
        <f t="shared" si="152"/>
        <v>ISJ001</v>
      </c>
      <c r="G1248" s="17" t="str">
        <f t="shared" si="153"/>
        <v>Intermediary 24oz Jar - ORG Blend (2% VC)</v>
      </c>
      <c r="H1248" s="18" t="str">
        <f t="shared" si="145"/>
        <v>JARS</v>
      </c>
      <c r="I1248" s="19">
        <v>12</v>
      </c>
      <c r="J1248" s="20">
        <v>12</v>
      </c>
    </row>
    <row r="1249" spans="1:10" ht="15.75" thickBot="1" x14ac:dyDescent="0.3">
      <c r="A1249" t="s">
        <v>31</v>
      </c>
      <c r="B1249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0198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0198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9" s="15"/>
      <c r="D1249" s="16" t="str">
        <f>"FS0198"</f>
        <v>FS0198</v>
      </c>
      <c r="E1249" s="16">
        <v>30000</v>
      </c>
      <c r="F1249" s="16" t="str">
        <f t="shared" si="152"/>
        <v>ISJ001</v>
      </c>
      <c r="G1249" s="17" t="str">
        <f t="shared" si="153"/>
        <v>Intermediary 24oz Jar - ORG Blend (2% VC)</v>
      </c>
      <c r="H1249" s="18" t="str">
        <f t="shared" si="145"/>
        <v>JARS</v>
      </c>
      <c r="I1249" s="19">
        <v>12</v>
      </c>
      <c r="J1249" s="20">
        <v>12</v>
      </c>
    </row>
    <row r="1250" spans="1:10" ht="15.75" thickBot="1" x14ac:dyDescent="0.3">
      <c r="A1250" t="s">
        <v>31</v>
      </c>
      <c r="B1250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0209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0209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0" s="15"/>
      <c r="D1250" s="16" t="str">
        <f>"FS0209"</f>
        <v>FS0209</v>
      </c>
      <c r="E1250" s="16">
        <v>30000</v>
      </c>
      <c r="F1250" s="16" t="str">
        <f t="shared" si="152"/>
        <v>ISJ001</v>
      </c>
      <c r="G1250" s="17" t="str">
        <f t="shared" si="153"/>
        <v>Intermediary 24oz Jar - ORG Blend (2% VC)</v>
      </c>
      <c r="H1250" s="18" t="str">
        <f t="shared" si="145"/>
        <v>JARS</v>
      </c>
      <c r="I1250" s="19">
        <v>12</v>
      </c>
      <c r="J1250" s="20">
        <v>12</v>
      </c>
    </row>
    <row r="1251" spans="1:10" ht="15.75" thickBot="1" x14ac:dyDescent="0.3">
      <c r="A1251" t="s">
        <v>31</v>
      </c>
      <c r="B1251" s="15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Z-FS0041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Z-FS0041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1" s="15"/>
      <c r="D1251" s="16" t="str">
        <f>"Z-FS0041"</f>
        <v>Z-FS0041</v>
      </c>
      <c r="E1251" s="16">
        <v>30000</v>
      </c>
      <c r="F1251" s="16" t="str">
        <f t="shared" si="152"/>
        <v>ISJ001</v>
      </c>
      <c r="G1251" s="17" t="str">
        <f t="shared" si="153"/>
        <v>Intermediary 24oz Jar - ORG Blend (2% VC)</v>
      </c>
      <c r="H1251" s="18" t="str">
        <f t="shared" si="145"/>
        <v>JARS</v>
      </c>
      <c r="I1251" s="19">
        <v>12</v>
      </c>
      <c r="J1251" s="20">
        <v>12</v>
      </c>
    </row>
    <row r="1252" spans="1:10" ht="15.75" thickBot="1" x14ac:dyDescent="0.3">
      <c r="A1252" t="s">
        <v>31</v>
      </c>
      <c r="B1252" s="15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0008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0008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2" s="15"/>
      <c r="D1252" s="16" t="str">
        <f>"FS0008"</f>
        <v>FS0008</v>
      </c>
      <c r="E1252" s="16">
        <v>40000</v>
      </c>
      <c r="F1252" s="16" t="str">
        <f t="shared" si="152"/>
        <v>ISJ001</v>
      </c>
      <c r="G1252" s="17" t="str">
        <f t="shared" si="153"/>
        <v>Intermediary 24oz Jar - ORG Blend (2% VC)</v>
      </c>
      <c r="H1252" s="18" t="str">
        <f t="shared" ref="H1252:H1292" si="154">"JARS"</f>
        <v>JARS</v>
      </c>
      <c r="I1252" s="19">
        <v>12</v>
      </c>
      <c r="J1252" s="20">
        <v>12</v>
      </c>
    </row>
    <row r="1253" spans="1:10" ht="15.75" thickBot="1" x14ac:dyDescent="0.3">
      <c r="A1253" t="s">
        <v>31</v>
      </c>
      <c r="B1253" s="15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0020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0020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3" s="15"/>
      <c r="D1253" s="16" t="str">
        <f>"FS0020"</f>
        <v>FS0020</v>
      </c>
      <c r="E1253" s="16">
        <v>40000</v>
      </c>
      <c r="F1253" s="16" t="str">
        <f t="shared" si="152"/>
        <v>ISJ001</v>
      </c>
      <c r="G1253" s="17" t="str">
        <f t="shared" si="153"/>
        <v>Intermediary 24oz Jar - ORG Blend (2% VC)</v>
      </c>
      <c r="H1253" s="18" t="str">
        <f t="shared" si="154"/>
        <v>JARS</v>
      </c>
      <c r="I1253" s="19">
        <v>12</v>
      </c>
      <c r="J1253" s="20">
        <v>12</v>
      </c>
    </row>
    <row r="1254" spans="1:10" ht="15.75" thickBot="1" x14ac:dyDescent="0.3">
      <c r="A1254" t="s">
        <v>31</v>
      </c>
      <c r="B1254" s="15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0024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0024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4" s="15"/>
      <c r="D1254" s="16" t="str">
        <f>"FS0024"</f>
        <v>FS0024</v>
      </c>
      <c r="E1254" s="16">
        <v>40000</v>
      </c>
      <c r="F1254" s="16" t="str">
        <f t="shared" si="152"/>
        <v>ISJ001</v>
      </c>
      <c r="G1254" s="17" t="str">
        <f t="shared" si="153"/>
        <v>Intermediary 24oz Jar - ORG Blend (2% VC)</v>
      </c>
      <c r="H1254" s="18" t="str">
        <f t="shared" si="154"/>
        <v>JARS</v>
      </c>
      <c r="I1254" s="19">
        <v>12</v>
      </c>
      <c r="J1254" s="20">
        <v>12</v>
      </c>
    </row>
    <row r="1255" spans="1:10" ht="15.75" thickBot="1" x14ac:dyDescent="0.3">
      <c r="A1255" t="s">
        <v>31</v>
      </c>
      <c r="B1255" s="15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0029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0029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5" s="15"/>
      <c r="D1255" s="16" t="str">
        <f>"FS0029"</f>
        <v>FS0029</v>
      </c>
      <c r="E1255" s="16">
        <v>40000</v>
      </c>
      <c r="F1255" s="16" t="str">
        <f t="shared" si="152"/>
        <v>ISJ001</v>
      </c>
      <c r="G1255" s="17" t="str">
        <f t="shared" si="153"/>
        <v>Intermediary 24oz Jar - ORG Blend (2% VC)</v>
      </c>
      <c r="H1255" s="18" t="str">
        <f t="shared" si="154"/>
        <v>JARS</v>
      </c>
      <c r="I1255" s="19">
        <v>12</v>
      </c>
      <c r="J1255" s="20">
        <v>12</v>
      </c>
    </row>
    <row r="1256" spans="1:10" ht="15.75" thickBot="1" x14ac:dyDescent="0.3">
      <c r="A1256" t="s">
        <v>31</v>
      </c>
      <c r="B1256" s="15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0031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0031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6" s="15"/>
      <c r="D1256" s="16" t="str">
        <f>"FS0031"</f>
        <v>FS0031</v>
      </c>
      <c r="E1256" s="16">
        <v>40000</v>
      </c>
      <c r="F1256" s="16" t="str">
        <f t="shared" si="152"/>
        <v>ISJ001</v>
      </c>
      <c r="G1256" s="17" t="str">
        <f t="shared" si="153"/>
        <v>Intermediary 24oz Jar - ORG Blend (2% VC)</v>
      </c>
      <c r="H1256" s="18" t="str">
        <f t="shared" si="154"/>
        <v>JARS</v>
      </c>
      <c r="I1256" s="19">
        <v>12</v>
      </c>
      <c r="J1256" s="20">
        <v>12</v>
      </c>
    </row>
    <row r="1257" spans="1:10" ht="15.75" thickBot="1" x14ac:dyDescent="0.3">
      <c r="A1257" t="s">
        <v>31</v>
      </c>
      <c r="B1257" s="15" t="str">
        <f>"""Manzana NAV"",""MANZANA"",""99000772"",""44"","" "",""22"",""False"",""43"",""0.00000000000000000000"",""12"",""Intermediary 24oz Jar - ORG Blkbry - COPK(100% VC)"",""50220"",""False"",""29"","""",""50210"",""True"",""18"","""",""11"",""ISJ026"",""2"",""20000"",""1"",""FS0185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Blkbry - COPK(100% VC)","50220","False","29","","50210","True","18","","11","ISJ026","2","20000","1","FS0185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7" s="15"/>
      <c r="D1257" s="16" t="str">
        <f>"FS0185"</f>
        <v>FS0185</v>
      </c>
      <c r="E1257" s="16">
        <v>20000</v>
      </c>
      <c r="F1257" s="16" t="str">
        <f>"ISJ026"</f>
        <v>ISJ026</v>
      </c>
      <c r="G1257" s="17" t="str">
        <f>"Intermediary 24oz Jar - ORG Blkbry - COPK(100% VC)"</f>
        <v>Intermediary 24oz Jar - ORG Blkbry - COPK(100% VC)</v>
      </c>
      <c r="H1257" s="18" t="str">
        <f t="shared" si="154"/>
        <v>JARS</v>
      </c>
      <c r="I1257" s="19">
        <v>12</v>
      </c>
      <c r="J1257" s="20">
        <v>12</v>
      </c>
    </row>
    <row r="1258" spans="1:10" ht="15.75" thickBot="1" x14ac:dyDescent="0.3">
      <c r="A1258" t="s">
        <v>31</v>
      </c>
      <c r="B1258" s="15" t="str">
        <f>"""Manzana NAV"",""MANZANA"",""99000772"",""44"","" "",""22"",""False"",""43"",""0.00000000000000000000"",""12"",""Intermediary 24oz Jar - ORG Cinn (100% VC)"",""50220"",""False"",""29"","""",""50210"",""True"",""18"","""",""11"",""ISJ013"",""2"",""10000"",""1"",""FS0124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10000","1","FS0124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8" s="15"/>
      <c r="D1258" s="16" t="str">
        <f>"FS0124"</f>
        <v>FS0124</v>
      </c>
      <c r="E1258" s="16">
        <v>10000</v>
      </c>
      <c r="F1258" s="16" t="str">
        <f t="shared" ref="F1258:F1267" si="155">"ISJ013"</f>
        <v>ISJ013</v>
      </c>
      <c r="G1258" s="17" t="str">
        <f t="shared" ref="G1258:G1267" si="156">"Intermediary 24oz Jar - ORG Cinn (100% VC)"</f>
        <v>Intermediary 24oz Jar - ORG Cinn (100% VC)</v>
      </c>
      <c r="H1258" s="18" t="str">
        <f t="shared" si="154"/>
        <v>JARS</v>
      </c>
      <c r="I1258" s="19">
        <v>12</v>
      </c>
      <c r="J1258" s="20">
        <v>12</v>
      </c>
    </row>
    <row r="1259" spans="1:10" ht="15.75" thickBot="1" x14ac:dyDescent="0.3">
      <c r="A1259" t="s">
        <v>31</v>
      </c>
      <c r="B1259" s="15" t="str">
        <f>"""Manzana NAV"",""MANZANA"",""99000772"",""44"","" "",""22"",""False"",""43"",""0.00000000000000000000"",""12"",""Intermediary 24oz Jar - ORG Cinn (100% VC)"",""50220"",""False"",""29"","""",""50210"",""True"",""18"","""",""11"",""ISJ013"",""2"",""20000"",""1"",""FS0161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20000","1","FS0161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9" s="15"/>
      <c r="D1259" s="16" t="str">
        <f>"FS0161"</f>
        <v>FS0161</v>
      </c>
      <c r="E1259" s="16">
        <v>20000</v>
      </c>
      <c r="F1259" s="16" t="str">
        <f t="shared" si="155"/>
        <v>ISJ013</v>
      </c>
      <c r="G1259" s="17" t="str">
        <f t="shared" si="156"/>
        <v>Intermediary 24oz Jar - ORG Cinn (100% VC)</v>
      </c>
      <c r="H1259" s="18" t="str">
        <f t="shared" si="154"/>
        <v>JARS</v>
      </c>
      <c r="I1259" s="19">
        <v>12</v>
      </c>
      <c r="J1259" s="20">
        <v>12</v>
      </c>
    </row>
    <row r="1260" spans="1:10" ht="15.75" thickBot="1" x14ac:dyDescent="0.3">
      <c r="A1260" t="s">
        <v>31</v>
      </c>
      <c r="B1260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0038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0038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0" s="15"/>
      <c r="D1260" s="16" t="str">
        <f>"FS0038"</f>
        <v>FS0038</v>
      </c>
      <c r="E1260" s="16">
        <v>30000</v>
      </c>
      <c r="F1260" s="16" t="str">
        <f t="shared" si="155"/>
        <v>ISJ013</v>
      </c>
      <c r="G1260" s="17" t="str">
        <f t="shared" si="156"/>
        <v>Intermediary 24oz Jar - ORG Cinn (100% VC)</v>
      </c>
      <c r="H1260" s="18" t="str">
        <f t="shared" si="154"/>
        <v>JARS</v>
      </c>
      <c r="I1260" s="19">
        <v>12</v>
      </c>
      <c r="J1260" s="20">
        <v>12</v>
      </c>
    </row>
    <row r="1261" spans="1:10" ht="15.75" thickBot="1" x14ac:dyDescent="0.3">
      <c r="A1261" t="s">
        <v>31</v>
      </c>
      <c r="B1261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0045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0045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1" s="15"/>
      <c r="D1261" s="16" t="str">
        <f>"FS0045"</f>
        <v>FS0045</v>
      </c>
      <c r="E1261" s="16">
        <v>30000</v>
      </c>
      <c r="F1261" s="16" t="str">
        <f t="shared" si="155"/>
        <v>ISJ013</v>
      </c>
      <c r="G1261" s="17" t="str">
        <f t="shared" si="156"/>
        <v>Intermediary 24oz Jar - ORG Cinn (100% VC)</v>
      </c>
      <c r="H1261" s="18" t="str">
        <f t="shared" si="154"/>
        <v>JARS</v>
      </c>
      <c r="I1261" s="19">
        <v>12</v>
      </c>
      <c r="J1261" s="20">
        <v>12</v>
      </c>
    </row>
    <row r="1262" spans="1:10" ht="15.75" thickBot="1" x14ac:dyDescent="0.3">
      <c r="A1262" t="s">
        <v>31</v>
      </c>
      <c r="B1262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0167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0167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2" s="15"/>
      <c r="D1262" s="16" t="str">
        <f>"FS0167"</f>
        <v>FS0167</v>
      </c>
      <c r="E1262" s="16">
        <v>30000</v>
      </c>
      <c r="F1262" s="16" t="str">
        <f t="shared" si="155"/>
        <v>ISJ013</v>
      </c>
      <c r="G1262" s="17" t="str">
        <f t="shared" si="156"/>
        <v>Intermediary 24oz Jar - ORG Cinn (100% VC)</v>
      </c>
      <c r="H1262" s="18" t="str">
        <f t="shared" si="154"/>
        <v>JARS</v>
      </c>
      <c r="I1262" s="19">
        <v>12</v>
      </c>
      <c r="J1262" s="20">
        <v>12</v>
      </c>
    </row>
    <row r="1263" spans="1:10" ht="15.75" thickBot="1" x14ac:dyDescent="0.3">
      <c r="A1263" t="s">
        <v>31</v>
      </c>
      <c r="B1263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0180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0180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3" s="15"/>
      <c r="D1263" s="16" t="str">
        <f>"FS0180"</f>
        <v>FS0180</v>
      </c>
      <c r="E1263" s="16">
        <v>30000</v>
      </c>
      <c r="F1263" s="16" t="str">
        <f t="shared" si="155"/>
        <v>ISJ013</v>
      </c>
      <c r="G1263" s="17" t="str">
        <f t="shared" si="156"/>
        <v>Intermediary 24oz Jar - ORG Cinn (100% VC)</v>
      </c>
      <c r="H1263" s="18" t="str">
        <f t="shared" si="154"/>
        <v>JARS</v>
      </c>
      <c r="I1263" s="19">
        <v>12</v>
      </c>
      <c r="J1263" s="20">
        <v>12</v>
      </c>
    </row>
    <row r="1264" spans="1:10" ht="15.75" thickBot="1" x14ac:dyDescent="0.3">
      <c r="A1264" t="s">
        <v>31</v>
      </c>
      <c r="B1264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0187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0187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4" s="15"/>
      <c r="D1264" s="16" t="str">
        <f>"FS0187"</f>
        <v>FS0187</v>
      </c>
      <c r="E1264" s="16">
        <v>30000</v>
      </c>
      <c r="F1264" s="16" t="str">
        <f t="shared" si="155"/>
        <v>ISJ013</v>
      </c>
      <c r="G1264" s="17" t="str">
        <f t="shared" si="156"/>
        <v>Intermediary 24oz Jar - ORG Cinn (100% VC)</v>
      </c>
      <c r="H1264" s="18" t="str">
        <f t="shared" si="154"/>
        <v>JARS</v>
      </c>
      <c r="I1264" s="19">
        <v>12</v>
      </c>
      <c r="J1264" s="20">
        <v>12</v>
      </c>
    </row>
    <row r="1265" spans="1:10" ht="15.75" thickBot="1" x14ac:dyDescent="0.3">
      <c r="A1265" t="s">
        <v>31</v>
      </c>
      <c r="B1265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0193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0193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5" s="15"/>
      <c r="D1265" s="16" t="str">
        <f>"FS0193"</f>
        <v>FS0193</v>
      </c>
      <c r="E1265" s="16">
        <v>30000</v>
      </c>
      <c r="F1265" s="16" t="str">
        <f t="shared" si="155"/>
        <v>ISJ013</v>
      </c>
      <c r="G1265" s="17" t="str">
        <f t="shared" si="156"/>
        <v>Intermediary 24oz Jar - ORG Cinn (100% VC)</v>
      </c>
      <c r="H1265" s="18" t="str">
        <f t="shared" si="154"/>
        <v>JARS</v>
      </c>
      <c r="I1265" s="19">
        <v>12</v>
      </c>
      <c r="J1265" s="20">
        <v>12</v>
      </c>
    </row>
    <row r="1266" spans="1:10" ht="15.75" thickBot="1" x14ac:dyDescent="0.3">
      <c r="A1266" t="s">
        <v>31</v>
      </c>
      <c r="B1266" s="15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0199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0199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6" s="15"/>
      <c r="D1266" s="16" t="str">
        <f>"FS0199"</f>
        <v>FS0199</v>
      </c>
      <c r="E1266" s="16">
        <v>30000</v>
      </c>
      <c r="F1266" s="16" t="str">
        <f t="shared" si="155"/>
        <v>ISJ013</v>
      </c>
      <c r="G1266" s="17" t="str">
        <f t="shared" si="156"/>
        <v>Intermediary 24oz Jar - ORG Cinn (100% VC)</v>
      </c>
      <c r="H1266" s="18" t="str">
        <f t="shared" si="154"/>
        <v>JARS</v>
      </c>
      <c r="I1266" s="19">
        <v>12</v>
      </c>
      <c r="J1266" s="20">
        <v>12</v>
      </c>
    </row>
    <row r="1267" spans="1:10" ht="15.75" thickBot="1" x14ac:dyDescent="0.3">
      <c r="A1267" t="s">
        <v>31</v>
      </c>
      <c r="B1267" s="15" t="str">
        <f>"""Manzana NAV"",""MANZANA"",""99000772"",""44"","" "",""22"",""False"",""43"",""0.00000000000000000000"",""12"",""Intermediary 24oz Jar - ORG Cinn (100% VC)"",""50220"",""False"",""29"","""",""50210"",""True"",""18"","""",""11"",""ISJ013"",""2"",""40000"",""1"",""FS0025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40000","1","FS0025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7" s="15"/>
      <c r="D1267" s="16" t="str">
        <f>"FS0025"</f>
        <v>FS0025</v>
      </c>
      <c r="E1267" s="16">
        <v>40000</v>
      </c>
      <c r="F1267" s="16" t="str">
        <f t="shared" si="155"/>
        <v>ISJ013</v>
      </c>
      <c r="G1267" s="17" t="str">
        <f t="shared" si="156"/>
        <v>Intermediary 24oz Jar - ORG Cinn (100% VC)</v>
      </c>
      <c r="H1267" s="18" t="str">
        <f t="shared" si="154"/>
        <v>JARS</v>
      </c>
      <c r="I1267" s="19">
        <v>12</v>
      </c>
      <c r="J1267" s="20">
        <v>12</v>
      </c>
    </row>
    <row r="1268" spans="1:10" ht="15.75" thickBot="1" x14ac:dyDescent="0.3">
      <c r="A1268" t="s">
        <v>31</v>
      </c>
      <c r="B1268" s="15" t="str">
        <f>"""Manzana NAV"",""MANZANA"",""99000772"",""44"","" "",""22"",""False"",""43"",""0.00000000000000000000"",""12"",""Intermediary 24oz Jar - ORG Coconut Mango (2% VC)"",""50220"",""False"",""29"","""",""50210"",""True"",""18"","""",""11"",""ISJ031"",""2"",""30000"",""1"",""Z-FS0158"",""14"",""6.000000000000000"&amp;"00000"",""45"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Coconut Mango (2% VC)","50220","False","29","","50210","True","18","","11","ISJ031","2","30000","1","Z-FS0158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68" s="15"/>
      <c r="D1268" s="16" t="str">
        <f>"Z-FS0158"</f>
        <v>Z-FS0158</v>
      </c>
      <c r="E1268" s="16">
        <v>30000</v>
      </c>
      <c r="F1268" s="16" t="str">
        <f>"ISJ031"</f>
        <v>ISJ031</v>
      </c>
      <c r="G1268" s="17" t="str">
        <f>"Intermediary 24oz Jar - ORG Coconut Mango (2% VC)"</f>
        <v>Intermediary 24oz Jar - ORG Coconut Mango (2% VC)</v>
      </c>
      <c r="H1268" s="18" t="str">
        <f t="shared" si="154"/>
        <v>JARS</v>
      </c>
      <c r="I1268" s="19">
        <v>6</v>
      </c>
      <c r="J1268" s="20">
        <v>6</v>
      </c>
    </row>
    <row r="1269" spans="1:10" ht="15.75" thickBot="1" x14ac:dyDescent="0.3">
      <c r="A1269" t="s">
        <v>31</v>
      </c>
      <c r="B1269" s="15" t="str">
        <f>"""Manzana NAV"",""MANZANA"",""99000772"",""44"","" "",""22"",""False"",""43"",""0.00000000000000000000"",""12"",""Intermediary 24oz Jar - ORG Grav - COPK (2% VC)"",""50220"",""False"",""29"","""",""50210"",""True"",""18"","""",""11"",""ISJ021"",""2"",""10000"",""1"",""FS0153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10000","1","FS0153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9" s="15"/>
      <c r="D1269" s="16" t="str">
        <f>"FS0153"</f>
        <v>FS0153</v>
      </c>
      <c r="E1269" s="16">
        <v>10000</v>
      </c>
      <c r="F1269" s="16" t="str">
        <f>"ISJ021"</f>
        <v>ISJ021</v>
      </c>
      <c r="G1269" s="17" t="str">
        <f>"Intermediary 24oz Jar - ORG Grav - COPK (2% VC)"</f>
        <v>Intermediary 24oz Jar - ORG Grav - COPK (2% VC)</v>
      </c>
      <c r="H1269" s="18" t="str">
        <f t="shared" si="154"/>
        <v>JARS</v>
      </c>
      <c r="I1269" s="19">
        <v>12</v>
      </c>
      <c r="J1269" s="20">
        <v>12</v>
      </c>
    </row>
    <row r="1270" spans="1:10" ht="15.75" thickBot="1" x14ac:dyDescent="0.3">
      <c r="A1270" t="s">
        <v>31</v>
      </c>
      <c r="B1270" s="15" t="str">
        <f>"""Manzana NAV"",""MANZANA"",""99000772"",""44"","" "",""22"",""False"",""43"",""0.00000000000000000000"",""12"",""Intermediary 24oz Jar - ORG Grav - COPK (2% VC)"",""50220"",""False"",""29"","""",""50210"",""True"",""18"","""",""11"",""ISJ021"",""2"",""10000"",""1"",""FS0177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10000","1","FS0177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0" s="15"/>
      <c r="D1270" s="16" t="str">
        <f>"FS0177"</f>
        <v>FS0177</v>
      </c>
      <c r="E1270" s="16">
        <v>10000</v>
      </c>
      <c r="F1270" s="16" t="str">
        <f>"ISJ021"</f>
        <v>ISJ021</v>
      </c>
      <c r="G1270" s="17" t="str">
        <f>"Intermediary 24oz Jar - ORG Grav - COPK (2% VC)"</f>
        <v>Intermediary 24oz Jar - ORG Grav - COPK (2% VC)</v>
      </c>
      <c r="H1270" s="18" t="str">
        <f t="shared" si="154"/>
        <v>JARS</v>
      </c>
      <c r="I1270" s="19">
        <v>12</v>
      </c>
      <c r="J1270" s="20">
        <v>12</v>
      </c>
    </row>
    <row r="1271" spans="1:10" ht="15.75" thickBot="1" x14ac:dyDescent="0.3">
      <c r="A1271" t="s">
        <v>31</v>
      </c>
      <c r="B1271" s="15" t="str">
        <f>"""Manzana NAV"",""MANZANA"",""99000772"",""44"","" "",""22"",""False"",""43"",""0.00000000000000000000"",""12"",""Intermediary 24oz Jar - ORG Grav - COPK (2% VC)"",""50220"",""False"",""29"","""",""50210"",""True"",""18"","""",""11"",""ISJ021"",""2"",""20000"",""1"",""FS0117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20000","1","FS0117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1" s="15"/>
      <c r="D1271" s="16" t="str">
        <f>"FS0117"</f>
        <v>FS0117</v>
      </c>
      <c r="E1271" s="16">
        <v>20000</v>
      </c>
      <c r="F1271" s="16" t="str">
        <f>"ISJ021"</f>
        <v>ISJ021</v>
      </c>
      <c r="G1271" s="17" t="str">
        <f>"Intermediary 24oz Jar - ORG Grav - COPK (2% VC)"</f>
        <v>Intermediary 24oz Jar - ORG Grav - COPK (2% VC)</v>
      </c>
      <c r="H1271" s="18" t="str">
        <f t="shared" si="154"/>
        <v>JARS</v>
      </c>
      <c r="I1271" s="19">
        <v>12</v>
      </c>
      <c r="J1271" s="20">
        <v>12</v>
      </c>
    </row>
    <row r="1272" spans="1:10" ht="15.75" thickBot="1" x14ac:dyDescent="0.3">
      <c r="A1272" t="s">
        <v>31</v>
      </c>
      <c r="B1272" s="15" t="str">
        <f>"""Manzana NAV"",""MANZANA"",""99000772"",""44"","" "",""22"",""False"",""43"",""0.00000000000000000000"",""12"",""Intermediary 24oz Jar - ORG Grav - COPK (2% VC)"",""50220"",""False"",""29"","""",""50210"",""True"",""18"","""",""11"",""ISJ021"",""2"",""30000"",""1"",""FS0065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30000","1","FS0065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2" s="15"/>
      <c r="D1272" s="16" t="str">
        <f>"FS0065"</f>
        <v>FS0065</v>
      </c>
      <c r="E1272" s="16">
        <v>30000</v>
      </c>
      <c r="F1272" s="16" t="str">
        <f>"ISJ021"</f>
        <v>ISJ021</v>
      </c>
      <c r="G1272" s="17" t="str">
        <f>"Intermediary 24oz Jar - ORG Grav - COPK (2% VC)"</f>
        <v>Intermediary 24oz Jar - ORG Grav - COPK (2% VC)</v>
      </c>
      <c r="H1272" s="18" t="str">
        <f t="shared" si="154"/>
        <v>JARS</v>
      </c>
      <c r="I1272" s="19">
        <v>12</v>
      </c>
      <c r="J1272" s="20">
        <v>12</v>
      </c>
    </row>
    <row r="1273" spans="1:10" ht="15.75" thickBot="1" x14ac:dyDescent="0.3">
      <c r="A1273" t="s">
        <v>31</v>
      </c>
      <c r="B1273" s="15" t="str">
        <f>"""Manzana NAV"",""MANZANA"",""99000772"",""44"","" "",""22"",""False"",""43"",""0.00000000000000000000"",""12"",""Intermediary 24oz Jar - ORG Grav - COPK (2% VC)"",""50220"",""False"",""29"","""",""50210"",""True"",""18"","""",""11"",""ISJ021"",""2"",""30000"",""1"",""FS0065B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30000","1","FS0065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3" s="15"/>
      <c r="D1273" s="16" t="str">
        <f>"FS0065B"</f>
        <v>FS0065B</v>
      </c>
      <c r="E1273" s="16">
        <v>30000</v>
      </c>
      <c r="F1273" s="16" t="str">
        <f>"ISJ021"</f>
        <v>ISJ021</v>
      </c>
      <c r="G1273" s="17" t="str">
        <f>"Intermediary 24oz Jar - ORG Grav - COPK (2% VC)"</f>
        <v>Intermediary 24oz Jar - ORG Grav - COPK (2% VC)</v>
      </c>
      <c r="H1273" s="18" t="str">
        <f t="shared" si="154"/>
        <v>JARS</v>
      </c>
      <c r="I1273" s="19">
        <v>12</v>
      </c>
      <c r="J1273" s="20">
        <v>12</v>
      </c>
    </row>
    <row r="1274" spans="1:10" ht="15.75" thickBot="1" x14ac:dyDescent="0.3">
      <c r="A1274" t="s">
        <v>31</v>
      </c>
      <c r="B1274" s="15" t="str">
        <f>"""Manzana NAV"",""MANZANA"",""99000772"",""44"","" "",""22"",""False"",""43"",""0.00000000000000000000"",""12"",""Intermediary 24oz Jar - ORG Grav (2% VC)"",""50220"",""False"",""29"","""",""50210"",""True"",""18"","""",""11"",""ISJ003"",""2"",""20000"",""1"",""FS0005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20000","1","FS0005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4" s="15"/>
      <c r="D1274" s="16" t="str">
        <f>"FS0005"</f>
        <v>FS0005</v>
      </c>
      <c r="E1274" s="16">
        <v>20000</v>
      </c>
      <c r="F1274" s="16" t="str">
        <f t="shared" ref="F1274:F1283" si="157">"ISJ003"</f>
        <v>ISJ003</v>
      </c>
      <c r="G1274" s="17" t="str">
        <f t="shared" ref="G1274:G1283" si="158">"Intermediary 24oz Jar - ORG Grav (2% VC)"</f>
        <v>Intermediary 24oz Jar - ORG Grav (2% VC)</v>
      </c>
      <c r="H1274" s="18" t="str">
        <f t="shared" si="154"/>
        <v>JARS</v>
      </c>
      <c r="I1274" s="19">
        <v>12</v>
      </c>
      <c r="J1274" s="20">
        <v>12</v>
      </c>
    </row>
    <row r="1275" spans="1:10" ht="15.75" thickBot="1" x14ac:dyDescent="0.3">
      <c r="A1275" t="s">
        <v>31</v>
      </c>
      <c r="B1275" s="15" t="str">
        <f>"""Manzana NAV"",""MANZANA"",""99000772"",""44"","" "",""22"",""False"",""43"",""0.00000000000000000000"",""12"",""Intermediary 24oz Jar - ORG Grav (2% VC)"",""50220"",""False"",""29"","""",""50210"",""True"",""18"","""",""11"",""ISJ003"",""2"",""20000"",""1"",""FS0160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20000","1","FS0160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5" s="15"/>
      <c r="D1275" s="16" t="str">
        <f>"FS0160"</f>
        <v>FS0160</v>
      </c>
      <c r="E1275" s="16">
        <v>20000</v>
      </c>
      <c r="F1275" s="16" t="str">
        <f t="shared" si="157"/>
        <v>ISJ003</v>
      </c>
      <c r="G1275" s="17" t="str">
        <f t="shared" si="158"/>
        <v>Intermediary 24oz Jar - ORG Grav (2% VC)</v>
      </c>
      <c r="H1275" s="18" t="str">
        <f t="shared" si="154"/>
        <v>JARS</v>
      </c>
      <c r="I1275" s="19">
        <v>12</v>
      </c>
      <c r="J1275" s="20">
        <v>12</v>
      </c>
    </row>
    <row r="1276" spans="1:10" ht="15.75" thickBot="1" x14ac:dyDescent="0.3">
      <c r="A1276" t="s">
        <v>31</v>
      </c>
      <c r="B1276" s="15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0034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0034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6" s="15"/>
      <c r="D1276" s="16" t="str">
        <f>"FS0034"</f>
        <v>FS0034</v>
      </c>
      <c r="E1276" s="16">
        <v>30000</v>
      </c>
      <c r="F1276" s="16" t="str">
        <f t="shared" si="157"/>
        <v>ISJ003</v>
      </c>
      <c r="G1276" s="17" t="str">
        <f t="shared" si="158"/>
        <v>Intermediary 24oz Jar - ORG Grav (2% VC)</v>
      </c>
      <c r="H1276" s="18" t="str">
        <f t="shared" si="154"/>
        <v>JARS</v>
      </c>
      <c r="I1276" s="19">
        <v>12</v>
      </c>
      <c r="J1276" s="20">
        <v>12</v>
      </c>
    </row>
    <row r="1277" spans="1:10" ht="15.75" thickBot="1" x14ac:dyDescent="0.3">
      <c r="A1277" t="s">
        <v>31</v>
      </c>
      <c r="B1277" s="15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0056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0056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7" s="15"/>
      <c r="D1277" s="16" t="str">
        <f>"FS0056"</f>
        <v>FS0056</v>
      </c>
      <c r="E1277" s="16">
        <v>30000</v>
      </c>
      <c r="F1277" s="16" t="str">
        <f t="shared" si="157"/>
        <v>ISJ003</v>
      </c>
      <c r="G1277" s="17" t="str">
        <f t="shared" si="158"/>
        <v>Intermediary 24oz Jar - ORG Grav (2% VC)</v>
      </c>
      <c r="H1277" s="18" t="str">
        <f t="shared" si="154"/>
        <v>JARS</v>
      </c>
      <c r="I1277" s="19">
        <v>12</v>
      </c>
      <c r="J1277" s="20">
        <v>12</v>
      </c>
    </row>
    <row r="1278" spans="1:10" ht="15.75" thickBot="1" x14ac:dyDescent="0.3">
      <c r="A1278" t="s">
        <v>31</v>
      </c>
      <c r="B1278" s="15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0115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0115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8" s="15"/>
      <c r="D1278" s="16" t="str">
        <f>"FS0115"</f>
        <v>FS0115</v>
      </c>
      <c r="E1278" s="16">
        <v>30000</v>
      </c>
      <c r="F1278" s="16" t="str">
        <f t="shared" si="157"/>
        <v>ISJ003</v>
      </c>
      <c r="G1278" s="17" t="str">
        <f t="shared" si="158"/>
        <v>Intermediary 24oz Jar - ORG Grav (2% VC)</v>
      </c>
      <c r="H1278" s="18" t="str">
        <f t="shared" si="154"/>
        <v>JARS</v>
      </c>
      <c r="I1278" s="19">
        <v>12</v>
      </c>
      <c r="J1278" s="20">
        <v>12</v>
      </c>
    </row>
    <row r="1279" spans="1:10" ht="15.75" thickBot="1" x14ac:dyDescent="0.3">
      <c r="A1279" t="s">
        <v>31</v>
      </c>
      <c r="B1279" s="15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0175"",""14"",""6.00000000000000000000"",""45"""&amp;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0175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79" s="15"/>
      <c r="D1279" s="16" t="str">
        <f>"FS0175"</f>
        <v>FS0175</v>
      </c>
      <c r="E1279" s="16">
        <v>30000</v>
      </c>
      <c r="F1279" s="16" t="str">
        <f t="shared" si="157"/>
        <v>ISJ003</v>
      </c>
      <c r="G1279" s="17" t="str">
        <f t="shared" si="158"/>
        <v>Intermediary 24oz Jar - ORG Grav (2% VC)</v>
      </c>
      <c r="H1279" s="18" t="str">
        <f t="shared" si="154"/>
        <v>JARS</v>
      </c>
      <c r="I1279" s="19">
        <v>6</v>
      </c>
      <c r="J1279" s="20">
        <v>6</v>
      </c>
    </row>
    <row r="1280" spans="1:10" ht="15.75" thickBot="1" x14ac:dyDescent="0.3">
      <c r="A1280" t="s">
        <v>31</v>
      </c>
      <c r="B1280" s="15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0189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0189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0" s="15"/>
      <c r="D1280" s="16" t="str">
        <f>"FS0189"</f>
        <v>FS0189</v>
      </c>
      <c r="E1280" s="16">
        <v>30000</v>
      </c>
      <c r="F1280" s="16" t="str">
        <f t="shared" si="157"/>
        <v>ISJ003</v>
      </c>
      <c r="G1280" s="17" t="str">
        <f t="shared" si="158"/>
        <v>Intermediary 24oz Jar - ORG Grav (2% VC)</v>
      </c>
      <c r="H1280" s="18" t="str">
        <f t="shared" si="154"/>
        <v>JARS</v>
      </c>
      <c r="I1280" s="19">
        <v>12</v>
      </c>
      <c r="J1280" s="20">
        <v>12</v>
      </c>
    </row>
    <row r="1281" spans="1:10" ht="15.75" thickBot="1" x14ac:dyDescent="0.3">
      <c r="A1281" t="s">
        <v>31</v>
      </c>
      <c r="B1281" s="15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Z-FS0043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Z-FS0043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1" s="15"/>
      <c r="D1281" s="16" t="str">
        <f>"Z-FS0043"</f>
        <v>Z-FS0043</v>
      </c>
      <c r="E1281" s="16">
        <v>30000</v>
      </c>
      <c r="F1281" s="16" t="str">
        <f t="shared" si="157"/>
        <v>ISJ003</v>
      </c>
      <c r="G1281" s="17" t="str">
        <f t="shared" si="158"/>
        <v>Intermediary 24oz Jar - ORG Grav (2% VC)</v>
      </c>
      <c r="H1281" s="18" t="str">
        <f t="shared" si="154"/>
        <v>JARS</v>
      </c>
      <c r="I1281" s="19">
        <v>12</v>
      </c>
      <c r="J1281" s="20">
        <v>12</v>
      </c>
    </row>
    <row r="1282" spans="1:10" ht="15.75" thickBot="1" x14ac:dyDescent="0.3">
      <c r="A1282" t="s">
        <v>31</v>
      </c>
      <c r="B1282" s="15" t="str">
        <f>"""Manzana NAV"",""MANZANA"",""99000772"",""44"","" "",""22"",""False"",""43"",""0.00000000000000000000"",""12"",""Intermediary 24oz Jar - ORG Grav (2% VC)"",""50220"",""False"",""29"","""",""50210"",""True"",""18"","""",""11"",""ISJ003"",""2"",""40000"",""1"",""FS0012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40000","1","FS0012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2" s="15"/>
      <c r="D1282" s="16" t="str">
        <f>"FS0012"</f>
        <v>FS0012</v>
      </c>
      <c r="E1282" s="16">
        <v>40000</v>
      </c>
      <c r="F1282" s="16" t="str">
        <f t="shared" si="157"/>
        <v>ISJ003</v>
      </c>
      <c r="G1282" s="17" t="str">
        <f t="shared" si="158"/>
        <v>Intermediary 24oz Jar - ORG Grav (2% VC)</v>
      </c>
      <c r="H1282" s="18" t="str">
        <f t="shared" si="154"/>
        <v>JARS</v>
      </c>
      <c r="I1282" s="19">
        <v>12</v>
      </c>
      <c r="J1282" s="20">
        <v>12</v>
      </c>
    </row>
    <row r="1283" spans="1:10" ht="15.75" thickBot="1" x14ac:dyDescent="0.3">
      <c r="A1283" t="s">
        <v>31</v>
      </c>
      <c r="B1283" s="15" t="str">
        <f>"""Manzana NAV"",""MANZANA"",""99000772"",""44"","" "",""22"",""False"",""43"",""0.00000000000000000000"",""12"",""Intermediary 24oz Jar - ORG Grav (2% VC)"",""50220"",""False"",""29"","""",""50210"",""True"",""18"","""",""11"",""ISJ003"",""2"",""40000"",""1"",""FS0021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40000","1","FS0021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3" s="15"/>
      <c r="D1283" s="16" t="str">
        <f>"FS0021"</f>
        <v>FS0021</v>
      </c>
      <c r="E1283" s="16">
        <v>40000</v>
      </c>
      <c r="F1283" s="16" t="str">
        <f t="shared" si="157"/>
        <v>ISJ003</v>
      </c>
      <c r="G1283" s="17" t="str">
        <f t="shared" si="158"/>
        <v>Intermediary 24oz Jar - ORG Grav (2% VC)</v>
      </c>
      <c r="H1283" s="18" t="str">
        <f t="shared" si="154"/>
        <v>JARS</v>
      </c>
      <c r="I1283" s="19">
        <v>12</v>
      </c>
      <c r="J1283" s="20">
        <v>12</v>
      </c>
    </row>
    <row r="1284" spans="1:10" ht="15.75" thickBot="1" x14ac:dyDescent="0.3">
      <c r="A1284" t="s">
        <v>31</v>
      </c>
      <c r="B1284" s="15" t="str">
        <f>"""Manzana NAV"",""MANZANA"",""99000772"",""44"","" "",""22"",""False"",""43"",""0.00000000000000000000"",""12"",""Intermediary 24oz Jar - ORG Peach (2% VC)"",""50220"",""False"",""29"","""",""50210"",""True"",""18"","""",""11"",""ISJ017"",""2"",""30000"",""1"",""FS0072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Peach (2% VC)","50220","False","29","","50210","True","18","","11","ISJ017","2","30000","1","FS0072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4" s="15"/>
      <c r="D1284" s="16" t="str">
        <f>"FS0072B"</f>
        <v>FS0072B</v>
      </c>
      <c r="E1284" s="16">
        <v>30000</v>
      </c>
      <c r="F1284" s="16" t="str">
        <f>"ISJ017"</f>
        <v>ISJ017</v>
      </c>
      <c r="G1284" s="17" t="str">
        <f>"Intermediary 24oz Jar - ORG Peach (2% VC)"</f>
        <v>Intermediary 24oz Jar - ORG Peach (2% VC)</v>
      </c>
      <c r="H1284" s="18" t="str">
        <f t="shared" si="154"/>
        <v>JARS</v>
      </c>
      <c r="I1284" s="19">
        <v>12</v>
      </c>
      <c r="J1284" s="20">
        <v>12</v>
      </c>
    </row>
    <row r="1285" spans="1:10" ht="15.75" thickBot="1" x14ac:dyDescent="0.3">
      <c r="A1285" t="s">
        <v>31</v>
      </c>
      <c r="B1285" s="15" t="str">
        <f>"""Manzana NAV"",""MANZANA"",""99000772"",""44"","" "",""22"",""False"",""43"",""0.00000000000000000000"",""12"",""Intermediary 24oz Jar - ORG Pump Pie Spice (2% VC)"",""50220"",""False"",""29"","""",""50210"",""True"",""18"","""",""11"",""ISJ032"",""2"",""20000"",""1"",""FS0176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Pump Pie Spice (2% VC)","50220","False","29","","50210","True","18","","11","ISJ032","2","20000","1","FS0176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5" s="15"/>
      <c r="D1285" s="16" t="str">
        <f>"FS0176"</f>
        <v>FS0176</v>
      </c>
      <c r="E1285" s="16">
        <v>20000</v>
      </c>
      <c r="F1285" s="16" t="str">
        <f>"ISJ032"</f>
        <v>ISJ032</v>
      </c>
      <c r="G1285" s="17" t="str">
        <f>"Intermediary 24oz Jar - ORG Pump Pie Spice (2% VC)"</f>
        <v>Intermediary 24oz Jar - ORG Pump Pie Spice (2% VC)</v>
      </c>
      <c r="H1285" s="18" t="str">
        <f t="shared" si="154"/>
        <v>JARS</v>
      </c>
      <c r="I1285" s="19">
        <v>12</v>
      </c>
      <c r="J1285" s="20">
        <v>12</v>
      </c>
    </row>
    <row r="1286" spans="1:10" ht="15.75" thickBot="1" x14ac:dyDescent="0.3">
      <c r="A1286" t="s">
        <v>31</v>
      </c>
      <c r="B1286" s="15" t="str">
        <f>"""Manzana NAV"",""MANZANA"",""99000772"",""44"","" "",""22"",""False"",""43"",""0.00000000000000000000"",""12"",""Intermediary 24oz Jar - ORG Pump Pie Spice (2% VC)"",""50220"",""False"",""29"","""",""50210"",""True"",""18"","""",""11"",""ISJ032"",""2"",""20000"",""1"",""FS0201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Pump Pie Spice (2% VC)","50220","False","29","","50210","True","18","","11","ISJ032","2","20000","1","FS0201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6" s="15"/>
      <c r="D1286" s="16" t="str">
        <f>"FS0201"</f>
        <v>FS0201</v>
      </c>
      <c r="E1286" s="16">
        <v>20000</v>
      </c>
      <c r="F1286" s="16" t="str">
        <f>"ISJ032"</f>
        <v>ISJ032</v>
      </c>
      <c r="G1286" s="17" t="str">
        <f>"Intermediary 24oz Jar - ORG Pump Pie Spice (2% VC)"</f>
        <v>Intermediary 24oz Jar - ORG Pump Pie Spice (2% VC)</v>
      </c>
      <c r="H1286" s="18" t="str">
        <f t="shared" si="154"/>
        <v>JARS</v>
      </c>
      <c r="I1286" s="19">
        <v>12</v>
      </c>
      <c r="J1286" s="20">
        <v>12</v>
      </c>
    </row>
    <row r="1287" spans="1:10" ht="15.75" thickBot="1" x14ac:dyDescent="0.3">
      <c r="A1287" t="s">
        <v>31</v>
      </c>
      <c r="B1287" s="15" t="str">
        <f>"""Manzana NAV"",""MANZANA"",""99000772"",""44"","" "",""22"",""False"",""43"",""0.00000000000000000000"",""12"",""Intermediary 24oz Jar - ORG Pump Pie Spice (2% VC)"",""50220"",""False"",""29"","""",""50210"",""True"",""18"","""",""11"",""ISJ032"",""2"",""25000"",""1"",""FS0147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Pump Pie Spice (2% VC)","50220","False","29","","50210","True","18","","11","ISJ032","2","25000","1","FS0147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7" s="15"/>
      <c r="D1287" s="16" t="str">
        <f>"FS0147"</f>
        <v>FS0147</v>
      </c>
      <c r="E1287" s="16">
        <v>25000</v>
      </c>
      <c r="F1287" s="16" t="str">
        <f>"ISJ032"</f>
        <v>ISJ032</v>
      </c>
      <c r="G1287" s="17" t="str">
        <f>"Intermediary 24oz Jar - ORG Pump Pie Spice (2% VC)"</f>
        <v>Intermediary 24oz Jar - ORG Pump Pie Spice (2% VC)</v>
      </c>
      <c r="H1287" s="18" t="str">
        <f t="shared" si="154"/>
        <v>JARS</v>
      </c>
      <c r="I1287" s="19">
        <v>12</v>
      </c>
      <c r="J1287" s="20">
        <v>12</v>
      </c>
    </row>
    <row r="1288" spans="1:10" ht="15.75" thickBot="1" x14ac:dyDescent="0.3">
      <c r="A1288" t="s">
        <v>31</v>
      </c>
      <c r="B1288" s="15" t="str">
        <f>"""Manzana NAV"",""MANZANA"",""99000772"",""44"","" "",""22"",""False"",""43"",""0.00000000000000000000"",""12"",""Intermediary 24oz Jar - ORG Sweet Blend (100% VC)"",""50220"",""False"",""29"","""",""50210"",""True"",""18"","""",""11"",""ISJ005"",""2"",""10000"",""1"",""FS0125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Blend (100% VC)","50220","False","29","","50210","True","18","","11","ISJ005","2","10000","1","FS0125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8" s="15"/>
      <c r="D1288" s="16" t="str">
        <f>"FS0125"</f>
        <v>FS0125</v>
      </c>
      <c r="E1288" s="16">
        <v>10000</v>
      </c>
      <c r="F1288" s="16" t="str">
        <f>"ISJ005"</f>
        <v>ISJ005</v>
      </c>
      <c r="G1288" s="17" t="str">
        <f>"Intermediary 24oz Jar - ORG Sweet Blend (100% VC)"</f>
        <v>Intermediary 24oz Jar - ORG Sweet Blend (100% VC)</v>
      </c>
      <c r="H1288" s="18" t="str">
        <f t="shared" si="154"/>
        <v>JARS</v>
      </c>
      <c r="I1288" s="19">
        <v>12</v>
      </c>
      <c r="J1288" s="20">
        <v>12</v>
      </c>
    </row>
    <row r="1289" spans="1:10" ht="15.75" thickBot="1" x14ac:dyDescent="0.3">
      <c r="A1289" t="s">
        <v>31</v>
      </c>
      <c r="B1289" s="15" t="str">
        <f>"""Manzana NAV"",""MANZANA"",""99000772"",""44"","" "",""22"",""False"",""43"",""0.00000000000000000000"",""12"",""Intermediary 24oz Jar - ORG Sweet Blend (100% VC)"",""50220"",""False"",""29"","""",""50210"",""True"",""18"","""",""11"",""ISJ005"",""2"",""30000"",""1"",""FS0035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Blend (100% VC)","50220","False","29","","50210","True","18","","11","ISJ005","2","30000","1","FS0035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9" s="15"/>
      <c r="D1289" s="16" t="str">
        <f>"FS0035"</f>
        <v>FS0035</v>
      </c>
      <c r="E1289" s="16">
        <v>30000</v>
      </c>
      <c r="F1289" s="16" t="str">
        <f>"ISJ005"</f>
        <v>ISJ005</v>
      </c>
      <c r="G1289" s="17" t="str">
        <f>"Intermediary 24oz Jar - ORG Sweet Blend (100% VC)"</f>
        <v>Intermediary 24oz Jar - ORG Sweet Blend (100% VC)</v>
      </c>
      <c r="H1289" s="18" t="str">
        <f t="shared" si="154"/>
        <v>JARS</v>
      </c>
      <c r="I1289" s="19">
        <v>12</v>
      </c>
      <c r="J1289" s="20">
        <v>12</v>
      </c>
    </row>
    <row r="1290" spans="1:10" ht="15.75" thickBot="1" x14ac:dyDescent="0.3">
      <c r="A1290" t="s">
        <v>31</v>
      </c>
      <c r="B1290" s="15" t="str">
        <f>"""Manzana NAV"",""MANZANA"",""99000772"",""44"","" "",""22"",""False"",""43"",""0.00000000000000000000"",""12"",""Intermediary 24oz Jar - ORG Sweet Grav (100% VC)"",""50220"",""False"",""29"","""",""50210"",""True"",""18"","""",""11"",""ISJ006"",""2"",""20000"",""1"",""FS0007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Grav (100% VC)","50220","False","29","","50210","True","18","","11","ISJ006","2","20000","1","FS0007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90" s="15"/>
      <c r="D1290" s="16" t="str">
        <f>"FS0007"</f>
        <v>FS0007</v>
      </c>
      <c r="E1290" s="16">
        <v>20000</v>
      </c>
      <c r="F1290" s="16" t="str">
        <f>"ISJ006"</f>
        <v>ISJ006</v>
      </c>
      <c r="G1290" s="17" t="str">
        <f>"Intermediary 24oz Jar - ORG Sweet Grav (100% VC)"</f>
        <v>Intermediary 24oz Jar - ORG Sweet Grav (100% VC)</v>
      </c>
      <c r="H1290" s="18" t="str">
        <f t="shared" si="154"/>
        <v>JARS</v>
      </c>
      <c r="I1290" s="19">
        <v>12</v>
      </c>
      <c r="J1290" s="20">
        <v>12</v>
      </c>
    </row>
    <row r="1291" spans="1:10" ht="15.75" thickBot="1" x14ac:dyDescent="0.3">
      <c r="A1291" t="s">
        <v>31</v>
      </c>
      <c r="B1291" s="15" t="str">
        <f>"""Manzana NAV"",""MANZANA"",""99000772"",""44"","" "",""22"",""False"",""43"",""0.00000000000000000000"",""12"",""Intermediary 24oz Jar - ORG Sweet Grav (100% VC)"",""50220"",""False"",""29"","""",""50210"",""True"",""18"","""",""11"",""ISJ006"",""2"",""20000"",""1"",""FS0122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Grav (100% VC)","50220","False","29","","50210","True","18","","11","ISJ006","2","20000","1","FS0122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91" s="15"/>
      <c r="D1291" s="16" t="str">
        <f>"FS0122"</f>
        <v>FS0122</v>
      </c>
      <c r="E1291" s="16">
        <v>20000</v>
      </c>
      <c r="F1291" s="16" t="str">
        <f>"ISJ006"</f>
        <v>ISJ006</v>
      </c>
      <c r="G1291" s="17" t="str">
        <f>"Intermediary 24oz Jar - ORG Sweet Grav (100% VC)"</f>
        <v>Intermediary 24oz Jar - ORG Sweet Grav (100% VC)</v>
      </c>
      <c r="H1291" s="18" t="str">
        <f t="shared" si="154"/>
        <v>JARS</v>
      </c>
      <c r="I1291" s="19">
        <v>12</v>
      </c>
      <c r="J1291" s="20">
        <v>12</v>
      </c>
    </row>
    <row r="1292" spans="1:10" ht="15.75" thickBot="1" x14ac:dyDescent="0.3">
      <c r="A1292" t="s">
        <v>31</v>
      </c>
      <c r="B1292" s="15" t="str">
        <f>"""Manzana NAV"",""MANZANA"",""99000772"",""44"","" "",""22"",""False"",""43"",""0.00000000000000000000"",""12"",""Intermediary 24oz Jar-ORG Rsbry - MZ(100% VC)"",""50220"",""False"",""29"","""",""50210"",""True"",""18"","""",""11"",""ISJ033"",""2"",""30000"",""1"",""FS0074B"",""14"",""12.0000000000000000000"&amp;"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Jar-ORG Rsbry - MZ(100% VC)","50220","False","29","","50210","True","18","","11","ISJ033","2","30000","1","FS0074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92" s="15"/>
      <c r="D1292" s="16" t="str">
        <f>"FS0074B"</f>
        <v>FS0074B</v>
      </c>
      <c r="E1292" s="16">
        <v>30000</v>
      </c>
      <c r="F1292" s="16" t="str">
        <f>"ISJ033"</f>
        <v>ISJ033</v>
      </c>
      <c r="G1292" s="17" t="str">
        <f>"Intermediary 24oz Jar-ORG Rsbry - MZ(100% VC)"</f>
        <v>Intermediary 24oz Jar-ORG Rsbry - MZ(100% VC)</v>
      </c>
      <c r="H1292" s="18" t="str">
        <f t="shared" si="154"/>
        <v>JARS</v>
      </c>
      <c r="I1292" s="19">
        <v>12</v>
      </c>
      <c r="J1292" s="20">
        <v>12</v>
      </c>
    </row>
    <row r="1293" spans="1:10" ht="15.75" thickBot="1" x14ac:dyDescent="0.3">
      <c r="A1293" t="s">
        <v>31</v>
      </c>
      <c r="B1293" s="15" t="str">
        <f>"""Manzana NAV"",""MANZANA"",""99000772"",""44"","" "",""22"",""False"",""43"",""0.00000000000000000000"",""12"",""Intermediary 3.2oz Pouch - ORG Banana Trader Joes"",""50220"",""False"",""29"","""",""50210"",""True"",""18"","""",""11"",""ISP0019"",""2"",""30000"",""1"",""FSP0019"",""14"",""112.0000000000000"&amp;"0000000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Banana Trader Joes","50220","False","29","","50210","True","18","","11","ISP0019","2","30000","1","FSP0019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293" s="15"/>
      <c r="D1293" s="16" t="str">
        <f>"FSP0019"</f>
        <v>FSP0019</v>
      </c>
      <c r="E1293" s="16">
        <v>30000</v>
      </c>
      <c r="F1293" s="16" t="str">
        <f>"ISP0019"</f>
        <v>ISP0019</v>
      </c>
      <c r="G1293" s="17" t="str">
        <f>"Intermediary 3.2oz Pouch - ORG Banana Trader Joes"</f>
        <v>Intermediary 3.2oz Pouch - ORG Banana Trader Joes</v>
      </c>
      <c r="H1293" s="18" t="str">
        <f t="shared" ref="H1293:H1319" si="159">"POUCHES"</f>
        <v>POUCHES</v>
      </c>
      <c r="I1293" s="19">
        <v>112</v>
      </c>
      <c r="J1293" s="20">
        <v>112</v>
      </c>
    </row>
    <row r="1294" spans="1:10" ht="15.75" thickBot="1" x14ac:dyDescent="0.3">
      <c r="A1294" t="s">
        <v>31</v>
      </c>
      <c r="B1294" s="15" t="str">
        <f>"""Manzana NAV"",""MANZANA"",""99000772"",""44"","" "",""22"",""False"",""43"",""0.00000000000000000000"",""12"",""Intermediary 3.2oz Pouch - ORG Berry - H.TEETER"",""50220"",""False"",""29"","""",""50210"",""True"",""18"","""",""11"",""ISP0006"",""2"",""30000"",""1"",""FSP0006"",""14"",""48.0000000000000000"&amp;"0000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H.TEETER","50220","False","29","","50210","True","18","","11","ISP0006","2","30000","1","FSP0006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4" s="15"/>
      <c r="D1294" s="16" t="str">
        <f>"FSP0006"</f>
        <v>FSP0006</v>
      </c>
      <c r="E1294" s="16">
        <v>30000</v>
      </c>
      <c r="F1294" s="16" t="str">
        <f>"ISP0006"</f>
        <v>ISP0006</v>
      </c>
      <c r="G1294" s="17" t="str">
        <f>"Intermediary 3.2oz Pouch - ORG Berry - H.TEETER"</f>
        <v>Intermediary 3.2oz Pouch - ORG Berry - H.TEETER</v>
      </c>
      <c r="H1294" s="18" t="str">
        <f t="shared" si="159"/>
        <v>POUCHES</v>
      </c>
      <c r="I1294" s="19">
        <v>48</v>
      </c>
      <c r="J1294" s="20">
        <v>48</v>
      </c>
    </row>
    <row r="1295" spans="1:10" ht="15.75" thickBot="1" x14ac:dyDescent="0.3">
      <c r="A1295" t="s">
        <v>31</v>
      </c>
      <c r="B1295" s="15" t="str">
        <f>"""Manzana NAV"",""MANZANA"",""99000772"",""44"","" "",""22"",""False"",""43"",""0.00000000000000000000"",""12"",""Intermediary 3.2oz Pouch - ORG Berry - HARMONS"",""50220"",""False"",""29"","""",""50210"",""True"",""18"","""",""11"",""ISP0026"",""2"",""20000"",""1"",""FSP0029"",""14"",""36.00000000000000000"&amp;"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HARMONS","50220","False","29","","50210","True","18","","11","ISP0026","2","20000","1","FSP0029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295" s="15"/>
      <c r="D1295" s="16" t="str">
        <f>"FSP0029"</f>
        <v>FSP0029</v>
      </c>
      <c r="E1295" s="16">
        <v>20000</v>
      </c>
      <c r="F1295" s="16" t="str">
        <f>"ISP0026"</f>
        <v>ISP0026</v>
      </c>
      <c r="G1295" s="17" t="str">
        <f>"Intermediary 3.2oz Pouch - ORG Berry - HARMONS"</f>
        <v>Intermediary 3.2oz Pouch - ORG Berry - HARMONS</v>
      </c>
      <c r="H1295" s="18" t="str">
        <f t="shared" si="159"/>
        <v>POUCHES</v>
      </c>
      <c r="I1295" s="19">
        <v>36</v>
      </c>
      <c r="J1295" s="20">
        <v>36</v>
      </c>
    </row>
    <row r="1296" spans="1:10" ht="15.75" thickBot="1" x14ac:dyDescent="0.3">
      <c r="A1296" t="s">
        <v>31</v>
      </c>
      <c r="B1296" s="15" t="str">
        <f>"""Manzana NAV"",""MANZANA"",""99000772"",""44"","" "",""22"",""False"",""43"",""0.00000000000000000000"",""12"",""Intermediary 3.2oz Pouch - ORG Berry - HARMONS"",""50220"",""False"",""29"","""",""50210"",""True"",""18"","""",""11"",""ISP0026"",""2"",""30000"",""1"",""FSP0026"",""14"",""48.00000000000000000"&amp;"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HARMONS","50220","False","29","","50210","True","18","","11","ISP0026","2","30000","1","FSP0026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6" s="15"/>
      <c r="D1296" s="16" t="str">
        <f>"FSP0026"</f>
        <v>FSP0026</v>
      </c>
      <c r="E1296" s="16">
        <v>30000</v>
      </c>
      <c r="F1296" s="16" t="str">
        <f>"ISP0026"</f>
        <v>ISP0026</v>
      </c>
      <c r="G1296" s="17" t="str">
        <f>"Intermediary 3.2oz Pouch - ORG Berry - HARMONS"</f>
        <v>Intermediary 3.2oz Pouch - ORG Berry - HARMONS</v>
      </c>
      <c r="H1296" s="18" t="str">
        <f t="shared" si="159"/>
        <v>POUCHES</v>
      </c>
      <c r="I1296" s="19">
        <v>48</v>
      </c>
      <c r="J1296" s="20">
        <v>48</v>
      </c>
    </row>
    <row r="1297" spans="1:10" ht="15.75" thickBot="1" x14ac:dyDescent="0.3">
      <c r="A1297" t="s">
        <v>31</v>
      </c>
      <c r="B1297" s="15" t="str">
        <f>"""Manzana NAV"",""MANZANA"",""99000772"",""44"","" "",""22"",""False"",""43"",""0.00000000000000000000"",""12"",""Intermediary 3.2oz Pouch - ORG Berry - N.COAST"",""50220"",""False"",""29"","""",""50210"",""True"",""18"","""",""11"",""ISP0003"",""2"",""20000"",""1"",""FSP0016"",""14"",""24.00000000000000000"&amp;"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N.COAST","50220","False","29","","50210","True","18","","11","ISP0003","2","20000","1","FSP0016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297" s="15"/>
      <c r="D1297" s="16" t="str">
        <f>"FSP0016"</f>
        <v>FSP0016</v>
      </c>
      <c r="E1297" s="16">
        <v>20000</v>
      </c>
      <c r="F1297" s="16" t="str">
        <f>"ISP0003"</f>
        <v>ISP0003</v>
      </c>
      <c r="G1297" s="17" t="str">
        <f>"Intermediary 3.2oz Pouch - ORG Berry - N.COAST"</f>
        <v>Intermediary 3.2oz Pouch - ORG Berry - N.COAST</v>
      </c>
      <c r="H1297" s="18" t="str">
        <f t="shared" si="159"/>
        <v>POUCHES</v>
      </c>
      <c r="I1297" s="19">
        <v>24</v>
      </c>
      <c r="J1297" s="20">
        <v>24</v>
      </c>
    </row>
    <row r="1298" spans="1:10" ht="15.75" thickBot="1" x14ac:dyDescent="0.3">
      <c r="A1298" t="s">
        <v>31</v>
      </c>
      <c r="B1298" s="15" t="str">
        <f>"""Manzana NAV"",""MANZANA"",""99000772"",""44"","" "",""22"",""False"",""43"",""0.00000000000000000000"",""12"",""Intermediary 3.2oz Pouch - ORG Berry - RALEYS"",""50220"",""False"",""29"","""",""50210"",""True"",""18"","""",""11"",""ISP0009"",""2"",""30000"",""1"",""FSP0009"",""14"",""48.000000000000000000"&amp;"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RALEYS","50220","False","29","","50210","True","18","","11","ISP0009","2","30000","1","FSP0009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8" s="15"/>
      <c r="D1298" s="16" t="str">
        <f>"FSP0009"</f>
        <v>FSP0009</v>
      </c>
      <c r="E1298" s="16">
        <v>30000</v>
      </c>
      <c r="F1298" s="16" t="str">
        <f>"ISP0009"</f>
        <v>ISP0009</v>
      </c>
      <c r="G1298" s="17" t="str">
        <f>"Intermediary 3.2oz Pouch - ORG Berry - RALEYS"</f>
        <v>Intermediary 3.2oz Pouch - ORG Berry - RALEYS</v>
      </c>
      <c r="H1298" s="18" t="str">
        <f t="shared" si="159"/>
        <v>POUCHES</v>
      </c>
      <c r="I1298" s="19">
        <v>48</v>
      </c>
      <c r="J1298" s="20">
        <v>48</v>
      </c>
    </row>
    <row r="1299" spans="1:10" ht="15.75" thickBot="1" x14ac:dyDescent="0.3">
      <c r="A1299" t="s">
        <v>31</v>
      </c>
      <c r="B1299" s="15" t="str">
        <f>"""Manzana NAV"",""MANZANA"",""99000772"",""44"","" "",""22"",""False"",""43"",""0.00000000000000000000"",""12"",""Intermediary 3.2oz Pouch - ORG Blend - H.TEETER"",""50220"",""False"",""29"","""",""50210"",""True"",""18"","""",""11"",""ISP0004"",""2"",""20000"",""1"",""FSP0004"",""14"",""48.0000000000000000"&amp;"0000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H.TEETER","50220","False","29","","50210","True","18","","11","ISP0004","2","20000","1","FSP0004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9" s="15"/>
      <c r="D1299" s="16" t="str">
        <f>"FSP0004"</f>
        <v>FSP0004</v>
      </c>
      <c r="E1299" s="16">
        <v>20000</v>
      </c>
      <c r="F1299" s="16" t="str">
        <f>"ISP0004"</f>
        <v>ISP0004</v>
      </c>
      <c r="G1299" s="17" t="str">
        <f>"Intermediary 3.2oz Pouch - ORG Blend - H.TEETER"</f>
        <v>Intermediary 3.2oz Pouch - ORG Blend - H.TEETER</v>
      </c>
      <c r="H1299" s="18" t="str">
        <f t="shared" si="159"/>
        <v>POUCHES</v>
      </c>
      <c r="I1299" s="19">
        <v>48</v>
      </c>
      <c r="J1299" s="20">
        <v>48</v>
      </c>
    </row>
    <row r="1300" spans="1:10" ht="15.75" thickBot="1" x14ac:dyDescent="0.3">
      <c r="A1300" t="s">
        <v>31</v>
      </c>
      <c r="B1300" s="15" t="str">
        <f>"""Manzana NAV"",""MANZANA"",""99000772"",""44"","" "",""22"",""False"",""43"",""0.00000000000000000000"",""12"",""Intermediary 3.2oz Pouch - ORG Blend - HARMONS"",""50220"",""False"",""29"","""",""50210"",""True"",""18"","""",""11"",""ISP0024"",""2"",""20000"",""1"",""FSP0027"",""14"",""36.00000000000000000"&amp;"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HARMONS","50220","False","29","","50210","True","18","","11","ISP0024","2","20000","1","FSP0027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00" s="15"/>
      <c r="D1300" s="16" t="str">
        <f>"FSP0027"</f>
        <v>FSP0027</v>
      </c>
      <c r="E1300" s="16">
        <v>20000</v>
      </c>
      <c r="F1300" s="16" t="str">
        <f>"ISP0024"</f>
        <v>ISP0024</v>
      </c>
      <c r="G1300" s="17" t="str">
        <f>"Intermediary 3.2oz Pouch - ORG Blend - HARMONS"</f>
        <v>Intermediary 3.2oz Pouch - ORG Blend - HARMONS</v>
      </c>
      <c r="H1300" s="18" t="str">
        <f t="shared" si="159"/>
        <v>POUCHES</v>
      </c>
      <c r="I1300" s="19">
        <v>36</v>
      </c>
      <c r="J1300" s="20">
        <v>36</v>
      </c>
    </row>
    <row r="1301" spans="1:10" ht="15.75" thickBot="1" x14ac:dyDescent="0.3">
      <c r="A1301" t="s">
        <v>31</v>
      </c>
      <c r="B1301" s="15" t="str">
        <f>"""Manzana NAV"",""MANZANA"",""99000772"",""44"","" "",""22"",""False"",""43"",""0.00000000000000000000"",""12"",""Intermediary 3.2oz Pouch - ORG Blend - HARMONS"",""50220"",""False"",""29"","""",""50210"",""True"",""18"","""",""11"",""ISP0024"",""2"",""40000"",""1"",""FSP0024"",""14"",""48.00000000000000000"&amp;"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HARMONS","50220","False","29","","50210","True","18","","11","ISP0024","2","40000","1","FSP0024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1" s="15"/>
      <c r="D1301" s="16" t="str">
        <f>"FSP0024"</f>
        <v>FSP0024</v>
      </c>
      <c r="E1301" s="16">
        <v>40000</v>
      </c>
      <c r="F1301" s="16" t="str">
        <f>"ISP0024"</f>
        <v>ISP0024</v>
      </c>
      <c r="G1301" s="17" t="str">
        <f>"Intermediary 3.2oz Pouch - ORG Blend - HARMONS"</f>
        <v>Intermediary 3.2oz Pouch - ORG Blend - HARMONS</v>
      </c>
      <c r="H1301" s="18" t="str">
        <f t="shared" si="159"/>
        <v>POUCHES</v>
      </c>
      <c r="I1301" s="19">
        <v>48</v>
      </c>
      <c r="J1301" s="20">
        <v>48</v>
      </c>
    </row>
    <row r="1302" spans="1:10" ht="15.75" thickBot="1" x14ac:dyDescent="0.3">
      <c r="A1302" t="s">
        <v>31</v>
      </c>
      <c r="B1302" s="15" t="str">
        <f>"""Manzana NAV"",""MANZANA"",""99000772"",""44"","" "",""22"",""False"",""43"",""0.00000000000000000000"",""12"",""Intermediary 3.2oz Pouch - ORG Blend - N.COAST"",""50220"",""False"",""29"","""",""50210"",""True"",""18"","""",""11"",""ISP0001"",""2"",""20000"",""1"",""FSP0014"",""14"",""24.00000000000000000"&amp;"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N.COAST","50220","False","29","","50210","True","18","","11","ISP0001","2","20000","1","FSP0014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02" s="15"/>
      <c r="D1302" s="16" t="str">
        <f>"FSP0014"</f>
        <v>FSP0014</v>
      </c>
      <c r="E1302" s="16">
        <v>20000</v>
      </c>
      <c r="F1302" s="16" t="str">
        <f>"ISP0001"</f>
        <v>ISP0001</v>
      </c>
      <c r="G1302" s="17" t="str">
        <f>"Intermediary 3.2oz Pouch - ORG Blend - N.COAST"</f>
        <v>Intermediary 3.2oz Pouch - ORG Blend - N.COAST</v>
      </c>
      <c r="H1302" s="18" t="str">
        <f t="shared" si="159"/>
        <v>POUCHES</v>
      </c>
      <c r="I1302" s="19">
        <v>24</v>
      </c>
      <c r="J1302" s="20">
        <v>24</v>
      </c>
    </row>
    <row r="1303" spans="1:10" ht="15.75" thickBot="1" x14ac:dyDescent="0.3">
      <c r="A1303" t="s">
        <v>31</v>
      </c>
      <c r="B1303" s="15" t="str">
        <f>"""Manzana NAV"",""MANZANA"",""99000772"",""44"","" "",""22"",""False"",""43"",""0.00000000000000000000"",""12"",""Intermediary 3.2oz Pouch - ORG Blend - N.COAST"",""50220"",""False"",""29"","""",""50210"",""True"",""18"","""",""11"",""ISP0001"",""2"",""20000"",""1"",""FSP0033"",""14"",""36.00000000000000000"&amp;"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N.COAST","50220","False","29","","50210","True","18","","11","ISP0001","2","20000","1","FSP0033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03" s="15"/>
      <c r="D1303" s="16" t="str">
        <f>"FSP0033"</f>
        <v>FSP0033</v>
      </c>
      <c r="E1303" s="16">
        <v>20000</v>
      </c>
      <c r="F1303" s="16" t="str">
        <f>"ISP0001"</f>
        <v>ISP0001</v>
      </c>
      <c r="G1303" s="17" t="str">
        <f>"Intermediary 3.2oz Pouch - ORG Blend - N.COAST"</f>
        <v>Intermediary 3.2oz Pouch - ORG Blend - N.COAST</v>
      </c>
      <c r="H1303" s="18" t="str">
        <f t="shared" si="159"/>
        <v>POUCHES</v>
      </c>
      <c r="I1303" s="19">
        <v>36</v>
      </c>
      <c r="J1303" s="20">
        <v>36</v>
      </c>
    </row>
    <row r="1304" spans="1:10" ht="15.75" thickBot="1" x14ac:dyDescent="0.3">
      <c r="A1304" t="s">
        <v>31</v>
      </c>
      <c r="B1304" s="15" t="str">
        <f>"""Manzana NAV"",""MANZANA"",""99000772"",""44"","" "",""22"",""False"",""43"",""0.00000000000000000000"",""12"",""Intermediary 3.2oz Pouch - ORG Blend- RALEYS"",""50220"",""False"",""29"","""",""50210"",""True"",""18"","""",""11"",""ISP0007"",""2"",""30000"",""1"",""FSP0007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Blend- RALEYS","50220","False","29","","50210","True","18","","11","ISP0007","2","30000","1","FSP0007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4" s="15"/>
      <c r="D1304" s="16" t="str">
        <f>"FSP0007"</f>
        <v>FSP0007</v>
      </c>
      <c r="E1304" s="16">
        <v>30000</v>
      </c>
      <c r="F1304" s="16" t="str">
        <f>"ISP0007"</f>
        <v>ISP0007</v>
      </c>
      <c r="G1304" s="17" t="str">
        <f>"Intermediary 3.2oz Pouch - ORG Blend- RALEYS"</f>
        <v>Intermediary 3.2oz Pouch - ORG Blend- RALEYS</v>
      </c>
      <c r="H1304" s="18" t="str">
        <f t="shared" si="159"/>
        <v>POUCHES</v>
      </c>
      <c r="I1304" s="19">
        <v>48</v>
      </c>
      <c r="J1304" s="20">
        <v>48</v>
      </c>
    </row>
    <row r="1305" spans="1:10" ht="15.75" thickBot="1" x14ac:dyDescent="0.3">
      <c r="A1305" t="s">
        <v>31</v>
      </c>
      <c r="B1305" s="15" t="str">
        <f>"""Manzana NAV"",""MANZANA"",""99000772"",""44"","" "",""22"",""False"",""43"",""0.00000000000000000000"",""12"",""Intermediary 3.2oz Pouch - ORG Blend Trader Joes"",""50220"",""False"",""29"","""",""50210"",""True"",""18"","""",""11"",""ISP0017"",""2"",""20000"",""1"",""FSP0017"",""14"",""112.00000000000000"&amp;"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Trader Joes","50220","False","29","","50210","True","18","","11","ISP0017","2","20000","1","FSP0017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305" s="15"/>
      <c r="D1305" s="16" t="str">
        <f>"FSP0017"</f>
        <v>FSP0017</v>
      </c>
      <c r="E1305" s="16">
        <v>20000</v>
      </c>
      <c r="F1305" s="16" t="str">
        <f>"ISP0017"</f>
        <v>ISP0017</v>
      </c>
      <c r="G1305" s="17" t="str">
        <f>"Intermediary 3.2oz Pouch - ORG Blend Trader Joes"</f>
        <v>Intermediary 3.2oz Pouch - ORG Blend Trader Joes</v>
      </c>
      <c r="H1305" s="18" t="str">
        <f t="shared" si="159"/>
        <v>POUCHES</v>
      </c>
      <c r="I1305" s="19">
        <v>112</v>
      </c>
      <c r="J1305" s="20">
        <v>112</v>
      </c>
    </row>
    <row r="1306" spans="1:10" ht="15.75" thickBot="1" x14ac:dyDescent="0.3">
      <c r="A1306" t="s">
        <v>31</v>
      </c>
      <c r="B1306" s="15" t="str">
        <f>"""Manzana NAV"",""MANZANA"",""99000772"",""44"","" "",""22"",""False"",""43"",""0.00000000000000000000"",""12"",""Intermediary 3.2oz Pouch - ORG Carrot Trader Joes"",""50220"",""False"",""29"","""",""50210"",""True"",""18"","""",""11"",""ISP0018"",""2"",""30000"",""1"",""FSP0018"",""14"",""112.0000000000000"&amp;"0000000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Carrot Trader Joes","50220","False","29","","50210","True","18","","11","ISP0018","2","30000","1","FSP0018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306" s="15"/>
      <c r="D1306" s="16" t="str">
        <f>"FSP0018"</f>
        <v>FSP0018</v>
      </c>
      <c r="E1306" s="16">
        <v>30000</v>
      </c>
      <c r="F1306" s="16" t="str">
        <f>"ISP0018"</f>
        <v>ISP0018</v>
      </c>
      <c r="G1306" s="17" t="str">
        <f>"Intermediary 3.2oz Pouch - ORG Carrot Trader Joes"</f>
        <v>Intermediary 3.2oz Pouch - ORG Carrot Trader Joes</v>
      </c>
      <c r="H1306" s="18" t="str">
        <f t="shared" si="159"/>
        <v>POUCHES</v>
      </c>
      <c r="I1306" s="19">
        <v>112</v>
      </c>
      <c r="J1306" s="20">
        <v>112</v>
      </c>
    </row>
    <row r="1307" spans="1:10" ht="15.75" thickBot="1" x14ac:dyDescent="0.3">
      <c r="A1307" t="s">
        <v>31</v>
      </c>
      <c r="B1307" s="15" t="str">
        <f>"""Manzana NAV"",""MANZANA"",""99000772"",""44"","" "",""22"",""False"",""43"",""0.00000000000000000000"",""12"",""Intermediary 3.2oz Pouch - ORG Cinn - H.TEETER"",""50220"",""False"",""29"","""",""50210"",""True"",""18"","""",""11"",""ISP0005"",""2"",""30000"",""1"",""FSP0005"",""14"",""48.00000000000000000"&amp;"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H.TEETER","50220","False","29","","50210","True","18","","11","ISP0005","2","30000","1","FSP0005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7" s="15"/>
      <c r="D1307" s="16" t="str">
        <f>"FSP0005"</f>
        <v>FSP0005</v>
      </c>
      <c r="E1307" s="16">
        <v>30000</v>
      </c>
      <c r="F1307" s="16" t="str">
        <f>"ISP0005"</f>
        <v>ISP0005</v>
      </c>
      <c r="G1307" s="17" t="str">
        <f>"Intermediary 3.2oz Pouch - ORG Cinn - H.TEETER"</f>
        <v>Intermediary 3.2oz Pouch - ORG Cinn - H.TEETER</v>
      </c>
      <c r="H1307" s="18" t="str">
        <f t="shared" si="159"/>
        <v>POUCHES</v>
      </c>
      <c r="I1307" s="19">
        <v>48</v>
      </c>
      <c r="J1307" s="20">
        <v>48</v>
      </c>
    </row>
    <row r="1308" spans="1:10" ht="15.75" thickBot="1" x14ac:dyDescent="0.3">
      <c r="A1308" t="s">
        <v>31</v>
      </c>
      <c r="B1308" s="15" t="str">
        <f>"""Manzana NAV"",""MANZANA"",""99000772"",""44"","" "",""22"",""False"",""43"",""0.00000000000000000000"",""12"",""Intermediary 3.2oz Pouch - ORG Cinn - HARMONS"",""50220"",""False"",""29"","""",""50210"",""True"",""18"","""",""11"",""ISP0025"",""2"",""20000"",""1"",""FSP0028"",""14"",""36.000000000000000000"&amp;"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HARMONS","50220","False","29","","50210","True","18","","11","ISP0025","2","20000","1","FSP0028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08" s="15"/>
      <c r="D1308" s="16" t="str">
        <f>"FSP0028"</f>
        <v>FSP0028</v>
      </c>
      <c r="E1308" s="16">
        <v>20000</v>
      </c>
      <c r="F1308" s="16" t="str">
        <f>"ISP0025"</f>
        <v>ISP0025</v>
      </c>
      <c r="G1308" s="17" t="str">
        <f>"Intermediary 3.2oz Pouch - ORG Cinn - HARMONS"</f>
        <v>Intermediary 3.2oz Pouch - ORG Cinn - HARMONS</v>
      </c>
      <c r="H1308" s="18" t="str">
        <f t="shared" si="159"/>
        <v>POUCHES</v>
      </c>
      <c r="I1308" s="19">
        <v>36</v>
      </c>
      <c r="J1308" s="20">
        <v>36</v>
      </c>
    </row>
    <row r="1309" spans="1:10" ht="15.75" thickBot="1" x14ac:dyDescent="0.3">
      <c r="A1309" t="s">
        <v>31</v>
      </c>
      <c r="B1309" s="15" t="str">
        <f>"""Manzana NAV"",""MANZANA"",""99000772"",""44"","" "",""22"",""False"",""43"",""0.00000000000000000000"",""12"",""Intermediary 3.2oz Pouch - ORG Cinn - HARMONS"",""50220"",""False"",""29"","""",""50210"",""True"",""18"","""",""11"",""ISP0025"",""2"",""30000"",""1"",""FSP0025"",""14"",""48.000000000000000000"&amp;"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HARMONS","50220","False","29","","50210","True","18","","11","ISP0025","2","30000","1","FSP0025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9" s="15"/>
      <c r="D1309" s="16" t="str">
        <f>"FSP0025"</f>
        <v>FSP0025</v>
      </c>
      <c r="E1309" s="16">
        <v>30000</v>
      </c>
      <c r="F1309" s="16" t="str">
        <f>"ISP0025"</f>
        <v>ISP0025</v>
      </c>
      <c r="G1309" s="17" t="str">
        <f>"Intermediary 3.2oz Pouch - ORG Cinn - HARMONS"</f>
        <v>Intermediary 3.2oz Pouch - ORG Cinn - HARMONS</v>
      </c>
      <c r="H1309" s="18" t="str">
        <f t="shared" si="159"/>
        <v>POUCHES</v>
      </c>
      <c r="I1309" s="19">
        <v>48</v>
      </c>
      <c r="J1309" s="20">
        <v>48</v>
      </c>
    </row>
    <row r="1310" spans="1:10" ht="15.75" thickBot="1" x14ac:dyDescent="0.3">
      <c r="A1310" t="s">
        <v>31</v>
      </c>
      <c r="B1310" s="15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FSP0015"",""14"",""24.000000000000000000"&amp;"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FSP0015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0" s="15"/>
      <c r="D1310" s="16" t="str">
        <f>"FSP0015"</f>
        <v>FSP0015</v>
      </c>
      <c r="E1310" s="16">
        <v>20000</v>
      </c>
      <c r="F1310" s="16" t="str">
        <f>"ISP0002"</f>
        <v>ISP0002</v>
      </c>
      <c r="G1310" s="17" t="str">
        <f>"Intermediary 3.2oz Pouch - ORG Cinn - N.COAST"</f>
        <v>Intermediary 3.2oz Pouch - ORG Cinn - N.COAST</v>
      </c>
      <c r="H1310" s="18" t="str">
        <f t="shared" si="159"/>
        <v>POUCHES</v>
      </c>
      <c r="I1310" s="19">
        <v>24</v>
      </c>
      <c r="J1310" s="20">
        <v>24</v>
      </c>
    </row>
    <row r="1311" spans="1:10" ht="15.75" thickBot="1" x14ac:dyDescent="0.3">
      <c r="A1311" t="s">
        <v>31</v>
      </c>
      <c r="B1311" s="15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FSP0034"",""14"",""36.000000000000000000"&amp;"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FSP0034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11" s="15"/>
      <c r="D1311" s="16" t="str">
        <f>"FSP0034"</f>
        <v>FSP0034</v>
      </c>
      <c r="E1311" s="16">
        <v>20000</v>
      </c>
      <c r="F1311" s="16" t="str">
        <f>"ISP0002"</f>
        <v>ISP0002</v>
      </c>
      <c r="G1311" s="17" t="str">
        <f>"Intermediary 3.2oz Pouch - ORG Cinn - N.COAST"</f>
        <v>Intermediary 3.2oz Pouch - ORG Cinn - N.COAST</v>
      </c>
      <c r="H1311" s="18" t="str">
        <f t="shared" si="159"/>
        <v>POUCHES</v>
      </c>
      <c r="I1311" s="19">
        <v>36</v>
      </c>
      <c r="J1311" s="20">
        <v>36</v>
      </c>
    </row>
    <row r="1312" spans="1:10" ht="15.75" thickBot="1" x14ac:dyDescent="0.3">
      <c r="A1312" t="s">
        <v>31</v>
      </c>
      <c r="B1312" s="15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FSP0035"",""14"",""36.000000000000000000"&amp;"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FSP0035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12" s="15"/>
      <c r="D1312" s="16" t="str">
        <f>"FSP0035"</f>
        <v>FSP0035</v>
      </c>
      <c r="E1312" s="16">
        <v>20000</v>
      </c>
      <c r="F1312" s="16" t="str">
        <f>"ISP0002"</f>
        <v>ISP0002</v>
      </c>
      <c r="G1312" s="17" t="str">
        <f>"Intermediary 3.2oz Pouch - ORG Cinn - N.COAST"</f>
        <v>Intermediary 3.2oz Pouch - ORG Cinn - N.COAST</v>
      </c>
      <c r="H1312" s="18" t="str">
        <f t="shared" si="159"/>
        <v>POUCHES</v>
      </c>
      <c r="I1312" s="19">
        <v>36</v>
      </c>
      <c r="J1312" s="20">
        <v>36</v>
      </c>
    </row>
    <row r="1313" spans="1:10" ht="15.75" thickBot="1" x14ac:dyDescent="0.3">
      <c r="A1313" t="s">
        <v>31</v>
      </c>
      <c r="B1313" s="15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LS0075"",""14"",""24.0000000000000000000"&amp;"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LS0075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3" s="15"/>
      <c r="D1313" s="16" t="str">
        <f>"LS0075"</f>
        <v>LS0075</v>
      </c>
      <c r="E1313" s="16">
        <v>20000</v>
      </c>
      <c r="F1313" s="16" t="str">
        <f>"ISP0002"</f>
        <v>ISP0002</v>
      </c>
      <c r="G1313" s="17" t="str">
        <f>"Intermediary 3.2oz Pouch - ORG Cinn - N.COAST"</f>
        <v>Intermediary 3.2oz Pouch - ORG Cinn - N.COAST</v>
      </c>
      <c r="H1313" s="18" t="str">
        <f t="shared" si="159"/>
        <v>POUCHES</v>
      </c>
      <c r="I1313" s="19">
        <v>24</v>
      </c>
      <c r="J1313" s="20">
        <v>24</v>
      </c>
    </row>
    <row r="1314" spans="1:10" ht="15.75" thickBot="1" x14ac:dyDescent="0.3">
      <c r="A1314" t="s">
        <v>31</v>
      </c>
      <c r="B1314" s="15" t="str">
        <f>"""Manzana NAV"",""MANZANA"",""99000772"",""44"","" "",""22"",""False"",""43"",""0.00000000000000000000"",""12"",""Intermediary 3.2oz Pouch - ORG Cinn - RALEYS"",""50220"",""False"",""29"","""",""50210"",""True"",""18"","""",""11"",""ISP0008"",""2"",""30000"",""1"",""FSP0008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RALEYS","50220","False","29","","50210","True","18","","11","ISP0008","2","30000","1","FSP0008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14" s="15"/>
      <c r="D1314" s="16" t="str">
        <f>"FSP0008"</f>
        <v>FSP0008</v>
      </c>
      <c r="E1314" s="16">
        <v>30000</v>
      </c>
      <c r="F1314" s="16" t="str">
        <f>"ISP0008"</f>
        <v>ISP0008</v>
      </c>
      <c r="G1314" s="17" t="str">
        <f>"Intermediary 3.2oz Pouch - ORG Cinn - RALEYS"</f>
        <v>Intermediary 3.2oz Pouch - ORG Cinn - RALEYS</v>
      </c>
      <c r="H1314" s="18" t="str">
        <f t="shared" si="159"/>
        <v>POUCHES</v>
      </c>
      <c r="I1314" s="19">
        <v>48</v>
      </c>
      <c r="J1314" s="20">
        <v>48</v>
      </c>
    </row>
    <row r="1315" spans="1:10" ht="15.75" thickBot="1" x14ac:dyDescent="0.3">
      <c r="A1315" t="s">
        <v>31</v>
      </c>
      <c r="B1315" s="15" t="str">
        <f>"""Manzana NAV"",""MANZANA"",""99000772"",""44"","" "",""22"",""False"",""43"",""0.00000000000000000000"",""12"",""Intermediary 3.2oz Pouch - ORG Strawb. Trader Joes"",""50220"",""False"",""29"","""",""50210"",""True"",""18"","""",""11"",""ISP0020"",""2"",""30000"",""1"",""FSP0020"",""14"",""112.000000000000"&amp;"00000000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Strawb. Trader Joes","50220","False","29","","50210","True","18","","11","ISP0020","2","30000","1","FSP0020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315" s="15"/>
      <c r="D1315" s="16" t="str">
        <f>"FSP0020"</f>
        <v>FSP0020</v>
      </c>
      <c r="E1315" s="16">
        <v>30000</v>
      </c>
      <c r="F1315" s="16" t="str">
        <f>"ISP0020"</f>
        <v>ISP0020</v>
      </c>
      <c r="G1315" s="17" t="str">
        <f>"Intermediary 3.2oz Pouch - ORG Strawb. Trader Joes"</f>
        <v>Intermediary 3.2oz Pouch - ORG Strawb. Trader Joes</v>
      </c>
      <c r="H1315" s="18" t="str">
        <f t="shared" si="159"/>
        <v>POUCHES</v>
      </c>
      <c r="I1315" s="19">
        <v>112</v>
      </c>
      <c r="J1315" s="20">
        <v>112</v>
      </c>
    </row>
    <row r="1316" spans="1:10" ht="15.75" thickBot="1" x14ac:dyDescent="0.3">
      <c r="A1316" t="s">
        <v>31</v>
      </c>
      <c r="B1316" s="15" t="str">
        <f>"""Manzana NAV"",""MANZANA"",""99000772"",""44"","" "",""22"",""False"",""43"",""0.00000000000000000000"",""12"",""Intermediary 3.5oz Pouch - ORG AP Spice - NUTIVA"",""50220"",""False"",""29"","""",""50210"",""True"",""18"","""",""11"",""Z-ISP0011"",""2"",""20000"",""1"",""Z-FSP0013"",""14"",""36.00000000000"&amp;"000000000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3.5oz Pouch - ORG AP Spice - NUTIVA","50220","False","29","","50210","True","18","","11","Z-ISP0011","2","20000","1","Z-FSP0013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16" s="15"/>
      <c r="D1316" s="16" t="str">
        <f>"Z-FSP0013"</f>
        <v>Z-FSP0013</v>
      </c>
      <c r="E1316" s="16">
        <v>20000</v>
      </c>
      <c r="F1316" s="16" t="str">
        <f>"Z-ISP0011"</f>
        <v>Z-ISP0011</v>
      </c>
      <c r="G1316" s="17" t="str">
        <f>"Intermediary 3.5oz Pouch - ORG AP Spice - NUTIVA"</f>
        <v>Intermediary 3.5oz Pouch - ORG AP Spice - NUTIVA</v>
      </c>
      <c r="H1316" s="18" t="str">
        <f t="shared" si="159"/>
        <v>POUCHES</v>
      </c>
      <c r="I1316" s="19">
        <v>36</v>
      </c>
      <c r="J1316" s="20">
        <v>36</v>
      </c>
    </row>
    <row r="1317" spans="1:10" ht="15.75" thickBot="1" x14ac:dyDescent="0.3">
      <c r="A1317" t="s">
        <v>31</v>
      </c>
      <c r="B1317" s="15" t="str">
        <f>"""Manzana NAV"",""MANZANA"",""99000772"",""44"","" "",""22"",""False"",""43"",""0.00000000000000000000"",""12"",""Intermediary 3.5oz Pouch - ORG AP Spice - NUTIVA"",""50220"",""False"",""29"","""",""50210"",""True"",""18"","""",""11"",""Z-ISP0011"",""2"",""30000"",""1"",""Z-FSP0012"",""14"",""24.00000000000"&amp;"000000000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3.5oz Pouch - ORG AP Spice - NUTIVA","50220","False","29","","50210","True","18","","11","Z-ISP0011","2","30000","1","Z-FSP0012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7" s="15"/>
      <c r="D1317" s="16" t="str">
        <f>"Z-FSP0012"</f>
        <v>Z-FSP0012</v>
      </c>
      <c r="E1317" s="16">
        <v>30000</v>
      </c>
      <c r="F1317" s="16" t="str">
        <f>"Z-ISP0011"</f>
        <v>Z-ISP0011</v>
      </c>
      <c r="G1317" s="17" t="str">
        <f>"Intermediary 3.5oz Pouch - ORG AP Spice - NUTIVA"</f>
        <v>Intermediary 3.5oz Pouch - ORG AP Spice - NUTIVA</v>
      </c>
      <c r="H1317" s="18" t="str">
        <f t="shared" si="159"/>
        <v>POUCHES</v>
      </c>
      <c r="I1317" s="19">
        <v>24</v>
      </c>
      <c r="J1317" s="20">
        <v>24</v>
      </c>
    </row>
    <row r="1318" spans="1:10" ht="15.75" thickBot="1" x14ac:dyDescent="0.3">
      <c r="A1318" t="s">
        <v>31</v>
      </c>
      <c r="B1318" s="15" t="str">
        <f>"""Manzana NAV"",""MANZANA"",""99000772"",""44"","" "",""22"",""False"",""43"",""0.00000000000000000000"",""12"",""Intermediary 3.5oz Pouch - ORG CocoMango - NUTIVA"",""50220"",""False"",""29"","""",""50210"",""True"",""18"","""",""11"",""Z-ISP0012"",""2"",""30000"",""1"",""Z-FSP0011"",""14"",""24.0000000000"&amp;"0000000000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3.5oz Pouch - ORG CocoMango - NUTIVA","50220","False","29","","50210","True","18","","11","Z-ISP0012","2","30000","1","Z-FSP0011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8" s="15"/>
      <c r="D1318" s="16" t="str">
        <f>"Z-FSP0011"</f>
        <v>Z-FSP0011</v>
      </c>
      <c r="E1318" s="16">
        <v>30000</v>
      </c>
      <c r="F1318" s="16" t="str">
        <f>"Z-ISP0012"</f>
        <v>Z-ISP0012</v>
      </c>
      <c r="G1318" s="17" t="str">
        <f>"Intermediary 3.5oz Pouch - ORG CocoMango - NUTIVA"</f>
        <v>Intermediary 3.5oz Pouch - ORG CocoMango - NUTIVA</v>
      </c>
      <c r="H1318" s="18" t="str">
        <f t="shared" si="159"/>
        <v>POUCHES</v>
      </c>
      <c r="I1318" s="19">
        <v>24</v>
      </c>
      <c r="J1318" s="20">
        <v>24</v>
      </c>
    </row>
    <row r="1319" spans="1:10" ht="15.75" thickBot="1" x14ac:dyDescent="0.3">
      <c r="A1319" t="s">
        <v>31</v>
      </c>
      <c r="B1319" s="15" t="str">
        <f>"""Manzana NAV"",""MANZANA"",""99000772"",""44"","" "",""22"",""False"",""43"",""0.00000000000000000000"",""12"",""Intermediary 3.5oz Pouch - ORG Pure Apple - NUTIVA"",""50220"",""False"",""29"","""",""50210"",""True"",""18"","""",""11"",""Z-ISP0010"",""2"",""30000"",""1"",""Z-FSP0010"",""14"",""24.000000000"&amp;"00000000000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&amp;""""</f>
        <v>"Manzana NAV","MANZANA","99000772","44"," ","22","False","43","0.00000000000000000000","12","Intermediary 3.5oz Pouch - ORG Pure Apple - NUTIVA","50220","False","29","","50210","True","18","","11","Z-ISP0010","2","30000","1","Z-FSP0010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9" s="15"/>
      <c r="D1319" s="16" t="str">
        <f>"Z-FSP0010"</f>
        <v>Z-FSP0010</v>
      </c>
      <c r="E1319" s="16">
        <v>30000</v>
      </c>
      <c r="F1319" s="16" t="str">
        <f>"Z-ISP0010"</f>
        <v>Z-ISP0010</v>
      </c>
      <c r="G1319" s="17" t="str">
        <f>"Intermediary 3.5oz Pouch - ORG Pure Apple - NUTIVA"</f>
        <v>Intermediary 3.5oz Pouch - ORG Pure Apple - NUTIVA</v>
      </c>
      <c r="H1319" s="18" t="str">
        <f t="shared" si="159"/>
        <v>POUCHES</v>
      </c>
      <c r="I1319" s="19">
        <v>24</v>
      </c>
      <c r="J1319" s="20">
        <v>24</v>
      </c>
    </row>
    <row r="1320" spans="1:10" ht="15.75" thickBot="1" x14ac:dyDescent="0.3">
      <c r="A1320" t="s">
        <v>31</v>
      </c>
      <c r="B1320" s="15" t="str">
        <f>"""Manzana NAV"",""MANZANA"",""99000772"",""44"","" "",""22"",""False"",""43"",""0.00000000000000000000"",""12"",""Intermediary 33oz Jar - NAT Blend (2% VC)"",""50220"",""False"",""29"","""",""50210"",""True"",""18"","""",""11"",""ISJ004"",""2"",""20000"",""1"",""FS0004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20000","1","FS0004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0" s="15"/>
      <c r="D1320" s="16" t="str">
        <f>"FS0004"</f>
        <v>FS0004</v>
      </c>
      <c r="E1320" s="16">
        <v>20000</v>
      </c>
      <c r="F1320" s="16" t="str">
        <f t="shared" ref="F1320:F1325" si="160">"ISJ004"</f>
        <v>ISJ004</v>
      </c>
      <c r="G1320" s="17" t="str">
        <f t="shared" ref="G1320:G1325" si="161">"Intermediary 33oz Jar - NAT Blend (2% VC)"</f>
        <v>Intermediary 33oz Jar - NAT Blend (2% VC)</v>
      </c>
      <c r="H1320" s="18" t="str">
        <f t="shared" ref="H1320:H1325" si="162">"JARS"</f>
        <v>JARS</v>
      </c>
      <c r="I1320" s="19">
        <v>12</v>
      </c>
      <c r="J1320" s="20">
        <v>12</v>
      </c>
    </row>
    <row r="1321" spans="1:10" ht="15.75" thickBot="1" x14ac:dyDescent="0.3">
      <c r="A1321" t="s">
        <v>31</v>
      </c>
      <c r="B1321" s="15" t="str">
        <f>"""Manzana NAV"",""MANZANA"",""99000772"",""44"","" "",""22"",""False"",""43"",""0.00000000000000000000"",""12"",""Intermediary 33oz Jar - NAT Blend (2% VC)"",""50220"",""False"",""29"","""",""50210"",""True"",""18"","""",""11"",""ISJ004"",""2"",""20000"",""1"",""FS0039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20000","1","FS0039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1" s="15"/>
      <c r="D1321" s="16" t="str">
        <f>"FS0039"</f>
        <v>FS0039</v>
      </c>
      <c r="E1321" s="16">
        <v>20000</v>
      </c>
      <c r="F1321" s="16" t="str">
        <f t="shared" si="160"/>
        <v>ISJ004</v>
      </c>
      <c r="G1321" s="17" t="str">
        <f t="shared" si="161"/>
        <v>Intermediary 33oz Jar - NAT Blend (2% VC)</v>
      </c>
      <c r="H1321" s="18" t="str">
        <f t="shared" si="162"/>
        <v>JARS</v>
      </c>
      <c r="I1321" s="19">
        <v>12</v>
      </c>
      <c r="J1321" s="20">
        <v>12</v>
      </c>
    </row>
    <row r="1322" spans="1:10" ht="15.75" thickBot="1" x14ac:dyDescent="0.3">
      <c r="A1322" t="s">
        <v>31</v>
      </c>
      <c r="B1322" s="15" t="str">
        <f>"""Manzana NAV"",""MANZANA"",""99000772"",""44"","" "",""22"",""False"",""43"",""0.00000000000000000000"",""12"",""Intermediary 33oz Jar - NAT Blend (2% VC)"",""50220"",""False"",""29"","""",""50210"",""True"",""18"","""",""11"",""ISJ004"",""2"",""30000"",""1"",""FS0040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30000","1","FS0040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2" s="15"/>
      <c r="D1322" s="16" t="str">
        <f>"FS0040"</f>
        <v>FS0040</v>
      </c>
      <c r="E1322" s="16">
        <v>30000</v>
      </c>
      <c r="F1322" s="16" t="str">
        <f t="shared" si="160"/>
        <v>ISJ004</v>
      </c>
      <c r="G1322" s="17" t="str">
        <f t="shared" si="161"/>
        <v>Intermediary 33oz Jar - NAT Blend (2% VC)</v>
      </c>
      <c r="H1322" s="18" t="str">
        <f t="shared" si="162"/>
        <v>JARS</v>
      </c>
      <c r="I1322" s="19">
        <v>12</v>
      </c>
      <c r="J1322" s="20">
        <v>12</v>
      </c>
    </row>
    <row r="1323" spans="1:10" ht="15.75" thickBot="1" x14ac:dyDescent="0.3">
      <c r="A1323" t="s">
        <v>31</v>
      </c>
      <c r="B1323" s="15" t="str">
        <f>"""Manzana NAV"",""MANZANA"",""99000772"",""44"","" "",""22"",""False"",""43"",""0.00000000000000000000"",""12"",""Intermediary 33oz Jar - NAT Blend (2% VC)"",""50220"",""False"",""29"","""",""50210"",""True"",""18"","""",""11"",""ISJ004"",""2"",""30000"",""1"",""FS0051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30000","1","FS0051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3" s="15"/>
      <c r="D1323" s="16" t="str">
        <f>"FS0051"</f>
        <v>FS0051</v>
      </c>
      <c r="E1323" s="16">
        <v>30000</v>
      </c>
      <c r="F1323" s="16" t="str">
        <f t="shared" si="160"/>
        <v>ISJ004</v>
      </c>
      <c r="G1323" s="17" t="str">
        <f t="shared" si="161"/>
        <v>Intermediary 33oz Jar - NAT Blend (2% VC)</v>
      </c>
      <c r="H1323" s="18" t="str">
        <f t="shared" si="162"/>
        <v>JARS</v>
      </c>
      <c r="I1323" s="19">
        <v>12</v>
      </c>
      <c r="J1323" s="20">
        <v>12</v>
      </c>
    </row>
    <row r="1324" spans="1:10" ht="15.75" thickBot="1" x14ac:dyDescent="0.3">
      <c r="A1324" t="s">
        <v>31</v>
      </c>
      <c r="B1324" s="15" t="str">
        <f>"""Manzana NAV"",""MANZANA"",""99000772"",""44"","" "",""22"",""False"",""43"",""0.00000000000000000000"",""12"",""Intermediary 33oz Jar - NAT Blend (2% VC)"",""50220"",""False"",""29"","""",""50210"",""True"",""18"","""",""11"",""ISJ004"",""2"",""30000"",""1"",""FS0052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30000","1","FS0052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4" s="15"/>
      <c r="D1324" s="16" t="str">
        <f>"FS0052"</f>
        <v>FS0052</v>
      </c>
      <c r="E1324" s="16">
        <v>30000</v>
      </c>
      <c r="F1324" s="16" t="str">
        <f t="shared" si="160"/>
        <v>ISJ004</v>
      </c>
      <c r="G1324" s="17" t="str">
        <f t="shared" si="161"/>
        <v>Intermediary 33oz Jar - NAT Blend (2% VC)</v>
      </c>
      <c r="H1324" s="18" t="str">
        <f t="shared" si="162"/>
        <v>JARS</v>
      </c>
      <c r="I1324" s="19">
        <v>12</v>
      </c>
      <c r="J1324" s="20">
        <v>12</v>
      </c>
    </row>
    <row r="1325" spans="1:10" ht="15.75" thickBot="1" x14ac:dyDescent="0.3">
      <c r="A1325" t="s">
        <v>31</v>
      </c>
      <c r="B1325" s="15" t="str">
        <f>"""Manzana NAV"",""MANZANA"",""99000772"",""44"","" "",""22"",""False"",""43"",""0.00000000000000000000"",""12"",""Intermediary 33oz Jar - NAT Blend (2% VC)"",""50220"",""False"",""29"","""",""50210"",""True"",""18"","""",""11"",""ISJ004"",""2"",""40000"",""1"",""FS0018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40000","1","FS0018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5" s="15"/>
      <c r="D1325" s="16" t="str">
        <f>"FS0018"</f>
        <v>FS0018</v>
      </c>
      <c r="E1325" s="16">
        <v>40000</v>
      </c>
      <c r="F1325" s="16" t="str">
        <f t="shared" si="160"/>
        <v>ISJ004</v>
      </c>
      <c r="G1325" s="17" t="str">
        <f t="shared" si="161"/>
        <v>Intermediary 33oz Jar - NAT Blend (2% VC)</v>
      </c>
      <c r="H1325" s="18" t="str">
        <f t="shared" si="162"/>
        <v>JARS</v>
      </c>
      <c r="I1325" s="19">
        <v>12</v>
      </c>
      <c r="J1325" s="20">
        <v>12</v>
      </c>
    </row>
    <row r="1326" spans="1:10" ht="15.75" thickBot="1" x14ac:dyDescent="0.3">
      <c r="A1326" t="s">
        <v>31</v>
      </c>
      <c r="B1326" s="15" t="str">
        <f>"""Manzana NAV"",""MANZANA"",""99000772"",""44"","" "",""22"",""False"",""43"",""0.00000000000000000000"",""12"",""Intermediary 4oz Cup - NAT Apricot (2% VC)"",""50220"",""False"",""29"","""",""50210"",""True"",""18"","""",""11"",""ISCU026"",""2"",""10000"",""1"",""FS0184"",""14"",""48.00000000000000000000"","&amp;"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NAT Apricot (2% VC)","50220","False","29","","50210","True","18","","11","ISCU026","2","10000","1","FS0184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26" s="15"/>
      <c r="D1326" s="16" t="str">
        <f>"FS0184"</f>
        <v>FS0184</v>
      </c>
      <c r="E1326" s="16">
        <v>10000</v>
      </c>
      <c r="F1326" s="16" t="str">
        <f>"ISCU026"</f>
        <v>ISCU026</v>
      </c>
      <c r="G1326" s="17" t="str">
        <f>"Intermediary 4oz Cup - NAT Apricot (2% VC)"</f>
        <v>Intermediary 4oz Cup - NAT Apricot (2% VC)</v>
      </c>
      <c r="H1326" s="18" t="str">
        <f t="shared" ref="H1326:H1381" si="163">"CUPS"</f>
        <v>CUPS</v>
      </c>
      <c r="I1326" s="19">
        <v>48</v>
      </c>
      <c r="J1326" s="20">
        <v>48</v>
      </c>
    </row>
    <row r="1327" spans="1:10" ht="15.75" thickBot="1" x14ac:dyDescent="0.3">
      <c r="A1327" t="s">
        <v>31</v>
      </c>
      <c r="B1327" s="15" t="str">
        <f>"""Manzana NAV"",""MANZANA"",""99000772"",""44"","" "",""22"",""False"",""43"",""0.00000000000000000000"",""12"",""Intermediary 4oz Cup - NAT Blend"",""50220"",""False"",""29"","""",""50210"",""True"",""18"","""",""11"",""ISCU009"",""2"",""10000"",""1"",""Z-FS0087"",""14"",""72.00000000000000000000"",""45"",""72"&amp;"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NAT Blend","50220","False","29","","50210","True","18","","11","ISCU009","2","10000","1","Z-FS0087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27" s="15"/>
      <c r="D1327" s="16" t="str">
        <f>"Z-FS0087"</f>
        <v>Z-FS0087</v>
      </c>
      <c r="E1327" s="16">
        <v>10000</v>
      </c>
      <c r="F1327" s="16" t="str">
        <f>"ISCU009"</f>
        <v>ISCU009</v>
      </c>
      <c r="G1327" s="17" t="str">
        <f>"Intermediary 4oz Cup - NAT Blend"</f>
        <v>Intermediary 4oz Cup - NAT Blend</v>
      </c>
      <c r="H1327" s="18" t="str">
        <f t="shared" si="163"/>
        <v>CUPS</v>
      </c>
      <c r="I1327" s="19">
        <v>72</v>
      </c>
      <c r="J1327" s="20">
        <v>72</v>
      </c>
    </row>
    <row r="1328" spans="1:10" ht="15.75" thickBot="1" x14ac:dyDescent="0.3">
      <c r="A1328" t="s">
        <v>31</v>
      </c>
      <c r="B1328" s="15" t="str">
        <f>"""Manzana NAV"",""MANZANA"",""99000772"",""44"","" "",""22"",""False"",""43"",""0.00000000000000000000"",""12"",""Intermediary 4oz Cup - NAT Cinn Sauce - recipe 102"",""50220"",""False"",""29"","""",""50210"",""True"",""18"","""",""11"",""ISCU010"",""2"",""10000"",""1"",""Z-FS0088"",""14"",""72.000000000000"&amp;"00000000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NAT Cinn Sauce - recipe 102","50220","False","29","","50210","True","18","","11","ISCU010","2","10000","1","Z-FS0088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28" s="15"/>
      <c r="D1328" s="16" t="str">
        <f>"Z-FS0088"</f>
        <v>Z-FS0088</v>
      </c>
      <c r="E1328" s="16">
        <v>10000</v>
      </c>
      <c r="F1328" s="16" t="str">
        <f>"ISCU010"</f>
        <v>ISCU010</v>
      </c>
      <c r="G1328" s="17" t="str">
        <f>"Intermediary 4oz Cup - NAT Cinn Sauce - recipe 102"</f>
        <v>Intermediary 4oz Cup - NAT Cinn Sauce - recipe 102</v>
      </c>
      <c r="H1328" s="18" t="str">
        <f t="shared" si="163"/>
        <v>CUPS</v>
      </c>
      <c r="I1328" s="19">
        <v>72</v>
      </c>
      <c r="J1328" s="20">
        <v>72</v>
      </c>
    </row>
    <row r="1329" spans="1:10" ht="15.75" thickBot="1" x14ac:dyDescent="0.3">
      <c r="A1329" t="s">
        <v>31</v>
      </c>
      <c r="B1329" s="15" t="str">
        <f>"""Manzana NAV"",""MANZANA"",""99000772"",""44"","" "",""22"",""False"",""43"",""0.00000000000000000000"",""12"",""Intermediary 4oz Cup - ORG Apricot - SPIRAL"",""50220"",""False"",""29"","""",""50210"",""True"",""18"","""",""11"",""ISCU017"",""2"",""20000"",""1"",""FS0172"",""14"",""48.00000000000000000000"""&amp;",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- SPIRAL","50220","False","29","","50210","True","18","","11","ISCU017","2","20000","1","FS0172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29" s="15"/>
      <c r="D1329" s="16" t="str">
        <f>"FS0172"</f>
        <v>FS0172</v>
      </c>
      <c r="E1329" s="16">
        <v>20000</v>
      </c>
      <c r="F1329" s="16" t="str">
        <f>"ISCU017"</f>
        <v>ISCU017</v>
      </c>
      <c r="G1329" s="17" t="str">
        <f>"Intermediary 4oz Cup - ORG Apricot - SPIRAL"</f>
        <v>Intermediary 4oz Cup - ORG Apricot - SPIRAL</v>
      </c>
      <c r="H1329" s="18" t="str">
        <f t="shared" si="163"/>
        <v>CUPS</v>
      </c>
      <c r="I1329" s="19">
        <v>48</v>
      </c>
      <c r="J1329" s="20">
        <v>48</v>
      </c>
    </row>
    <row r="1330" spans="1:10" ht="15.75" thickBot="1" x14ac:dyDescent="0.3">
      <c r="A1330" t="s">
        <v>31</v>
      </c>
      <c r="B1330" s="15" t="str">
        <f>"""Manzana NAV"",""MANZANA"",""99000772"",""44"","" "",""22"",""False"",""43"",""0.00000000000000000000"",""12"",""Intermediary 4oz Cup - ORG Apricot - SPIRAL FDS"",""50220"",""False"",""29"","""",""50210"",""True"",""18"","""",""11"",""ISCU017"",""2"",""10000"",""1"",""FS0101"",""14"",""96.00000000000000000"&amp;"000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- SPIRAL FDS","50220","False","29","","50210","True","18","","11","ISCU017","2","10000","1","FS0101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30" s="15"/>
      <c r="D1330" s="16" t="str">
        <f>"FS0101"</f>
        <v>FS0101</v>
      </c>
      <c r="E1330" s="16">
        <v>10000</v>
      </c>
      <c r="F1330" s="16" t="str">
        <f>"ISCU017"</f>
        <v>ISCU017</v>
      </c>
      <c r="G1330" s="17" t="str">
        <f>"Intermediary 4oz Cup - ORG Apricot - SPIRAL FDS"</f>
        <v>Intermediary 4oz Cup - ORG Apricot - SPIRAL FDS</v>
      </c>
      <c r="H1330" s="18" t="str">
        <f t="shared" si="163"/>
        <v>CUPS</v>
      </c>
      <c r="I1330" s="19">
        <v>96</v>
      </c>
      <c r="J1330" s="20">
        <v>96</v>
      </c>
    </row>
    <row r="1331" spans="1:10" ht="15.75" thickBot="1" x14ac:dyDescent="0.3">
      <c r="A1331" t="s">
        <v>31</v>
      </c>
      <c r="B1331" s="15" t="str">
        <f>"""Manzana NAV"",""MANZANA"",""99000772"",""44"","" "",""22"",""False"",""43"",""0.00000000000000000000"",""12"",""Intermediary 4oz Cup - ORG Apricot (100% VC)"",""50220"",""False"",""29"","""",""50210"",""True"",""18"","""",""11"",""ISCU006"",""2"",""40000"",""1"",""FS0151"",""14"",""120.0000000000000000000"&amp;"0"",""45"",""120.00000000000000000000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(100% VC)","50220","False","29","","50210","True","18","","11","ISCU006","2","40000","1","FS0151","14","120.00000000000000000000","45","120.00000000000000000000","19","","20","0.00000000000000000000","50000","0.00000000000000000000","50230","False","28","","10","Item","13","CUPS","21","","3","","42","0.00000000000000000000","50200","False","41","0.00000000000000000000"</v>
      </c>
      <c r="C1331" s="15"/>
      <c r="D1331" s="16" t="str">
        <f>"FS0151"</f>
        <v>FS0151</v>
      </c>
      <c r="E1331" s="16">
        <v>40000</v>
      </c>
      <c r="F1331" s="16" t="str">
        <f>"ISCU006"</f>
        <v>ISCU006</v>
      </c>
      <c r="G1331" s="17" t="str">
        <f>"Intermediary 4oz Cup - ORG Apricot (100% VC)"</f>
        <v>Intermediary 4oz Cup - ORG Apricot (100% VC)</v>
      </c>
      <c r="H1331" s="18" t="str">
        <f t="shared" si="163"/>
        <v>CUPS</v>
      </c>
      <c r="I1331" s="19">
        <v>120</v>
      </c>
      <c r="J1331" s="20">
        <v>120</v>
      </c>
    </row>
    <row r="1332" spans="1:10" ht="15.75" thickBot="1" x14ac:dyDescent="0.3">
      <c r="A1332" t="s">
        <v>31</v>
      </c>
      <c r="B1332" s="15" t="str">
        <f>"""Manzana NAV"",""MANZANA"",""99000772"",""44"","" "",""22"",""False"",""43"",""0.00000000000000000000"",""12"",""Intermediary 4oz Cup - ORG Apricot CADIA"",""50220"",""False"",""29"","""",""50210"",""True"",""18"","""",""11"",""ISCU022"",""2"",""10000"",""1"",""FS0082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CADIA","50220","False","29","","50210","True","18","","11","ISCU022","2","10000","1","FS0082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2" s="15"/>
      <c r="D1332" s="16" t="str">
        <f>"FS0082"</f>
        <v>FS0082</v>
      </c>
      <c r="E1332" s="16">
        <v>10000</v>
      </c>
      <c r="F1332" s="16" t="str">
        <f>"ISCU022"</f>
        <v>ISCU022</v>
      </c>
      <c r="G1332" s="17" t="str">
        <f>"Intermediary 4oz Cup - ORG Apricot CADIA"</f>
        <v>Intermediary 4oz Cup - ORG Apricot CADIA</v>
      </c>
      <c r="H1332" s="18" t="str">
        <f t="shared" si="163"/>
        <v>CUPS</v>
      </c>
      <c r="I1332" s="19">
        <v>72</v>
      </c>
      <c r="J1332" s="20">
        <v>72</v>
      </c>
    </row>
    <row r="1333" spans="1:10" ht="15.75" thickBot="1" x14ac:dyDescent="0.3">
      <c r="A1333" t="s">
        <v>31</v>
      </c>
      <c r="B1333" s="15" t="str">
        <f>"""Manzana NAV"",""MANZANA"",""99000772"",""44"","" "",""22"",""False"",""43"",""0.00000000000000000000"",""12"",""Intermediary 4oz Cup - ORG Apricot sauce"",""50220"",""False"",""29"","""",""50210"",""True"",""18"","""",""11"",""ISCU006"",""2"",""10000"",""1"",""FS0078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sauce","50220","False","29","","50210","True","18","","11","ISCU006","2","10000","1","FS0078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3" s="15"/>
      <c r="D1333" s="16" t="str">
        <f>"FS0078"</f>
        <v>FS0078</v>
      </c>
      <c r="E1333" s="16">
        <v>10000</v>
      </c>
      <c r="F1333" s="16" t="str">
        <f>"ISCU006"</f>
        <v>ISCU006</v>
      </c>
      <c r="G1333" s="17" t="str">
        <f>"Intermediary 4oz Cup - ORG Apricot sauce"</f>
        <v>Intermediary 4oz Cup - ORG Apricot sauce</v>
      </c>
      <c r="H1333" s="18" t="str">
        <f t="shared" si="163"/>
        <v>CUPS</v>
      </c>
      <c r="I1333" s="19">
        <v>72</v>
      </c>
      <c r="J1333" s="20">
        <v>72</v>
      </c>
    </row>
    <row r="1334" spans="1:10" ht="15.75" thickBot="1" x14ac:dyDescent="0.3">
      <c r="A1334" t="s">
        <v>31</v>
      </c>
      <c r="B1334" s="15" t="str">
        <f>"""Manzana NAV"",""MANZANA"",""99000772"",""44"","" "",""22"",""False"",""43"",""0.00000000000000000000"",""12"",""Intermediary 4oz Cup - ORG Apricot sauce"",""50220"",""False"",""29"","""",""50210"",""True"",""18"","""",""11"",""ISCU006"",""2"",""10000"",""1"",""FS0097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sauce","50220","False","29","","50210","True","18","","11","ISCU006","2","10000","1","FS0097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4" s="15"/>
      <c r="D1334" s="16" t="str">
        <f>"FS0097"</f>
        <v>FS0097</v>
      </c>
      <c r="E1334" s="16">
        <v>10000</v>
      </c>
      <c r="F1334" s="16" t="str">
        <f>"ISCU006"</f>
        <v>ISCU006</v>
      </c>
      <c r="G1334" s="17" t="str">
        <f>"Intermediary 4oz Cup - ORG Apricot sauce"</f>
        <v>Intermediary 4oz Cup - ORG Apricot sauce</v>
      </c>
      <c r="H1334" s="18" t="str">
        <f t="shared" si="163"/>
        <v>CUPS</v>
      </c>
      <c r="I1334" s="19">
        <v>72</v>
      </c>
      <c r="J1334" s="20">
        <v>72</v>
      </c>
    </row>
    <row r="1335" spans="1:10" ht="15.75" thickBot="1" x14ac:dyDescent="0.3">
      <c r="A1335" t="s">
        <v>31</v>
      </c>
      <c r="B1335" s="15" t="str">
        <f>"""Manzana NAV"",""MANZANA"",""99000772"",""44"","" "",""22"",""False"",""43"",""0.00000000000000000000"",""12"",""Intermediary 4oz Cup - ORG Apricot sauce"",""50220"",""False"",""29"","""",""50210"",""True"",""18"","""",""11"",""ISCU006"",""2"",""10000"",""1"",""FS0104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sauce","50220","False","29","","50210","True","18","","11","ISCU006","2","10000","1","FS0104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5" s="15"/>
      <c r="D1335" s="16" t="str">
        <f>"FS0104"</f>
        <v>FS0104</v>
      </c>
      <c r="E1335" s="16">
        <v>10000</v>
      </c>
      <c r="F1335" s="16" t="str">
        <f>"ISCU006"</f>
        <v>ISCU006</v>
      </c>
      <c r="G1335" s="17" t="str">
        <f>"Intermediary 4oz Cup - ORG Apricot sauce"</f>
        <v>Intermediary 4oz Cup - ORG Apricot sauce</v>
      </c>
      <c r="H1335" s="18" t="str">
        <f t="shared" si="163"/>
        <v>CUPS</v>
      </c>
      <c r="I1335" s="19">
        <v>72</v>
      </c>
      <c r="J1335" s="20">
        <v>72</v>
      </c>
    </row>
    <row r="1336" spans="1:10" ht="15.75" thickBot="1" x14ac:dyDescent="0.3">
      <c r="A1336" t="s">
        <v>31</v>
      </c>
      <c r="B1336" s="15" t="str">
        <f>"""Manzana NAV"",""MANZANA"",""99000772"",""44"","" "",""22"",""False"",""43"",""0.00000000000000000000"",""12"",""Intermediary 4oz Cup - ORG Berry (100% VC)"",""50220"",""False"",""29"","""",""50210"",""True"",""18"","""",""11"",""ISCU002"",""2"",""40000"",""1"",""FS0107"",""14"",""72.00000000000000000000"","&amp;"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(100% VC)","50220","False","29","","50210","True","18","","11","ISCU002","2","40000","1","FS0107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6" s="15"/>
      <c r="D1336" s="16" t="str">
        <f>"FS0107"</f>
        <v>FS0107</v>
      </c>
      <c r="E1336" s="16">
        <v>40000</v>
      </c>
      <c r="F1336" s="16" t="str">
        <f>"ISCU002"</f>
        <v>ISCU002</v>
      </c>
      <c r="G1336" s="17" t="str">
        <f>"Intermediary 4oz Cup - ORG Berry (100% VC)"</f>
        <v>Intermediary 4oz Cup - ORG Berry (100% VC)</v>
      </c>
      <c r="H1336" s="18" t="str">
        <f t="shared" si="163"/>
        <v>CUPS</v>
      </c>
      <c r="I1336" s="19">
        <v>72</v>
      </c>
      <c r="J1336" s="20">
        <v>72</v>
      </c>
    </row>
    <row r="1337" spans="1:10" ht="15.75" thickBot="1" x14ac:dyDescent="0.3">
      <c r="A1337" t="s">
        <v>31</v>
      </c>
      <c r="B1337" s="15" t="str">
        <f>"""Manzana NAV"",""MANZANA"",""99000772"",""44"","" "",""22"",""False"",""43"",""0.00000000000000000000"",""12"",""Intermediary 4oz Cup - ORG Berry (2% VC)"",""50220"",""False"",""29"","""",""50210"",""True"",""18"","""",""11"",""ISCU002"",""2"",""10000"",""1"",""FS0149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(2% VC)","50220","False","29","","50210","True","18","","11","ISCU002","2","10000","1","FS0149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7" s="15"/>
      <c r="D1337" s="16" t="str">
        <f>"FS0149"</f>
        <v>FS0149</v>
      </c>
      <c r="E1337" s="16">
        <v>10000</v>
      </c>
      <c r="F1337" s="16" t="str">
        <f>"ISCU002"</f>
        <v>ISCU002</v>
      </c>
      <c r="G1337" s="17" t="str">
        <f>"Intermediary 4oz Cup - ORG Berry (2% VC)"</f>
        <v>Intermediary 4oz Cup - ORG Berry (2% VC)</v>
      </c>
      <c r="H1337" s="18" t="str">
        <f t="shared" si="163"/>
        <v>CUPS</v>
      </c>
      <c r="I1337" s="19">
        <v>72</v>
      </c>
      <c r="J1337" s="20">
        <v>72</v>
      </c>
    </row>
    <row r="1338" spans="1:10" ht="15.75" thickBot="1" x14ac:dyDescent="0.3">
      <c r="A1338" t="s">
        <v>31</v>
      </c>
      <c r="B1338" s="15" t="str">
        <f>"""Manzana NAV"",""MANZANA"",""99000772"",""44"","" "",""22"",""False"",""43"",""0.00000000000000000000"",""12"",""Intermediary 4oz Cup - ORG Berry Sauce"",""50220"",""False"",""29"","""",""50210"",""True"",""18"","""",""11"",""ISCU002"",""2"",""10000"",""1"",""FS0077"",""14"",""72.00000000000000000000"",""45"""&amp;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Sauce","50220","False","29","","50210","True","18","","11","ISCU002","2","10000","1","FS0077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8" s="15"/>
      <c r="D1338" s="16" t="str">
        <f>"FS0077"</f>
        <v>FS0077</v>
      </c>
      <c r="E1338" s="16">
        <v>10000</v>
      </c>
      <c r="F1338" s="16" t="str">
        <f>"ISCU002"</f>
        <v>ISCU002</v>
      </c>
      <c r="G1338" s="17" t="str">
        <f>"Intermediary 4oz Cup - ORG Berry Sauce"</f>
        <v>Intermediary 4oz Cup - ORG Berry Sauce</v>
      </c>
      <c r="H1338" s="18" t="str">
        <f t="shared" si="163"/>
        <v>CUPS</v>
      </c>
      <c r="I1338" s="19">
        <v>72</v>
      </c>
      <c r="J1338" s="20">
        <v>72</v>
      </c>
    </row>
    <row r="1339" spans="1:10" ht="15.75" thickBot="1" x14ac:dyDescent="0.3">
      <c r="A1339" t="s">
        <v>31</v>
      </c>
      <c r="B1339" s="15" t="str">
        <f>"""Manzana NAV"",""MANZANA"",""99000772"",""44"","" "",""22"",""False"",""43"",""0.00000000000000000000"",""12"",""Intermediary 4oz Cup - ORG Berry Sauce - No Vit C"",""50220"",""False"",""29"","""",""50210"",""True"",""18"","""",""11"",""ISCU008"",""2"",""10000"",""1"",""Z-FS0090"",""14"",""80.0000000000000"&amp;"0000000"",""45"",""80.00000000000000000000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Sauce - No Vit C","50220","False","29","","50210","True","18","","11","ISCU008","2","10000","1","Z-FS0090","14","80.00000000000000000000","45","80.00000000000000000000","19","","20","0.00000000000000000000","50000","0.00000000000000000000","50230","False","28","","10","Item","13","CUPS","21","","3","","42","0.00000000000000000000","50200","False","41","0.00000000000000000000"</v>
      </c>
      <c r="C1339" s="15"/>
      <c r="D1339" s="16" t="str">
        <f>"Z-FS0090"</f>
        <v>Z-FS0090</v>
      </c>
      <c r="E1339" s="16">
        <v>10000</v>
      </c>
      <c r="F1339" s="16" t="str">
        <f>"ISCU008"</f>
        <v>ISCU008</v>
      </c>
      <c r="G1339" s="17" t="str">
        <f>"Intermediary 4oz Cup - ORG Berry Sauce - No Vit C"</f>
        <v>Intermediary 4oz Cup - ORG Berry Sauce - No Vit C</v>
      </c>
      <c r="H1339" s="18" t="str">
        <f t="shared" si="163"/>
        <v>CUPS</v>
      </c>
      <c r="I1339" s="19">
        <v>80</v>
      </c>
      <c r="J1339" s="20">
        <v>80</v>
      </c>
    </row>
    <row r="1340" spans="1:10" ht="15.75" thickBot="1" x14ac:dyDescent="0.3">
      <c r="A1340" t="s">
        <v>31</v>
      </c>
      <c r="B1340" s="15" t="str">
        <f>"""Manzana NAV"",""MANZANA"",""99000772"",""44"","" "",""22"",""False"",""43"",""0.00000000000000000000"",""12"",""Intermediary 4oz Cup - ORG Blackberry - SPIRAL"",""50220"",""False"",""29"","""",""50210"",""True"",""18"","""",""11"",""ISCU023"",""2"",""20000"",""1"",""FS0173"",""14"",""48.000000000000000000"&amp;"00"",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- SPIRAL","50220","False","29","","50210","True","18","","11","ISCU023","2","20000","1","FS0173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40" s="15"/>
      <c r="D1340" s="16" t="str">
        <f>"FS0173"</f>
        <v>FS0173</v>
      </c>
      <c r="E1340" s="16">
        <v>20000</v>
      </c>
      <c r="F1340" s="16" t="str">
        <f>"ISCU023"</f>
        <v>ISCU023</v>
      </c>
      <c r="G1340" s="17" t="str">
        <f>"Intermediary 4oz Cup - ORG Blackberry - SPIRAL"</f>
        <v>Intermediary 4oz Cup - ORG Blackberry - SPIRAL</v>
      </c>
      <c r="H1340" s="18" t="str">
        <f t="shared" si="163"/>
        <v>CUPS</v>
      </c>
      <c r="I1340" s="19">
        <v>48</v>
      </c>
      <c r="J1340" s="20">
        <v>48</v>
      </c>
    </row>
    <row r="1341" spans="1:10" ht="15.75" thickBot="1" x14ac:dyDescent="0.3">
      <c r="A1341" t="s">
        <v>31</v>
      </c>
      <c r="B1341" s="15" t="str">
        <f>"""Manzana NAV"",""MANZANA"",""99000772"",""44"","" "",""22"",""False"",""43"",""0.00000000000000000000"",""12"",""Intermediary 4oz Cup - ORG Blackberry (100% VC)"",""50220"",""False"",""29"","""",""50210"",""True"",""18"","""",""11"",""ISCU025"",""2"",""40000"",""1"",""FS0129"",""14"",""72.00000000000000000"&amp;"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(100% VC)","50220","False","29","","50210","True","18","","11","ISCU025","2","40000","1","FS0129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1" s="15"/>
      <c r="D1341" s="16" t="str">
        <f>"FS0129"</f>
        <v>FS0129</v>
      </c>
      <c r="E1341" s="16">
        <v>40000</v>
      </c>
      <c r="F1341" s="16" t="str">
        <f>"ISCU025"</f>
        <v>ISCU025</v>
      </c>
      <c r="G1341" s="17" t="str">
        <f>"Intermediary 4oz Cup - ORG Blackberry (100% VC)"</f>
        <v>Intermediary 4oz Cup - ORG Blackberry (100% VC)</v>
      </c>
      <c r="H1341" s="18" t="str">
        <f t="shared" si="163"/>
        <v>CUPS</v>
      </c>
      <c r="I1341" s="19">
        <v>72</v>
      </c>
      <c r="J1341" s="20">
        <v>72</v>
      </c>
    </row>
    <row r="1342" spans="1:10" ht="15.75" thickBot="1" x14ac:dyDescent="0.3">
      <c r="A1342" t="s">
        <v>31</v>
      </c>
      <c r="B1342" s="15" t="str">
        <f>"""Manzana NAV"",""MANZANA"",""99000772"",""44"","" "",""22"",""False"",""43"",""0.00000000000000000000"",""12"",""Intermediary 4oz Cup - ORG Blackberry (100% VC)"",""50220"",""False"",""29"","""",""50210"",""True"",""18"","""",""11"",""ISCU025"",""2"",""40000"",""1"",""FS0152"",""14"",""120.0000000000000000"&amp;"0000"",""45"",""120.00000000000000000000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(100% VC)","50220","False","29","","50210","True","18","","11","ISCU025","2","40000","1","FS0152","14","120.00000000000000000000","45","120.00000000000000000000","19","","20","0.00000000000000000000","50000","0.00000000000000000000","50230","False","28","","10","Item","13","CUPS","21","","3","","42","0.00000000000000000000","50200","False","41","0.00000000000000000000"</v>
      </c>
      <c r="C1342" s="15"/>
      <c r="D1342" s="16" t="str">
        <f>"FS0152"</f>
        <v>FS0152</v>
      </c>
      <c r="E1342" s="16">
        <v>40000</v>
      </c>
      <c r="F1342" s="16" t="str">
        <f>"ISCU025"</f>
        <v>ISCU025</v>
      </c>
      <c r="G1342" s="17" t="str">
        <f>"Intermediary 4oz Cup - ORG Blackberry (100% VC)"</f>
        <v>Intermediary 4oz Cup - ORG Blackberry (100% VC)</v>
      </c>
      <c r="H1342" s="18" t="str">
        <f t="shared" si="163"/>
        <v>CUPS</v>
      </c>
      <c r="I1342" s="19">
        <v>120</v>
      </c>
      <c r="J1342" s="20">
        <v>120</v>
      </c>
    </row>
    <row r="1343" spans="1:10" ht="15.75" thickBot="1" x14ac:dyDescent="0.3">
      <c r="A1343" t="s">
        <v>31</v>
      </c>
      <c r="B1343" s="15" t="str">
        <f>"""Manzana NAV"",""MANZANA"",""99000772"",""44"","" "",""22"",""False"",""43"",""0.00000000000000000000"",""12"",""Intermediary 4oz Cup - ORG Blackberry SPIRAL FDS"",""50220"",""False"",""29"","""",""50210"",""True"",""18"","""",""11"",""ISCU023"",""2"",""10000"",""1"",""FS0130"",""14"",""96.0000000000000000"&amp;"0000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SPIRAL FDS","50220","False","29","","50210","True","18","","11","ISCU023","2","10000","1","FS0130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43" s="15"/>
      <c r="D1343" s="16" t="str">
        <f>"FS0130"</f>
        <v>FS0130</v>
      </c>
      <c r="E1343" s="16">
        <v>10000</v>
      </c>
      <c r="F1343" s="16" t="str">
        <f>"ISCU023"</f>
        <v>ISCU023</v>
      </c>
      <c r="G1343" s="17" t="str">
        <f>"Intermediary 4oz Cup - ORG Blackberry SPIRAL FDS"</f>
        <v>Intermediary 4oz Cup - ORG Blackberry SPIRAL FDS</v>
      </c>
      <c r="H1343" s="18" t="str">
        <f t="shared" si="163"/>
        <v>CUPS</v>
      </c>
      <c r="I1343" s="19">
        <v>96</v>
      </c>
      <c r="J1343" s="20">
        <v>96</v>
      </c>
    </row>
    <row r="1344" spans="1:10" ht="15.75" thickBot="1" x14ac:dyDescent="0.3">
      <c r="A1344" t="s">
        <v>31</v>
      </c>
      <c r="B1344" s="15" t="str">
        <f>"""Manzana NAV"",""MANZANA"",""99000772"",""44"","" "",""22"",""False"",""43"",""0.00000000000000000000"",""12"",""Intermediary 4oz Cup - ORG Blend"",""50220"",""False"",""29"","""",""50210"",""True"",""18"","""",""11"",""ISCU001"",""2"",""10000"",""1"",""Z-FS0092"",""14"",""72.00000000000000000000"",""45"",""72"&amp;"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","50220","False","29","","50210","True","18","","11","ISCU001","2","10000","1","Z-FS0092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4" s="15"/>
      <c r="D1344" s="16" t="str">
        <f>"Z-FS0092"</f>
        <v>Z-FS0092</v>
      </c>
      <c r="E1344" s="16">
        <v>10000</v>
      </c>
      <c r="F1344" s="16" t="str">
        <f>"ISCU001"</f>
        <v>ISCU001</v>
      </c>
      <c r="G1344" s="17" t="str">
        <f>"Intermediary 4oz Cup - ORG Blend"</f>
        <v>Intermediary 4oz Cup - ORG Blend</v>
      </c>
      <c r="H1344" s="18" t="str">
        <f t="shared" si="163"/>
        <v>CUPS</v>
      </c>
      <c r="I1344" s="19">
        <v>72</v>
      </c>
      <c r="J1344" s="20">
        <v>72</v>
      </c>
    </row>
    <row r="1345" spans="1:10" ht="15.75" thickBot="1" x14ac:dyDescent="0.3">
      <c r="A1345" t="s">
        <v>31</v>
      </c>
      <c r="B1345" s="15" t="str">
        <f>"""Manzana NAV"",""MANZANA"",""99000772"",""44"","" "",""22"",""False"",""43"",""0.00000000000000000000"",""12"",""Intermediary 4oz Cup - ORG Blend - CTL MKT"",""50220"",""False"",""29"","""",""50210"",""True"",""18"","""",""11"",""ISCU011"",""2"",""10000"",""1"",""FS0083"",""14"",""72.00000000000000000000"","&amp;"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- CTL MKT","50220","False","29","","50210","True","18","","11","ISCU011","2","10000","1","FS0083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5" s="15"/>
      <c r="D1345" s="16" t="str">
        <f>"FS0083"</f>
        <v>FS0083</v>
      </c>
      <c r="E1345" s="16">
        <v>10000</v>
      </c>
      <c r="F1345" s="16" t="str">
        <f>"ISCU011"</f>
        <v>ISCU011</v>
      </c>
      <c r="G1345" s="17" t="str">
        <f>"Intermediary 4oz Cup - ORG Blend - CTL MKT"</f>
        <v>Intermediary 4oz Cup - ORG Blend - CTL MKT</v>
      </c>
      <c r="H1345" s="18" t="str">
        <f t="shared" si="163"/>
        <v>CUPS</v>
      </c>
      <c r="I1345" s="19">
        <v>72</v>
      </c>
      <c r="J1345" s="20">
        <v>72</v>
      </c>
    </row>
    <row r="1346" spans="1:10" ht="15.75" thickBot="1" x14ac:dyDescent="0.3">
      <c r="A1346" t="s">
        <v>31</v>
      </c>
      <c r="B1346" s="15" t="str">
        <f>"""Manzana NAV"",""MANZANA"",""99000772"",""44"","" "",""22"",""False"",""43"",""0.00000000000000000000"",""12"",""Intermediary 4oz Cup - ORG Blend - SPIRAL FDS"",""50220"",""False"",""29"","""",""50210"",""True"",""18"","""",""11"",""ISCU014"",""2"",""10000"",""1"",""FS0098"",""14"",""96.0000000000000000000"&amp;"0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- SPIRAL FDS","50220","False","29","","50210","True","18","","11","ISCU014","2","10000","1","FS0098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46" s="15"/>
      <c r="D1346" s="16" t="str">
        <f>"FS0098"</f>
        <v>FS0098</v>
      </c>
      <c r="E1346" s="16">
        <v>10000</v>
      </c>
      <c r="F1346" s="16" t="str">
        <f>"ISCU014"</f>
        <v>ISCU014</v>
      </c>
      <c r="G1346" s="17" t="str">
        <f>"Intermediary 4oz Cup - ORG Blend - SPIRAL FDS"</f>
        <v>Intermediary 4oz Cup - ORG Blend - SPIRAL FDS</v>
      </c>
      <c r="H1346" s="18" t="str">
        <f t="shared" si="163"/>
        <v>CUPS</v>
      </c>
      <c r="I1346" s="19">
        <v>96</v>
      </c>
      <c r="J1346" s="20">
        <v>96</v>
      </c>
    </row>
    <row r="1347" spans="1:10" ht="15.75" thickBot="1" x14ac:dyDescent="0.3">
      <c r="A1347" t="s">
        <v>31</v>
      </c>
      <c r="B1347" s="15" t="str">
        <f>"""Manzana NAV"",""MANZANA"",""99000772"",""44"","" "",""22"",""False"",""43"",""0.00000000000000000000"",""12"",""Intermediary 4oz Cup - ORG Blend - SPIRAL FDS"",""50220"",""False"",""29"","""",""50210"",""True"",""18"","""",""11"",""ISCU014"",""2"",""20000"",""1"",""FS0170"",""14"",""48.0000000000000000000"&amp;"0"",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- SPIRAL FDS","50220","False","29","","50210","True","18","","11","ISCU014","2","20000","1","FS0170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47" s="15"/>
      <c r="D1347" s="16" t="str">
        <f>"FS0170"</f>
        <v>FS0170</v>
      </c>
      <c r="E1347" s="16">
        <v>20000</v>
      </c>
      <c r="F1347" s="16" t="str">
        <f>"ISCU014"</f>
        <v>ISCU014</v>
      </c>
      <c r="G1347" s="17" t="str">
        <f>"Intermediary 4oz Cup - ORG Blend - SPIRAL FDS"</f>
        <v>Intermediary 4oz Cup - ORG Blend - SPIRAL FDS</v>
      </c>
      <c r="H1347" s="18" t="str">
        <f t="shared" si="163"/>
        <v>CUPS</v>
      </c>
      <c r="I1347" s="19">
        <v>48</v>
      </c>
      <c r="J1347" s="20">
        <v>48</v>
      </c>
    </row>
    <row r="1348" spans="1:10" ht="15.75" thickBot="1" x14ac:dyDescent="0.3">
      <c r="A1348" t="s">
        <v>31</v>
      </c>
      <c r="B1348" s="15" t="str">
        <f>"""Manzana NAV"",""MANZANA"",""99000772"",""44"","" "",""22"",""False"",""43"",""0.00000000000000000000"",""12"",""Intermediary 4oz Cup - ORG Blend (100% VC)"",""50220"",""False"",""29"","""",""50210"",""True"",""18"","""",""11"",""ISCU001"",""2"",""40000"",""1"",""FS0140"",""14"",""72.00000000000000000000"","&amp;"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(100% VC)","50220","False","29","","50210","True","18","","11","ISCU001","2","40000","1","FS0140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8" s="15"/>
      <c r="D1348" s="16" t="str">
        <f>"FS0140"</f>
        <v>FS0140</v>
      </c>
      <c r="E1348" s="16">
        <v>40000</v>
      </c>
      <c r="F1348" s="16" t="str">
        <f>"ISCU001"</f>
        <v>ISCU001</v>
      </c>
      <c r="G1348" s="17" t="str">
        <f>"Intermediary 4oz Cup - ORG Blend (100% VC)"</f>
        <v>Intermediary 4oz Cup - ORG Blend (100% VC)</v>
      </c>
      <c r="H1348" s="18" t="str">
        <f t="shared" si="163"/>
        <v>CUPS</v>
      </c>
      <c r="I1348" s="19">
        <v>72</v>
      </c>
      <c r="J1348" s="20">
        <v>72</v>
      </c>
    </row>
    <row r="1349" spans="1:10" ht="15.75" thickBot="1" x14ac:dyDescent="0.3">
      <c r="A1349" t="s">
        <v>31</v>
      </c>
      <c r="B1349" s="15" t="str">
        <f>"""Manzana NAV"",""MANZANA"",""99000772"",""44"","" "",""22"",""False"",""43"",""0.00000000000000000000"",""12"",""Intermediary 4oz Cup - ORG Blend (100% VC)"",""50220"",""False"",""29"","""",""50210"",""True"",""18"","""",""11"",""ISCU001"",""2"",""40000"",""1"",""FS0150"",""14"",""120.00000000000000000000"""&amp;",""45"",""120.00000000000000000000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(100% VC)","50220","False","29","","50210","True","18","","11","ISCU001","2","40000","1","FS0150","14","120.00000000000000000000","45","120.00000000000000000000","19","","20","0.00000000000000000000","50000","0.00000000000000000000","50230","False","28","","10","Item","13","CUPS","21","","3","","42","0.00000000000000000000","50200","False","41","0.00000000000000000000"</v>
      </c>
      <c r="C1349" s="15"/>
      <c r="D1349" s="16" t="str">
        <f>"FS0150"</f>
        <v>FS0150</v>
      </c>
      <c r="E1349" s="16">
        <v>40000</v>
      </c>
      <c r="F1349" s="16" t="str">
        <f>"ISCU001"</f>
        <v>ISCU001</v>
      </c>
      <c r="G1349" s="17" t="str">
        <f>"Intermediary 4oz Cup - ORG Blend (100% VC)"</f>
        <v>Intermediary 4oz Cup - ORG Blend (100% VC)</v>
      </c>
      <c r="H1349" s="18" t="str">
        <f t="shared" si="163"/>
        <v>CUPS</v>
      </c>
      <c r="I1349" s="19">
        <v>120</v>
      </c>
      <c r="J1349" s="20">
        <v>120</v>
      </c>
    </row>
    <row r="1350" spans="1:10" ht="15.75" thickBot="1" x14ac:dyDescent="0.3">
      <c r="A1350" t="s">
        <v>31</v>
      </c>
      <c r="B1350" s="15" t="str">
        <f>"""Manzana NAV"",""MANZANA"",""99000772"",""44"","" "",""22"",""False"",""43"",""0.00000000000000000000"",""12"",""Intermediary 4oz Cup - ORG Blend (2% VC)"",""50220"",""False"",""29"","""",""50210"",""True"",""18"","""",""11"",""ISCU007"",""2"",""10000"",""1"",""FS0094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10000","1","FS0094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0" s="15"/>
      <c r="D1350" s="16" t="str">
        <f>"FS0094"</f>
        <v>FS0094</v>
      </c>
      <c r="E1350" s="16">
        <v>10000</v>
      </c>
      <c r="F1350" s="16" t="str">
        <f t="shared" ref="F1350:F1356" si="164">"ISCU007"</f>
        <v>ISCU007</v>
      </c>
      <c r="G1350" s="17" t="str">
        <f t="shared" ref="G1350:G1356" si="165">"Intermediary 4oz Cup - ORG Blend (2% VC)"</f>
        <v>Intermediary 4oz Cup - ORG Blend (2% VC)</v>
      </c>
      <c r="H1350" s="18" t="str">
        <f t="shared" si="163"/>
        <v>CUPS</v>
      </c>
      <c r="I1350" s="19">
        <v>72</v>
      </c>
      <c r="J1350" s="20">
        <v>72</v>
      </c>
    </row>
    <row r="1351" spans="1:10" ht="15.75" thickBot="1" x14ac:dyDescent="0.3">
      <c r="A1351" t="s">
        <v>31</v>
      </c>
      <c r="B1351" s="15" t="str">
        <f>"""Manzana NAV"",""MANZANA"",""99000772"",""44"","" "",""22"",""False"",""43"",""0.00000000000000000000"",""12"",""Intermediary 4oz Cup - ORG Blend (2% VC)"",""50220"",""False"",""29"","""",""50210"",""True"",""18"","""",""11"",""ISCU007"",""2"",""20000"",""1"",""FS0141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20000","1","FS0141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1" s="15"/>
      <c r="D1351" s="16" t="str">
        <f>"FS0141"</f>
        <v>FS0141</v>
      </c>
      <c r="E1351" s="16">
        <v>20000</v>
      </c>
      <c r="F1351" s="16" t="str">
        <f t="shared" si="164"/>
        <v>ISCU007</v>
      </c>
      <c r="G1351" s="17" t="str">
        <f t="shared" si="165"/>
        <v>Intermediary 4oz Cup - ORG Blend (2% VC)</v>
      </c>
      <c r="H1351" s="18" t="str">
        <f t="shared" si="163"/>
        <v>CUPS</v>
      </c>
      <c r="I1351" s="19">
        <v>72</v>
      </c>
      <c r="J1351" s="20">
        <v>72</v>
      </c>
    </row>
    <row r="1352" spans="1:10" ht="15.75" thickBot="1" x14ac:dyDescent="0.3">
      <c r="A1352" t="s">
        <v>31</v>
      </c>
      <c r="B1352" s="15" t="str">
        <f>"""Manzana NAV"",""MANZANA"",""99000772"",""44"","" "",""22"",""False"",""43"",""0.00000000000000000000"",""12"",""Intermediary 4oz Cup - ORG Blend (2% VC)"",""50220"",""False"",""29"","""",""50210"",""True"",""18"","""",""11"",""ISCU007"",""2"",""20000"",""1"",""FS0155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20000","1","FS0155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2" s="15"/>
      <c r="D1352" s="16" t="str">
        <f>"FS0155"</f>
        <v>FS0155</v>
      </c>
      <c r="E1352" s="16">
        <v>20000</v>
      </c>
      <c r="F1352" s="16" t="str">
        <f t="shared" si="164"/>
        <v>ISCU007</v>
      </c>
      <c r="G1352" s="17" t="str">
        <f t="shared" si="165"/>
        <v>Intermediary 4oz Cup - ORG Blend (2% VC)</v>
      </c>
      <c r="H1352" s="18" t="str">
        <f t="shared" si="163"/>
        <v>CUPS</v>
      </c>
      <c r="I1352" s="19">
        <v>72</v>
      </c>
      <c r="J1352" s="20">
        <v>72</v>
      </c>
    </row>
    <row r="1353" spans="1:10" ht="15.75" thickBot="1" x14ac:dyDescent="0.3">
      <c r="A1353" t="s">
        <v>31</v>
      </c>
      <c r="B1353" s="15" t="str">
        <f>"""Manzana NAV"",""MANZANA"",""99000772"",""44"","" "",""22"",""False"",""43"",""0.00000000000000000000"",""12"",""Intermediary 4oz Cup - ORG Blend (2% VC)"",""50220"",""False"",""29"","""",""50210"",""True"",""18"","""",""11"",""ISCU007"",""2"",""20000"",""1"",""FS0181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20000","1","FS0181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3" s="15"/>
      <c r="D1353" s="16" t="str">
        <f>"FS0181"</f>
        <v>FS0181</v>
      </c>
      <c r="E1353" s="16">
        <v>20000</v>
      </c>
      <c r="F1353" s="16" t="str">
        <f t="shared" si="164"/>
        <v>ISCU007</v>
      </c>
      <c r="G1353" s="17" t="str">
        <f t="shared" si="165"/>
        <v>Intermediary 4oz Cup - ORG Blend (2% VC)</v>
      </c>
      <c r="H1353" s="18" t="str">
        <f t="shared" si="163"/>
        <v>CUPS</v>
      </c>
      <c r="I1353" s="19">
        <v>72</v>
      </c>
      <c r="J1353" s="20">
        <v>72</v>
      </c>
    </row>
    <row r="1354" spans="1:10" ht="15.75" thickBot="1" x14ac:dyDescent="0.3">
      <c r="A1354" t="s">
        <v>31</v>
      </c>
      <c r="B1354" s="15" t="str">
        <f>"""Manzana NAV"",""MANZANA"",""99000772"",""44"","" "",""22"",""False"",""43"",""0.00000000000000000000"",""12"",""Intermediary 4oz Cup - ORG Blend (2% VC)"",""50220"",""False"",""29"","""",""50210"",""True"",""18"","""",""11"",""ISCU007"",""2"",""30000"",""1"",""FS0132"",""14"",""96.00000000000000000000"",""4"&amp;"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30000","1","FS0132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54" s="15"/>
      <c r="D1354" s="16" t="str">
        <f>"FS0132"</f>
        <v>FS0132</v>
      </c>
      <c r="E1354" s="16">
        <v>30000</v>
      </c>
      <c r="F1354" s="16" t="str">
        <f t="shared" si="164"/>
        <v>ISCU007</v>
      </c>
      <c r="G1354" s="17" t="str">
        <f t="shared" si="165"/>
        <v>Intermediary 4oz Cup - ORG Blend (2% VC)</v>
      </c>
      <c r="H1354" s="18" t="str">
        <f t="shared" si="163"/>
        <v>CUPS</v>
      </c>
      <c r="I1354" s="19">
        <v>96</v>
      </c>
      <c r="J1354" s="20">
        <v>96</v>
      </c>
    </row>
    <row r="1355" spans="1:10" ht="15.75" thickBot="1" x14ac:dyDescent="0.3">
      <c r="A1355" t="s">
        <v>31</v>
      </c>
      <c r="B1355" s="15" t="str">
        <f>"""Manzana NAV"",""MANZANA"",""99000772"",""44"","" "",""22"",""False"",""43"",""0.00000000000000000000"",""12"",""Intermediary 4oz Cup - ORG Blend (2% VC)"",""50220"",""False"",""29"","""",""50210"",""True"",""18"","""",""11"",""ISCU007"",""2"",""30000"",""1"",""FS0168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30000","1","FS0168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5" s="15"/>
      <c r="D1355" s="16" t="str">
        <f>"FS0168"</f>
        <v>FS0168</v>
      </c>
      <c r="E1355" s="16">
        <v>30000</v>
      </c>
      <c r="F1355" s="16" t="str">
        <f t="shared" si="164"/>
        <v>ISCU007</v>
      </c>
      <c r="G1355" s="17" t="str">
        <f t="shared" si="165"/>
        <v>Intermediary 4oz Cup - ORG Blend (2% VC)</v>
      </c>
      <c r="H1355" s="18" t="str">
        <f t="shared" si="163"/>
        <v>CUPS</v>
      </c>
      <c r="I1355" s="19">
        <v>72</v>
      </c>
      <c r="J1355" s="20">
        <v>72</v>
      </c>
    </row>
    <row r="1356" spans="1:10" ht="15.75" thickBot="1" x14ac:dyDescent="0.3">
      <c r="A1356" t="s">
        <v>31</v>
      </c>
      <c r="B1356" s="15" t="str">
        <f>"""Manzana NAV"",""MANZANA"",""99000772"",""44"","" "",""22"",""False"",""43"",""0.00000000000000000000"",""12"",""Intermediary 4oz Cup - ORG Blend (2% VC)"",""50220"",""False"",""29"","""",""50210"",""True"",""18"","""",""11"",""ISCU007"",""2"",""30000"",""1"",""FS0194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30000","1","FS0194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6" s="15"/>
      <c r="D1356" s="16" t="str">
        <f>"FS0194"</f>
        <v>FS0194</v>
      </c>
      <c r="E1356" s="16">
        <v>30000</v>
      </c>
      <c r="F1356" s="16" t="str">
        <f t="shared" si="164"/>
        <v>ISCU007</v>
      </c>
      <c r="G1356" s="17" t="str">
        <f t="shared" si="165"/>
        <v>Intermediary 4oz Cup - ORG Blend (2% VC)</v>
      </c>
      <c r="H1356" s="18" t="str">
        <f t="shared" si="163"/>
        <v>CUPS</v>
      </c>
      <c r="I1356" s="19">
        <v>72</v>
      </c>
      <c r="J1356" s="20">
        <v>72</v>
      </c>
    </row>
    <row r="1357" spans="1:10" ht="15.75" thickBot="1" x14ac:dyDescent="0.3">
      <c r="A1357" t="s">
        <v>31</v>
      </c>
      <c r="B1357" s="15" t="str">
        <f>"""Manzana NAV"",""MANZANA"",""99000772"",""44"","" "",""22"",""False"",""43"",""0.00000000000000000000"",""12"",""Intermediary 4oz Cup - ORG Blend CADIA"",""50220"",""False"",""29"","""",""50210"",""True"",""18"","""",""11"",""ISCU019"",""2"",""10000"",""1"",""FS0079"",""14"",""72.00000000000000000000"",""45"""&amp;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CADIA","50220","False","29","","50210","True","18","","11","ISCU019","2","10000","1","FS0079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7" s="15"/>
      <c r="D1357" s="16" t="str">
        <f>"FS0079"</f>
        <v>FS0079</v>
      </c>
      <c r="E1357" s="16">
        <v>10000</v>
      </c>
      <c r="F1357" s="16" t="str">
        <f>"ISCU019"</f>
        <v>ISCU019</v>
      </c>
      <c r="G1357" s="17" t="str">
        <f>"Intermediary 4oz Cup - ORG Blend CADIA"</f>
        <v>Intermediary 4oz Cup - ORG Blend CADIA</v>
      </c>
      <c r="H1357" s="18" t="str">
        <f t="shared" si="163"/>
        <v>CUPS</v>
      </c>
      <c r="I1357" s="19">
        <v>72</v>
      </c>
      <c r="J1357" s="20">
        <v>72</v>
      </c>
    </row>
    <row r="1358" spans="1:10" ht="15.75" thickBot="1" x14ac:dyDescent="0.3">
      <c r="A1358" t="s">
        <v>31</v>
      </c>
      <c r="B1358" s="15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0075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0075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8" s="15"/>
      <c r="D1358" s="16" t="str">
        <f>"FS0075"</f>
        <v>FS0075</v>
      </c>
      <c r="E1358" s="16">
        <v>10000</v>
      </c>
      <c r="F1358" s="16" t="str">
        <f>"ISCU007"</f>
        <v>ISCU007</v>
      </c>
      <c r="G1358" s="17" t="str">
        <f>"Intermediary 4oz Cup - ORG Blend Sauce - No Vit C"</f>
        <v>Intermediary 4oz Cup - ORG Blend Sauce - No Vit C</v>
      </c>
      <c r="H1358" s="18" t="str">
        <f t="shared" si="163"/>
        <v>CUPS</v>
      </c>
      <c r="I1358" s="19">
        <v>72</v>
      </c>
      <c r="J1358" s="20">
        <v>72</v>
      </c>
    </row>
    <row r="1359" spans="1:10" ht="15.75" thickBot="1" x14ac:dyDescent="0.3">
      <c r="A1359" t="s">
        <v>31</v>
      </c>
      <c r="B1359" s="15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0086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0086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9" s="15"/>
      <c r="D1359" s="16" t="str">
        <f>"FS0086"</f>
        <v>FS0086</v>
      </c>
      <c r="E1359" s="16">
        <v>10000</v>
      </c>
      <c r="F1359" s="16" t="str">
        <f>"ISCU007"</f>
        <v>ISCU007</v>
      </c>
      <c r="G1359" s="17" t="str">
        <f>"Intermediary 4oz Cup - ORG Blend Sauce - No Vit C"</f>
        <v>Intermediary 4oz Cup - ORG Blend Sauce - No Vit C</v>
      </c>
      <c r="H1359" s="18" t="str">
        <f t="shared" si="163"/>
        <v>CUPS</v>
      </c>
      <c r="I1359" s="19">
        <v>72</v>
      </c>
      <c r="J1359" s="20">
        <v>72</v>
      </c>
    </row>
    <row r="1360" spans="1:10" ht="15.75" thickBot="1" x14ac:dyDescent="0.3">
      <c r="A1360" t="s">
        <v>31</v>
      </c>
      <c r="B1360" s="15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0102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0102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0" s="15"/>
      <c r="D1360" s="16" t="str">
        <f>"FS0102"</f>
        <v>FS0102</v>
      </c>
      <c r="E1360" s="16">
        <v>10000</v>
      </c>
      <c r="F1360" s="16" t="str">
        <f>"ISCU007"</f>
        <v>ISCU007</v>
      </c>
      <c r="G1360" s="17" t="str">
        <f>"Intermediary 4oz Cup - ORG Blend Sauce - No Vit C"</f>
        <v>Intermediary 4oz Cup - ORG Blend Sauce - No Vit C</v>
      </c>
      <c r="H1360" s="18" t="str">
        <f t="shared" si="163"/>
        <v>CUPS</v>
      </c>
      <c r="I1360" s="19">
        <v>72</v>
      </c>
      <c r="J1360" s="20">
        <v>72</v>
      </c>
    </row>
    <row r="1361" spans="1:10" ht="15.75" thickBot="1" x14ac:dyDescent="0.3">
      <c r="A1361" t="s">
        <v>31</v>
      </c>
      <c r="B1361" s="15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0105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0105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1" s="15"/>
      <c r="D1361" s="16" t="str">
        <f>"FS0105"</f>
        <v>FS0105</v>
      </c>
      <c r="E1361" s="16">
        <v>10000</v>
      </c>
      <c r="F1361" s="16" t="str">
        <f>"ISCU007"</f>
        <v>ISCU007</v>
      </c>
      <c r="G1361" s="17" t="str">
        <f>"Intermediary 4oz Cup - ORG Blend Sauce - No Vit C"</f>
        <v>Intermediary 4oz Cup - ORG Blend Sauce - No Vit C</v>
      </c>
      <c r="H1361" s="18" t="str">
        <f t="shared" si="163"/>
        <v>CUPS</v>
      </c>
      <c r="I1361" s="19">
        <v>72</v>
      </c>
      <c r="J1361" s="20">
        <v>72</v>
      </c>
    </row>
    <row r="1362" spans="1:10" ht="15.75" thickBot="1" x14ac:dyDescent="0.3">
      <c r="A1362" t="s">
        <v>31</v>
      </c>
      <c r="B1362" s="15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Z-FS0089"",""14"",""80.0000000000000"&amp;"0000000"",""45"",""80.00000000000000000000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Z-FS0089","14","80.00000000000000000000","45","80.00000000000000000000","19","","20","0.00000000000000000000","50000","0.00000000000000000000","50230","False","28","","10","Item","13","CUPS","21","","3","","42","0.00000000000000000000","50200","False","41","0.00000000000000000000"</v>
      </c>
      <c r="C1362" s="15"/>
      <c r="D1362" s="16" t="str">
        <f>"Z-FS0089"</f>
        <v>Z-FS0089</v>
      </c>
      <c r="E1362" s="16">
        <v>10000</v>
      </c>
      <c r="F1362" s="16" t="str">
        <f>"ISCU007"</f>
        <v>ISCU007</v>
      </c>
      <c r="G1362" s="17" t="str">
        <f>"Intermediary 4oz Cup - ORG Blend Sauce - No Vit C"</f>
        <v>Intermediary 4oz Cup - ORG Blend Sauce - No Vit C</v>
      </c>
      <c r="H1362" s="18" t="str">
        <f t="shared" si="163"/>
        <v>CUPS</v>
      </c>
      <c r="I1362" s="19">
        <v>80</v>
      </c>
      <c r="J1362" s="20">
        <v>80</v>
      </c>
    </row>
    <row r="1363" spans="1:10" ht="15.75" thickBot="1" x14ac:dyDescent="0.3">
      <c r="A1363" t="s">
        <v>31</v>
      </c>
      <c r="B1363" s="15" t="str">
        <f>"""Manzana NAV"",""MANZANA"",""99000772"",""44"","" "",""22"",""False"",""43"",""0.00000000000000000000"",""12"",""Intermediary 4oz Cup - ORG Cinn - CTL MKT"",""50220"",""False"",""29"","""",""50210"",""True"",""18"","""",""11"",""ISCU013"",""2"",""10000"",""1"",""FS0085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- CTL MKT","50220","False","29","","50210","True","18","","11","ISCU013","2","10000","1","FS0085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3" s="15"/>
      <c r="D1363" s="16" t="str">
        <f>"FS0085"</f>
        <v>FS0085</v>
      </c>
      <c r="E1363" s="16">
        <v>10000</v>
      </c>
      <c r="F1363" s="16" t="str">
        <f>"ISCU013"</f>
        <v>ISCU013</v>
      </c>
      <c r="G1363" s="17" t="str">
        <f>"Intermediary 4oz Cup - ORG Cinn - CTL MKT"</f>
        <v>Intermediary 4oz Cup - ORG Cinn - CTL MKT</v>
      </c>
      <c r="H1363" s="18" t="str">
        <f t="shared" si="163"/>
        <v>CUPS</v>
      </c>
      <c r="I1363" s="19">
        <v>72</v>
      </c>
      <c r="J1363" s="20">
        <v>72</v>
      </c>
    </row>
    <row r="1364" spans="1:10" ht="15.75" thickBot="1" x14ac:dyDescent="0.3">
      <c r="A1364" t="s">
        <v>31</v>
      </c>
      <c r="B1364" s="15" t="str">
        <f>"""Manzana NAV"",""MANZANA"",""99000772"",""44"","" "",""22"",""False"",""43"",""0.00000000000000000000"",""12"",""Intermediary 4oz Cup - ORG Cinn - SPIRAL"",""50220"",""False"",""29"","""",""50210"",""True"",""18"","""",""11"",""ISCU015"",""2"",""20000"",""1"",""FS0171"",""14"",""48.00000000000000000000"",""4"&amp;"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- SPIRAL","50220","False","29","","50210","True","18","","11","ISCU015","2","20000","1","FS0171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64" s="15"/>
      <c r="D1364" s="16" t="str">
        <f>"FS0171"</f>
        <v>FS0171</v>
      </c>
      <c r="E1364" s="16">
        <v>20000</v>
      </c>
      <c r="F1364" s="16" t="str">
        <f>"ISCU015"</f>
        <v>ISCU015</v>
      </c>
      <c r="G1364" s="17" t="str">
        <f>"Intermediary 4oz Cup - ORG Cinn - SPIRAL"</f>
        <v>Intermediary 4oz Cup - ORG Cinn - SPIRAL</v>
      </c>
      <c r="H1364" s="18" t="str">
        <f t="shared" si="163"/>
        <v>CUPS</v>
      </c>
      <c r="I1364" s="19">
        <v>48</v>
      </c>
      <c r="J1364" s="20">
        <v>48</v>
      </c>
    </row>
    <row r="1365" spans="1:10" ht="15.75" thickBot="1" x14ac:dyDescent="0.3">
      <c r="A1365" t="s">
        <v>31</v>
      </c>
      <c r="B1365" s="15" t="str">
        <f>"""Manzana NAV"",""MANZANA"",""99000772"",""44"","" "",""22"",""False"",""43"",""0.00000000000000000000"",""12"",""Intermediary 4oz Cup - ORG Cinn - SPIRAL FDS"",""50220"",""False"",""29"","""",""50210"",""True"",""18"","""",""11"",""ISCU015"",""2"",""10000"",""1"",""FS0099"",""14"",""96.00000000000000000000"&amp;"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- SPIRAL FDS","50220","False","29","","50210","True","18","","11","ISCU015","2","10000","1","FS0099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65" s="15"/>
      <c r="D1365" s="16" t="str">
        <f>"FS0099"</f>
        <v>FS0099</v>
      </c>
      <c r="E1365" s="16">
        <v>10000</v>
      </c>
      <c r="F1365" s="16" t="str">
        <f>"ISCU015"</f>
        <v>ISCU015</v>
      </c>
      <c r="G1365" s="17" t="str">
        <f>"Intermediary 4oz Cup - ORG Cinn - SPIRAL FDS"</f>
        <v>Intermediary 4oz Cup - ORG Cinn - SPIRAL FDS</v>
      </c>
      <c r="H1365" s="18" t="str">
        <f t="shared" si="163"/>
        <v>CUPS</v>
      </c>
      <c r="I1365" s="19">
        <v>96</v>
      </c>
      <c r="J1365" s="20">
        <v>96</v>
      </c>
    </row>
    <row r="1366" spans="1:10" ht="15.75" thickBot="1" x14ac:dyDescent="0.3">
      <c r="A1366" t="s">
        <v>31</v>
      </c>
      <c r="B1366" s="15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0133"",""14"",""96.00000000000000000000"","""&amp;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0133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66" s="15"/>
      <c r="D1366" s="16" t="str">
        <f>"FS0133"</f>
        <v>FS0133</v>
      </c>
      <c r="E1366" s="16">
        <v>30000</v>
      </c>
      <c r="F1366" s="16" t="str">
        <f t="shared" ref="F1366:F1377" si="166">"ISCU004"</f>
        <v>ISCU004</v>
      </c>
      <c r="G1366" s="17" t="str">
        <f t="shared" ref="G1366:G1371" si="167">"Intermediary 4oz Cup - ORG Cinn (100% VC)"</f>
        <v>Intermediary 4oz Cup - ORG Cinn (100% VC)</v>
      </c>
      <c r="H1366" s="18" t="str">
        <f t="shared" si="163"/>
        <v>CUPS</v>
      </c>
      <c r="I1366" s="19">
        <v>96</v>
      </c>
      <c r="J1366" s="20">
        <v>96</v>
      </c>
    </row>
    <row r="1367" spans="1:10" ht="15.75" thickBot="1" x14ac:dyDescent="0.3">
      <c r="A1367" t="s">
        <v>31</v>
      </c>
      <c r="B1367" s="15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0142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0142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7" s="15"/>
      <c r="D1367" s="16" t="str">
        <f>"FS0142"</f>
        <v>FS0142</v>
      </c>
      <c r="E1367" s="16">
        <v>30000</v>
      </c>
      <c r="F1367" s="16" t="str">
        <f t="shared" si="166"/>
        <v>ISCU004</v>
      </c>
      <c r="G1367" s="17" t="str">
        <f t="shared" si="167"/>
        <v>Intermediary 4oz Cup - ORG Cinn (100% VC)</v>
      </c>
      <c r="H1367" s="18" t="str">
        <f t="shared" si="163"/>
        <v>CUPS</v>
      </c>
      <c r="I1367" s="19">
        <v>72</v>
      </c>
      <c r="J1367" s="20">
        <v>72</v>
      </c>
    </row>
    <row r="1368" spans="1:10" ht="15.75" thickBot="1" x14ac:dyDescent="0.3">
      <c r="A1368" t="s">
        <v>31</v>
      </c>
      <c r="B1368" s="15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0169"",""14"",""12.00000000000000000000"","""&amp;"45"",""12.00000000000000000000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0169","14","12.00000000000000000000","45","12.00000000000000000000","19","","20","0.00000000000000000000","50000","0.00000000000000000000","50230","False","28","","10","Item","13","CUPS","21","","3","","42","0.00000000000000000000","50200","False","41","0.00000000000000000000"</v>
      </c>
      <c r="C1368" s="15"/>
      <c r="D1368" s="16" t="str">
        <f>"FS0169"</f>
        <v>FS0169</v>
      </c>
      <c r="E1368" s="16">
        <v>30000</v>
      </c>
      <c r="F1368" s="16" t="str">
        <f t="shared" si="166"/>
        <v>ISCU004</v>
      </c>
      <c r="G1368" s="17" t="str">
        <f t="shared" si="167"/>
        <v>Intermediary 4oz Cup - ORG Cinn (100% VC)</v>
      </c>
      <c r="H1368" s="18" t="str">
        <f t="shared" si="163"/>
        <v>CUPS</v>
      </c>
      <c r="I1368" s="19">
        <v>12</v>
      </c>
      <c r="J1368" s="20">
        <v>12</v>
      </c>
    </row>
    <row r="1369" spans="1:10" ht="15.75" thickBot="1" x14ac:dyDescent="0.3">
      <c r="A1369" t="s">
        <v>31</v>
      </c>
      <c r="B1369" s="15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0182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0182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9" s="15"/>
      <c r="D1369" s="16" t="str">
        <f>"FS0182"</f>
        <v>FS0182</v>
      </c>
      <c r="E1369" s="16">
        <v>30000</v>
      </c>
      <c r="F1369" s="16" t="str">
        <f t="shared" si="166"/>
        <v>ISCU004</v>
      </c>
      <c r="G1369" s="17" t="str">
        <f t="shared" si="167"/>
        <v>Intermediary 4oz Cup - ORG Cinn (100% VC)</v>
      </c>
      <c r="H1369" s="18" t="str">
        <f t="shared" si="163"/>
        <v>CUPS</v>
      </c>
      <c r="I1369" s="19">
        <v>72</v>
      </c>
      <c r="J1369" s="20">
        <v>72</v>
      </c>
    </row>
    <row r="1370" spans="1:10" ht="15.75" thickBot="1" x14ac:dyDescent="0.3">
      <c r="A1370" t="s">
        <v>31</v>
      </c>
      <c r="B1370" s="15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0195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0195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0" s="15"/>
      <c r="D1370" s="16" t="str">
        <f>"FS0195"</f>
        <v>FS0195</v>
      </c>
      <c r="E1370" s="16">
        <v>30000</v>
      </c>
      <c r="F1370" s="16" t="str">
        <f t="shared" si="166"/>
        <v>ISCU004</v>
      </c>
      <c r="G1370" s="17" t="str">
        <f t="shared" si="167"/>
        <v>Intermediary 4oz Cup - ORG Cinn (100% VC)</v>
      </c>
      <c r="H1370" s="18" t="str">
        <f t="shared" si="163"/>
        <v>CUPS</v>
      </c>
      <c r="I1370" s="19">
        <v>72</v>
      </c>
      <c r="J1370" s="20">
        <v>72</v>
      </c>
    </row>
    <row r="1371" spans="1:10" ht="15.75" thickBot="1" x14ac:dyDescent="0.3">
      <c r="A1371" t="s">
        <v>31</v>
      </c>
      <c r="B1371" s="15" t="str">
        <f>"""Manzana NAV"",""MANZANA"",""99000772"",""44"","" "",""22"",""False"",""43"",""0.00000000000000000000"",""12"",""Intermediary 4oz Cup - ORG Cinn (100% VC)"",""50220"",""False"",""29"","""",""50210"",""True"",""18"","""",""11"",""ISCU004"",""2"",""40000"",""1"",""FS0106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40000","1","FS0106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1" s="15"/>
      <c r="D1371" s="16" t="str">
        <f>"FS0106"</f>
        <v>FS0106</v>
      </c>
      <c r="E1371" s="16">
        <v>40000</v>
      </c>
      <c r="F1371" s="16" t="str">
        <f t="shared" si="166"/>
        <v>ISCU004</v>
      </c>
      <c r="G1371" s="17" t="str">
        <f t="shared" si="167"/>
        <v>Intermediary 4oz Cup - ORG Cinn (100% VC)</v>
      </c>
      <c r="H1371" s="18" t="str">
        <f t="shared" si="163"/>
        <v>CUPS</v>
      </c>
      <c r="I1371" s="19">
        <v>72</v>
      </c>
      <c r="J1371" s="20">
        <v>72</v>
      </c>
    </row>
    <row r="1372" spans="1:10" ht="15.75" thickBot="1" x14ac:dyDescent="0.3">
      <c r="A1372" t="s">
        <v>31</v>
      </c>
      <c r="B1372" s="15" t="str">
        <f>"""Manzana NAV"",""MANZANA"",""99000772"",""44"","" "",""22"",""False"",""43"",""0.00000000000000000000"",""12"",""Intermediary 4oz Cup - ORG Cinn Sauce - recipe 1"",""50220"",""False"",""29"","""",""50210"",""True"",""18"","""",""11"",""ISCU004"",""2"",""10000"",""1"",""FS0076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1","50220","False","29","","50210","True","18","","11","ISCU004","2","10000","1","FS0076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2" s="15"/>
      <c r="D1372" s="16" t="str">
        <f>"FS0076"</f>
        <v>FS0076</v>
      </c>
      <c r="E1372" s="16">
        <v>10000</v>
      </c>
      <c r="F1372" s="16" t="str">
        <f t="shared" si="166"/>
        <v>ISCU004</v>
      </c>
      <c r="G1372" s="17" t="str">
        <f>"Intermediary 4oz Cup - ORG Cinn Sauce - recipe 1"</f>
        <v>Intermediary 4oz Cup - ORG Cinn Sauce - recipe 1</v>
      </c>
      <c r="H1372" s="18" t="str">
        <f t="shared" si="163"/>
        <v>CUPS</v>
      </c>
      <c r="I1372" s="19">
        <v>72</v>
      </c>
      <c r="J1372" s="20">
        <v>72</v>
      </c>
    </row>
    <row r="1373" spans="1:10" ht="15.75" thickBot="1" x14ac:dyDescent="0.3">
      <c r="A1373" t="s">
        <v>31</v>
      </c>
      <c r="B1373" s="15" t="str">
        <f>"""Manzana NAV"",""MANZANA"",""99000772"",""44"","" "",""22"",""False"",""43"",""0.00000000000000000000"",""12"",""Intermediary 4oz Cup - ORG Cinn Sauce - recipe 102"",""50220"",""False"",""29"","""",""50210"",""True"",""18"","""",""11"",""ISCU004"",""2"",""20000"",""1"",""FS0156"",""14"",""72.00000000000000"&amp;"000000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102","50220","False","29","","50210","True","18","","11","ISCU004","2","20000","1","FS0156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3" s="15"/>
      <c r="D1373" s="16" t="str">
        <f>"FS0156"</f>
        <v>FS0156</v>
      </c>
      <c r="E1373" s="16">
        <v>20000</v>
      </c>
      <c r="F1373" s="16" t="str">
        <f t="shared" si="166"/>
        <v>ISCU004</v>
      </c>
      <c r="G1373" s="17" t="str">
        <f>"Intermediary 4oz Cup - ORG Cinn Sauce - recipe 102"</f>
        <v>Intermediary 4oz Cup - ORG Cinn Sauce - recipe 102</v>
      </c>
      <c r="H1373" s="18" t="str">
        <f t="shared" si="163"/>
        <v>CUPS</v>
      </c>
      <c r="I1373" s="19">
        <v>72</v>
      </c>
      <c r="J1373" s="20">
        <v>72</v>
      </c>
    </row>
    <row r="1374" spans="1:10" ht="15.75" thickBot="1" x14ac:dyDescent="0.3">
      <c r="A1374" t="s">
        <v>31</v>
      </c>
      <c r="B1374" s="15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FS0095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FS0095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4" s="15"/>
      <c r="D1374" s="16" t="str">
        <f>"FS0095"</f>
        <v>FS0095</v>
      </c>
      <c r="E1374" s="16">
        <v>10000</v>
      </c>
      <c r="F1374" s="16" t="str">
        <f t="shared" si="166"/>
        <v>ISCU004</v>
      </c>
      <c r="G1374" s="17" t="str">
        <f>"Intermediary 4oz Cup - ORG Cinn Sauce - recipe 2"</f>
        <v>Intermediary 4oz Cup - ORG Cinn Sauce - recipe 2</v>
      </c>
      <c r="H1374" s="18" t="str">
        <f t="shared" si="163"/>
        <v>CUPS</v>
      </c>
      <c r="I1374" s="19">
        <v>72</v>
      </c>
      <c r="J1374" s="20">
        <v>72</v>
      </c>
    </row>
    <row r="1375" spans="1:10" ht="15.75" thickBot="1" x14ac:dyDescent="0.3">
      <c r="A1375" t="s">
        <v>31</v>
      </c>
      <c r="B1375" s="15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FS0103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FS0103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5" s="15"/>
      <c r="D1375" s="16" t="str">
        <f>"FS0103"</f>
        <v>FS0103</v>
      </c>
      <c r="E1375" s="16">
        <v>10000</v>
      </c>
      <c r="F1375" s="16" t="str">
        <f t="shared" si="166"/>
        <v>ISCU004</v>
      </c>
      <c r="G1375" s="17" t="str">
        <f>"Intermediary 4oz Cup - ORG Cinn Sauce - recipe 2"</f>
        <v>Intermediary 4oz Cup - ORG Cinn Sauce - recipe 2</v>
      </c>
      <c r="H1375" s="18" t="str">
        <f t="shared" si="163"/>
        <v>CUPS</v>
      </c>
      <c r="I1375" s="19">
        <v>72</v>
      </c>
      <c r="J1375" s="20">
        <v>72</v>
      </c>
    </row>
    <row r="1376" spans="1:10" ht="15.75" thickBot="1" x14ac:dyDescent="0.3">
      <c r="A1376" t="s">
        <v>31</v>
      </c>
      <c r="B1376" s="15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FS0108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FS0108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6" s="15"/>
      <c r="D1376" s="16" t="str">
        <f>"FS0108"</f>
        <v>FS0108</v>
      </c>
      <c r="E1376" s="16">
        <v>10000</v>
      </c>
      <c r="F1376" s="16" t="str">
        <f t="shared" si="166"/>
        <v>ISCU004</v>
      </c>
      <c r="G1376" s="17" t="str">
        <f>"Intermediary 4oz Cup - ORG Cinn Sauce - recipe 2"</f>
        <v>Intermediary 4oz Cup - ORG Cinn Sauce - recipe 2</v>
      </c>
      <c r="H1376" s="18" t="str">
        <f t="shared" si="163"/>
        <v>CUPS</v>
      </c>
      <c r="I1376" s="19">
        <v>72</v>
      </c>
      <c r="J1376" s="20">
        <v>72</v>
      </c>
    </row>
    <row r="1377" spans="1:10" ht="15.75" thickBot="1" x14ac:dyDescent="0.3">
      <c r="A1377" t="s">
        <v>31</v>
      </c>
      <c r="B1377" s="15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Z-FS0093"",""14"",""72.00000000000000"&amp;"000000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Z-FS0093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7" s="15"/>
      <c r="D1377" s="16" t="str">
        <f>"Z-FS0093"</f>
        <v>Z-FS0093</v>
      </c>
      <c r="E1377" s="16">
        <v>10000</v>
      </c>
      <c r="F1377" s="16" t="str">
        <f t="shared" si="166"/>
        <v>ISCU004</v>
      </c>
      <c r="G1377" s="17" t="str">
        <f>"Intermediary 4oz Cup - ORG Cinn Sauce - recipe 2"</f>
        <v>Intermediary 4oz Cup - ORG Cinn Sauce - recipe 2</v>
      </c>
      <c r="H1377" s="18" t="str">
        <f t="shared" si="163"/>
        <v>CUPS</v>
      </c>
      <c r="I1377" s="19">
        <v>72</v>
      </c>
      <c r="J1377" s="20">
        <v>72</v>
      </c>
    </row>
    <row r="1378" spans="1:10" ht="15.75" thickBot="1" x14ac:dyDescent="0.3">
      <c r="A1378" t="s">
        <v>31</v>
      </c>
      <c r="B1378" s="15" t="str">
        <f>"""Manzana NAV"",""MANZANA"",""99000772"",""44"","" "",""22"",""False"",""43"",""0.00000000000000000000"",""12"",""Intermediary 4oz Cup - ORG Cinnamon CADIA"",""50220"",""False"",""29"","""",""50210"",""True"",""18"","""",""11"",""ISCU021"",""2"",""10000"",""1"",""FS0081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Cinnamon CADIA","50220","False","29","","50210","True","18","","11","ISCU021","2","10000","1","FS0081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8" s="15"/>
      <c r="D1378" s="16" t="str">
        <f>"FS0081"</f>
        <v>FS0081</v>
      </c>
      <c r="E1378" s="16">
        <v>10000</v>
      </c>
      <c r="F1378" s="16" t="str">
        <f>"ISCU021"</f>
        <v>ISCU021</v>
      </c>
      <c r="G1378" s="17" t="str">
        <f>"Intermediary 4oz Cup - ORG Cinnamon CADIA"</f>
        <v>Intermediary 4oz Cup - ORG Cinnamon CADIA</v>
      </c>
      <c r="H1378" s="18" t="str">
        <f t="shared" si="163"/>
        <v>CUPS</v>
      </c>
      <c r="I1378" s="19">
        <v>72</v>
      </c>
      <c r="J1378" s="20">
        <v>72</v>
      </c>
    </row>
    <row r="1379" spans="1:10" ht="15.75" thickBot="1" x14ac:dyDescent="0.3">
      <c r="A1379" t="s">
        <v>31</v>
      </c>
      <c r="B1379" s="15" t="str">
        <f>"""Manzana NAV"",""MANZANA"",""99000772"",""44"","" "",""22"",""False"",""43"",""0.00000000000000000000"",""12"",""Intermediary 4oz Cup - ORG Sweet Blend"",""50220"",""False"",""29"","""",""50210"",""True"",""18"","""",""11"",""ISCU018"",""2"",""10000"",""1"",""FS0110"",""14"",""72.00000000000000000000"",""45"""&amp;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Sweet Blend","50220","False","29","","50210","True","18","","11","ISCU018","2","10000","1","FS0110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9" s="15"/>
      <c r="D1379" s="16" t="str">
        <f>"FS0110"</f>
        <v>FS0110</v>
      </c>
      <c r="E1379" s="16">
        <v>10000</v>
      </c>
      <c r="F1379" s="16" t="str">
        <f>"ISCU018"</f>
        <v>ISCU018</v>
      </c>
      <c r="G1379" s="17" t="str">
        <f>"Intermediary 4oz Cup - ORG Sweet Blend"</f>
        <v>Intermediary 4oz Cup - ORG Sweet Blend</v>
      </c>
      <c r="H1379" s="18" t="str">
        <f t="shared" si="163"/>
        <v>CUPS</v>
      </c>
      <c r="I1379" s="19">
        <v>72</v>
      </c>
      <c r="J1379" s="20">
        <v>72</v>
      </c>
    </row>
    <row r="1380" spans="1:10" ht="15.75" thickBot="1" x14ac:dyDescent="0.3">
      <c r="A1380" t="s">
        <v>31</v>
      </c>
      <c r="B1380" s="15" t="str">
        <f>"""Manzana NAV"",""MANZANA"",""99000772"",""44"","" "",""22"",""False"",""43"",""0.00000000000000000000"",""12"",""Intermediary 4oz Cup - ORG Sweet Blend - CTL MKT"",""50220"",""False"",""29"","""",""50210"",""True"",""18"","""",""11"",""ISCU012"",""2"",""10000"",""1"",""FS0084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Sweet Blend - CTL MKT","50220","False","29","","50210","True","18","","11","ISCU012","2","10000","1","FS0084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80" s="15"/>
      <c r="D1380" s="16" t="str">
        <f>"FS0084"</f>
        <v>FS0084</v>
      </c>
      <c r="E1380" s="16">
        <v>10000</v>
      </c>
      <c r="F1380" s="16" t="str">
        <f>"ISCU012"</f>
        <v>ISCU012</v>
      </c>
      <c r="G1380" s="17" t="str">
        <f>"Intermediary 4oz Cup - ORG Sweet Blend - CTL MKT"</f>
        <v>Intermediary 4oz Cup - ORG Sweet Blend - CTL MKT</v>
      </c>
      <c r="H1380" s="18" t="str">
        <f t="shared" si="163"/>
        <v>CUPS</v>
      </c>
      <c r="I1380" s="19">
        <v>72</v>
      </c>
      <c r="J1380" s="20">
        <v>72</v>
      </c>
    </row>
    <row r="1381" spans="1:10" ht="15.75" thickBot="1" x14ac:dyDescent="0.3">
      <c r="A1381" t="s">
        <v>31</v>
      </c>
      <c r="B1381" s="15" t="str">
        <f>"""Manzana NAV"",""MANZANA"",""99000772"",""44"","" "",""22"",""False"",""43"",""0.00000000000000000000"",""12"",""Intermediary 4oz Cup - ORG Sweet Blend CADIA"",""50220"",""False"",""29"","""",""50210"",""True"",""18"","""",""11"",""ISCU020"",""2"",""50000"",""1"",""FS0080"",""14"",""72.00000000000000000000"&amp;"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Sweet Blend CADIA","50220","False","29","","50210","True","18","","11","ISCU020","2","50000","1","FS0080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81" s="15"/>
      <c r="D1381" s="16" t="str">
        <f>"FS0080"</f>
        <v>FS0080</v>
      </c>
      <c r="E1381" s="16">
        <v>50000</v>
      </c>
      <c r="F1381" s="16" t="str">
        <f>"ISCU020"</f>
        <v>ISCU020</v>
      </c>
      <c r="G1381" s="17" t="str">
        <f>"Intermediary 4oz Cup - ORG Sweet Blend CADIA"</f>
        <v>Intermediary 4oz Cup - ORG Sweet Blend CADIA</v>
      </c>
      <c r="H1381" s="18" t="str">
        <f t="shared" si="163"/>
        <v>CUPS</v>
      </c>
      <c r="I1381" s="19">
        <v>72</v>
      </c>
      <c r="J1381" s="20">
        <v>72</v>
      </c>
    </row>
    <row r="1382" spans="1:10" ht="15.75" thickBot="1" x14ac:dyDescent="0.3">
      <c r="A1382" t="s">
        <v>31</v>
      </c>
      <c r="B1382" s="15" t="str">
        <f>"""Manzana NAV"",""MANZANA"",""99000772"",""44"","" "",""22"",""False"",""43"",""0.00000000000000000000"",""12"",""LBL BERNIES.BEST ORG Blend Apple Sauce 12/24oz"",""50220"",""False"",""29"","""",""50210"",""False"",""18"","""",""11"",""LS0064"",""2"",""20000"",""1"",""FS0064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Blend Apple Sauce 12/24oz","50220","False","29","","50210","False","18","","11","LS0064","2","20000","1","FS0064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2" s="15"/>
      <c r="D1382" s="16" t="str">
        <f>"FS0064"</f>
        <v>FS0064</v>
      </c>
      <c r="E1382" s="16">
        <v>20000</v>
      </c>
      <c r="F1382" s="16" t="str">
        <f>"LS0064"</f>
        <v>LS0064</v>
      </c>
      <c r="G1382" s="17" t="str">
        <f>"LBL BERNIES.BEST ORG Blend Apple Sauce 12/24oz"</f>
        <v>LBL BERNIES.BEST ORG Blend Apple Sauce 12/24oz</v>
      </c>
      <c r="H1382" s="18" t="str">
        <f t="shared" ref="H1382:H1445" si="168">"LABELS"</f>
        <v>LABELS</v>
      </c>
      <c r="I1382" s="19">
        <v>12</v>
      </c>
      <c r="J1382" s="20">
        <v>12</v>
      </c>
    </row>
    <row r="1383" spans="1:10" ht="15.75" thickBot="1" x14ac:dyDescent="0.3">
      <c r="A1383" t="s">
        <v>31</v>
      </c>
      <c r="B1383" s="15" t="str">
        <f>"""Manzana NAV"",""MANZANA"",""99000772"",""44"","" "",""22"",""False"",""43"",""0.00000000000000000000"",""12"",""LBL BERNIES.BEST ORG Blend Apple Sauce 12/24oz"",""50220"",""False"",""29"","""",""50210"",""False"",""18"","""",""11"",""LS0064"",""2"",""20000"",""1"",""FS0064B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Blend Apple Sauce 12/24oz","50220","False","29","","50210","False","18","","11","LS0064","2","20000","1","FS0064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3" s="15"/>
      <c r="D1383" s="16" t="str">
        <f>"FS0064B"</f>
        <v>FS0064B</v>
      </c>
      <c r="E1383" s="16">
        <v>20000</v>
      </c>
      <c r="F1383" s="16" t="str">
        <f>"LS0064"</f>
        <v>LS0064</v>
      </c>
      <c r="G1383" s="17" t="str">
        <f>"LBL BERNIES.BEST ORG Blend Apple Sauce 12/24oz"</f>
        <v>LBL BERNIES.BEST ORG Blend Apple Sauce 12/24oz</v>
      </c>
      <c r="H1383" s="18" t="str">
        <f t="shared" si="168"/>
        <v>LABELS</v>
      </c>
      <c r="I1383" s="19">
        <v>12</v>
      </c>
      <c r="J1383" s="20">
        <v>12</v>
      </c>
    </row>
    <row r="1384" spans="1:10" ht="15.75" thickBot="1" x14ac:dyDescent="0.3">
      <c r="A1384" t="s">
        <v>31</v>
      </c>
      <c r="B1384" s="15" t="str">
        <f>"""Manzana NAV"",""MANZANA"",""99000772"",""44"","" "",""22"",""False"",""43"",""0.00000000000000000000"",""12"",""LBL BERNIES.BEST ORG Grav Apple Sauce 12/24oz"",""50220"",""False"",""29"","""",""50210"",""False"",""18"","""",""11"",""LS0065"",""2"",""20000"",""1"",""FS0065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Grav Apple Sauce 12/24oz","50220","False","29","","50210","False","18","","11","LS0065","2","20000","1","FS0065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4" s="15"/>
      <c r="D1384" s="16" t="str">
        <f>"FS0065"</f>
        <v>FS0065</v>
      </c>
      <c r="E1384" s="16">
        <v>20000</v>
      </c>
      <c r="F1384" s="16" t="str">
        <f>"LS0065"</f>
        <v>LS0065</v>
      </c>
      <c r="G1384" s="17" t="str">
        <f>"LBL BERNIES.BEST ORG Grav Apple Sauce 12/24oz"</f>
        <v>LBL BERNIES.BEST ORG Grav Apple Sauce 12/24oz</v>
      </c>
      <c r="H1384" s="18" t="str">
        <f t="shared" si="168"/>
        <v>LABELS</v>
      </c>
      <c r="I1384" s="19">
        <v>12</v>
      </c>
      <c r="J1384" s="20">
        <v>12</v>
      </c>
    </row>
    <row r="1385" spans="1:10" ht="15.75" thickBot="1" x14ac:dyDescent="0.3">
      <c r="A1385" t="s">
        <v>31</v>
      </c>
      <c r="B1385" s="15" t="str">
        <f>"""Manzana NAV"",""MANZANA"",""99000772"",""44"","" "",""22"",""False"",""43"",""0.00000000000000000000"",""12"",""LBL BERNIES.BEST ORG Grav Apple Sauce 12/24oz"",""50220"",""False"",""29"","""",""50210"",""False"",""18"","""",""11"",""LS0065"",""2"",""20000"",""1"",""FS0065B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Grav Apple Sauce 12/24oz","50220","False","29","","50210","False","18","","11","LS0065","2","20000","1","FS0065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5" s="15"/>
      <c r="D1385" s="16" t="str">
        <f>"FS0065B"</f>
        <v>FS0065B</v>
      </c>
      <c r="E1385" s="16">
        <v>20000</v>
      </c>
      <c r="F1385" s="16" t="str">
        <f>"LS0065"</f>
        <v>LS0065</v>
      </c>
      <c r="G1385" s="17" t="str">
        <f>"LBL BERNIES.BEST ORG Grav Apple Sauce 12/24oz"</f>
        <v>LBL BERNIES.BEST ORG Grav Apple Sauce 12/24oz</v>
      </c>
      <c r="H1385" s="18" t="str">
        <f t="shared" si="168"/>
        <v>LABELS</v>
      </c>
      <c r="I1385" s="19">
        <v>12</v>
      </c>
      <c r="J1385" s="20">
        <v>12</v>
      </c>
    </row>
    <row r="1386" spans="1:10" ht="15.75" thickBot="1" x14ac:dyDescent="0.3">
      <c r="A1386" t="s">
        <v>31</v>
      </c>
      <c r="B1386" s="15" t="str">
        <f>"""Manzana NAV"",""MANZANA"",""99000772"",""44"","" "",""22"",""False"",""43"",""0.00000000000000000000"",""12"",""LBL BERNIES.BEST ORG GRAV Cider 12/32oz"",""50220"",""False"",""29"","""",""50210"",""False"",""18"","""",""11"",""LJ0172"",""2"",""10000"",""1"",""FJ0127B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GRAV Cider 12/32oz","50220","False","29","","50210","False","18","","11","LJ0172","2","10000","1","FJ0127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6" s="15"/>
      <c r="D1386" s="16" t="str">
        <f>"FJ0127B"</f>
        <v>FJ0127B</v>
      </c>
      <c r="E1386" s="16">
        <v>10000</v>
      </c>
      <c r="F1386" s="16" t="str">
        <f>"LJ0172"</f>
        <v>LJ0172</v>
      </c>
      <c r="G1386" s="17" t="str">
        <f>"LBL BERNIES.BEST ORG GRAV Cider 12/32oz"</f>
        <v>LBL BERNIES.BEST ORG GRAV Cider 12/32oz</v>
      </c>
      <c r="H1386" s="18" t="str">
        <f t="shared" si="168"/>
        <v>LABELS</v>
      </c>
      <c r="I1386" s="19">
        <v>12</v>
      </c>
      <c r="J1386" s="20">
        <v>12</v>
      </c>
    </row>
    <row r="1387" spans="1:10" ht="15.75" thickBot="1" x14ac:dyDescent="0.3">
      <c r="A1387" t="s">
        <v>31</v>
      </c>
      <c r="B1387" s="15" t="str">
        <f>"""Manzana NAV"",""MANZANA"",""99000772"",""44"","" "",""22"",""False"",""43"",""0.00000000000000000000"",""12"",""LBL BOYS.FARMERS.MARKET ORG Blend Sauce 12/24oz"",""50220"",""False"",""29"","""",""50210"",""False"",""18"","""",""11"",""LS0178"",""2"",""20000"",""1"",""FS0178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BOYS.FARMERS.MARKET ORG Blend Sauce 12/24oz","50220","False","29","","50210","False","18","","11","LS0178","2","20000","1","FS0178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7" s="15"/>
      <c r="D1387" s="16" t="str">
        <f>"FS0178"</f>
        <v>FS0178</v>
      </c>
      <c r="E1387" s="16">
        <v>20000</v>
      </c>
      <c r="F1387" s="16" t="str">
        <f>"LS0178"</f>
        <v>LS0178</v>
      </c>
      <c r="G1387" s="17" t="str">
        <f>"LBL BOYS.FARMERS.MARKET ORG Blend Sauce 12/24oz"</f>
        <v>LBL BOYS.FARMERS.MARKET ORG Blend Sauce 12/24oz</v>
      </c>
      <c r="H1387" s="18" t="str">
        <f t="shared" si="168"/>
        <v>LABELS</v>
      </c>
      <c r="I1387" s="19">
        <v>12</v>
      </c>
      <c r="J1387" s="20">
        <v>12</v>
      </c>
    </row>
    <row r="1388" spans="1:10" ht="15.75" thickBot="1" x14ac:dyDescent="0.3">
      <c r="A1388" t="s">
        <v>31</v>
      </c>
      <c r="B1388" s="15" t="str">
        <f>"""Manzana NAV"",""MANZANA"",""99000772"",""44"","" "",""22"",""False"",""43"",""0.00000000000000000000"",""12"",""LBL BROOK ORG AC Vinegar 12/16oz"",""50220"",""False"",""29"","""",""50210"",""False"",""18"","""",""11"",""LV0044"",""2"",""10000"",""1"",""FV0044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BROOK ORG AC Vinegar 12/16oz","50220","False","29","","50210","False","18","","11","LV0044","2","10000","1","FV0044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8" s="15"/>
      <c r="D1388" s="16" t="str">
        <f>"FV0044"</f>
        <v>FV0044</v>
      </c>
      <c r="E1388" s="16">
        <v>10000</v>
      </c>
      <c r="F1388" s="16" t="str">
        <f>"LV0044"</f>
        <v>LV0044</v>
      </c>
      <c r="G1388" s="17" t="str">
        <f>"LBL BROOK ORG AC Vinegar 12/16oz"</f>
        <v>LBL BROOK ORG AC Vinegar 12/16oz</v>
      </c>
      <c r="H1388" s="18" t="str">
        <f t="shared" si="168"/>
        <v>LABELS</v>
      </c>
      <c r="I1388" s="19">
        <v>12</v>
      </c>
      <c r="J1388" s="20">
        <v>12</v>
      </c>
    </row>
    <row r="1389" spans="1:10" ht="15.75" thickBot="1" x14ac:dyDescent="0.3">
      <c r="A1389" t="s">
        <v>31</v>
      </c>
      <c r="B1389" s="15" t="str">
        <f>"""Manzana NAV"",""MANZANA"",""99000772"",""44"","" "",""22"",""False"",""43"",""0.00000000000000000000"",""12"",""LBL BROOKS ORG Vinegar 12/32oz"",""50220"",""False"",""29"","""",""50210"",""False"",""18"","""",""11"",""LV0041"",""2"",""10000"",""1"",""FV0041"",""14"",""12.00000000000000000000"",""45"",""12.000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BROOKS ORG Vinegar 12/32oz","50220","False","29","","50210","False","18","","11","LV0041","2","10000","1","FV0041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9" s="15"/>
      <c r="D1389" s="16" t="str">
        <f>"FV0041"</f>
        <v>FV0041</v>
      </c>
      <c r="E1389" s="16">
        <v>10000</v>
      </c>
      <c r="F1389" s="16" t="str">
        <f>"LV0041"</f>
        <v>LV0041</v>
      </c>
      <c r="G1389" s="17" t="str">
        <f>"LBL BROOKS ORG Vinegar 12/32oz"</f>
        <v>LBL BROOKS ORG Vinegar 12/32oz</v>
      </c>
      <c r="H1389" s="18" t="str">
        <f t="shared" si="168"/>
        <v>LABELS</v>
      </c>
      <c r="I1389" s="19">
        <v>12</v>
      </c>
      <c r="J1389" s="20">
        <v>12</v>
      </c>
    </row>
    <row r="1390" spans="1:10" ht="15.75" thickBot="1" x14ac:dyDescent="0.3">
      <c r="A1390" t="s">
        <v>31</v>
      </c>
      <c r="B1390" s="15" t="str">
        <f>"""Manzana NAV"",""MANZANA"",""99000772"",""44"","" "",""22"",""False"",""43"",""0.00000000000000000000"",""12"",""LBL BROWN.SUGAR.1ST ORG Unsweetd Apple Sce 12/24oz"",""50220"",""False"",""29"","""",""50210"",""False"",""18"","""",""11"",""LS0183"",""2"",""20000"",""1"",""FS0183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BROWN.SUGAR.1ST ORG Unsweetd Apple Sce 12/24oz","50220","False","29","","50210","False","18","","11","LS0183","2","20000","1","FS0183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0" s="15"/>
      <c r="D1390" s="16" t="str">
        <f>"FS0183"</f>
        <v>FS0183</v>
      </c>
      <c r="E1390" s="16">
        <v>20000</v>
      </c>
      <c r="F1390" s="16" t="str">
        <f>"LS0183"</f>
        <v>LS0183</v>
      </c>
      <c r="G1390" s="17" t="str">
        <f>"LBL BROWN.SUGAR.1ST ORG Unsweetd Apple Sce 12/24oz"</f>
        <v>LBL BROWN.SUGAR.1ST ORG Unsweetd Apple Sce 12/24oz</v>
      </c>
      <c r="H1390" s="18" t="str">
        <f t="shared" si="168"/>
        <v>LABELS</v>
      </c>
      <c r="I1390" s="19">
        <v>12</v>
      </c>
      <c r="J1390" s="20">
        <v>12</v>
      </c>
    </row>
    <row r="1391" spans="1:10" ht="15.75" thickBot="1" x14ac:dyDescent="0.3">
      <c r="A1391" t="s">
        <v>31</v>
      </c>
      <c r="B1391" s="15" t="str">
        <f>"""Manzana NAV"",""MANZANA"",""99000772"",""44"","" "",""22"",""False"",""43"",""0.00000000000000000000"",""12"",""LBL CADIA ORG Berry Apple Sauce 12/24oz"",""50220"",""False"",""29"","""",""50210"",""False"",""18"","""",""11"",""LS0033"",""2"",""20000"",""1"",""FS0033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Berry Apple Sauce 12/24oz","50220","False","29","","50210","False","18","","11","LS0033","2","20000","1","FS0033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1" s="15"/>
      <c r="D1391" s="16" t="str">
        <f>"FS0033"</f>
        <v>FS0033</v>
      </c>
      <c r="E1391" s="16">
        <v>20000</v>
      </c>
      <c r="F1391" s="16" t="str">
        <f>"LS0033"</f>
        <v>LS0033</v>
      </c>
      <c r="G1391" s="17" t="str">
        <f>"LBL CADIA ORG Berry Apple Sauce 12/24oz"</f>
        <v>LBL CADIA ORG Berry Apple Sauce 12/24oz</v>
      </c>
      <c r="H1391" s="18" t="str">
        <f t="shared" si="168"/>
        <v>LABELS</v>
      </c>
      <c r="I1391" s="19">
        <v>12</v>
      </c>
      <c r="J1391" s="20">
        <v>12</v>
      </c>
    </row>
    <row r="1392" spans="1:10" ht="15.75" thickBot="1" x14ac:dyDescent="0.3">
      <c r="A1392" t="s">
        <v>31</v>
      </c>
      <c r="B1392" s="15" t="str">
        <f>"""Manzana NAV"",""MANZANA"",""99000772"",""44"","" "",""22"",""False"",""43"",""0.00000000000000000000"",""12"",""LBL CADIA ORG Blend Juice 4/128oz"",""50220"",""False"",""29"","""",""50210"",""False"",""18"","""",""11"",""LJ0020"",""2"",""5000"",""1"",""FJ0020"",""14"",""4.00000000000000000000"",""45"",""4.000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Blend Juice 4/128oz","50220","False","29","","50210","False","18","","11","LJ0020","2","5000","1","FJ0020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392" s="15"/>
      <c r="D1392" s="16" t="str">
        <f>"FJ0020"</f>
        <v>FJ0020</v>
      </c>
      <c r="E1392" s="16">
        <v>5000</v>
      </c>
      <c r="F1392" s="16" t="str">
        <f>"LJ0020"</f>
        <v>LJ0020</v>
      </c>
      <c r="G1392" s="17" t="str">
        <f>"LBL CADIA ORG Blend Juice 4/128oz"</f>
        <v>LBL CADIA ORG Blend Juice 4/128oz</v>
      </c>
      <c r="H1392" s="18" t="str">
        <f t="shared" si="168"/>
        <v>LABELS</v>
      </c>
      <c r="I1392" s="19">
        <v>4</v>
      </c>
      <c r="J1392" s="20">
        <v>4</v>
      </c>
    </row>
    <row r="1393" spans="1:10" ht="15.75" thickBot="1" x14ac:dyDescent="0.3">
      <c r="A1393" t="s">
        <v>31</v>
      </c>
      <c r="B1393" s="15" t="str">
        <f>"""Manzana NAV"",""MANZANA"",""99000772"",""44"","" "",""22"",""False"",""43"",""0.00000000000000000000"",""12"",""LBL CADIA ORG Cinn Apple Sauce 12/24oz"",""50220"",""False"",""29"","""",""50210"",""False"",""18"","""",""11"",""LS0032"",""2"",""15000"",""1"",""FS0032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Cinn Apple Sauce 12/24oz","50220","False","29","","50210","False","18","","11","LS0032","2","15000","1","FS0032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3" s="15"/>
      <c r="D1393" s="16" t="str">
        <f>"FS0032"</f>
        <v>FS0032</v>
      </c>
      <c r="E1393" s="16">
        <v>15000</v>
      </c>
      <c r="F1393" s="16" t="str">
        <f>"LS0032"</f>
        <v>LS0032</v>
      </c>
      <c r="G1393" s="17" t="str">
        <f>"LBL CADIA ORG Cinn Apple Sauce 12/24oz"</f>
        <v>LBL CADIA ORG Cinn Apple Sauce 12/24oz</v>
      </c>
      <c r="H1393" s="18" t="str">
        <f t="shared" si="168"/>
        <v>LABELS</v>
      </c>
      <c r="I1393" s="19">
        <v>12</v>
      </c>
      <c r="J1393" s="20">
        <v>12</v>
      </c>
    </row>
    <row r="1394" spans="1:10" ht="15.75" thickBot="1" x14ac:dyDescent="0.3">
      <c r="A1394" t="s">
        <v>31</v>
      </c>
      <c r="B1394" s="15" t="str">
        <f>"""Manzana NAV"",""MANZANA"",""99000772"",""44"","" "",""22"",""False"",""43"",""0.00000000000000000000"",""12"",""LBL CADIA ORG GRAV Apple Sauce 12/24oz"",""50220"",""False"",""29"","""",""50210"",""False"",""18"","""",""11"",""LS0034"",""2"",""20000"",""1"",""FS0034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GRAV Apple Sauce 12/24oz","50220","False","29","","50210","False","18","","11","LS0034","2","20000","1","FS0034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4" s="15"/>
      <c r="D1394" s="16" t="str">
        <f>"FS0034"</f>
        <v>FS0034</v>
      </c>
      <c r="E1394" s="16">
        <v>20000</v>
      </c>
      <c r="F1394" s="16" t="str">
        <f>"LS0034"</f>
        <v>LS0034</v>
      </c>
      <c r="G1394" s="17" t="str">
        <f>"LBL CADIA ORG GRAV Apple Sauce 12/24oz"</f>
        <v>LBL CADIA ORG GRAV Apple Sauce 12/24oz</v>
      </c>
      <c r="H1394" s="18" t="str">
        <f t="shared" si="168"/>
        <v>LABELS</v>
      </c>
      <c r="I1394" s="19">
        <v>12</v>
      </c>
      <c r="J1394" s="20">
        <v>12</v>
      </c>
    </row>
    <row r="1395" spans="1:10" ht="15.75" thickBot="1" x14ac:dyDescent="0.3">
      <c r="A1395" t="s">
        <v>31</v>
      </c>
      <c r="B1395" s="15" t="str">
        <f>"""Manzana NAV"",""MANZANA"",""99000772"",""44"","" "",""22"",""False"",""43"",""0.00000000000000000000"",""12"",""LBL CADIA ORG Sweet Blend Apple Sauce 12/24oz"",""50220"",""False"",""29"","""",""50210"",""False"",""18"","""",""11"",""LS0035"",""2"",""20000"",""1"",""FS0035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Sweet Blend Apple Sauce 12/24oz","50220","False","29","","50210","False","18","","11","LS0035","2","20000","1","FS0035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5" s="15"/>
      <c r="D1395" s="16" t="str">
        <f>"FS0035"</f>
        <v>FS0035</v>
      </c>
      <c r="E1395" s="16">
        <v>20000</v>
      </c>
      <c r="F1395" s="16" t="str">
        <f>"LS0035"</f>
        <v>LS0035</v>
      </c>
      <c r="G1395" s="17" t="str">
        <f>"LBL CADIA ORG Sweet Blend Apple Sauce 12/24oz"</f>
        <v>LBL CADIA ORG Sweet Blend Apple Sauce 12/24oz</v>
      </c>
      <c r="H1395" s="18" t="str">
        <f t="shared" si="168"/>
        <v>LABELS</v>
      </c>
      <c r="I1395" s="19">
        <v>12</v>
      </c>
      <c r="J1395" s="20">
        <v>12</v>
      </c>
    </row>
    <row r="1396" spans="1:10" ht="15.75" thickBot="1" x14ac:dyDescent="0.3">
      <c r="A1396" t="s">
        <v>31</v>
      </c>
      <c r="B1396" s="15" t="str">
        <f>"""Manzana NAV"",""MANZANA"",""99000772"",""44"","" "",""22"",""False"",""43"",""0.00000000000000000000"",""12"",""LBL CADIA ORG Vinegar 12/16oz"",""50220"",""False"",""29"","""",""50210"",""False"",""18"","""",""11"",""LV0005"",""2"",""10000"",""1"",""FV0005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Vinegar 12/16oz","50220","False","29","","50210","False","18","","11","LV0005","2","10000","1","FV0005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6" s="15"/>
      <c r="D1396" s="16" t="str">
        <f>"FV0005"</f>
        <v>FV0005</v>
      </c>
      <c r="E1396" s="16">
        <v>10000</v>
      </c>
      <c r="F1396" s="16" t="str">
        <f>"LV0005"</f>
        <v>LV0005</v>
      </c>
      <c r="G1396" s="17" t="str">
        <f>"LBL CADIA ORG Vinegar 12/16oz"</f>
        <v>LBL CADIA ORG Vinegar 12/16oz</v>
      </c>
      <c r="H1396" s="18" t="str">
        <f t="shared" si="168"/>
        <v>LABELS</v>
      </c>
      <c r="I1396" s="19">
        <v>12</v>
      </c>
      <c r="J1396" s="20">
        <v>12</v>
      </c>
    </row>
    <row r="1397" spans="1:10" ht="15.75" thickBot="1" x14ac:dyDescent="0.3">
      <c r="A1397" t="s">
        <v>31</v>
      </c>
      <c r="B1397" s="15" t="str">
        <f>"""Manzana NAV"",""MANZANA"",""99000772"",""44"","" "",""22"",""False"",""43"",""0.00000000000000000000"",""12"",""LBL CADIA ORG Vinegar 4/128oz"",""50220"",""False"",""29"","""",""50210"",""False"",""18"","""",""11"",""LV0036"",""2"",""10000"",""1"",""FV0036"",""14"",""4.00000000000000000000"",""45"",""4.000000"&amp;"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Vinegar 4/128oz","50220","False","29","","50210","False","18","","11","LV0036","2","10000","1","FV0036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397" s="15"/>
      <c r="D1397" s="16" t="str">
        <f>"FV0036"</f>
        <v>FV0036</v>
      </c>
      <c r="E1397" s="16">
        <v>10000</v>
      </c>
      <c r="F1397" s="16" t="str">
        <f>"LV0036"</f>
        <v>LV0036</v>
      </c>
      <c r="G1397" s="17" t="str">
        <f>"LBL CADIA ORG Vinegar 4/128oz"</f>
        <v>LBL CADIA ORG Vinegar 4/128oz</v>
      </c>
      <c r="H1397" s="18" t="str">
        <f t="shared" si="168"/>
        <v>LABELS</v>
      </c>
      <c r="I1397" s="19">
        <v>4</v>
      </c>
      <c r="J1397" s="20">
        <v>4</v>
      </c>
    </row>
    <row r="1398" spans="1:10" ht="15.75" thickBot="1" x14ac:dyDescent="0.3">
      <c r="A1398" t="s">
        <v>31</v>
      </c>
      <c r="B1398" s="15" t="str">
        <f>"""Manzana NAV"",""MANZANA"",""99000772"",""44"","" "",""22"",""False"",""43"",""0.00000000000000000000"",""12"",""LBL CENTRAL.MARKET ORG Blend Juice 4/128oz"",""50220"",""False"",""29"","""",""50210"",""False"",""18"","""",""11"",""LJ0029"",""2"",""10000"",""1"",""FJ0029"",""14"",""4.00000000000000000000"","""&amp;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CENTRAL.MARKET ORG Blend Juice 4/128oz","50220","False","29","","50210","False","18","","11","LJ0029","2","10000","1","FJ0029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398" s="15"/>
      <c r="D1398" s="16" t="str">
        <f>"FJ0029"</f>
        <v>FJ0029</v>
      </c>
      <c r="E1398" s="16">
        <v>10000</v>
      </c>
      <c r="F1398" s="16" t="str">
        <f>"LJ0029"</f>
        <v>LJ0029</v>
      </c>
      <c r="G1398" s="17" t="str">
        <f>"LBL CENTRAL.MARKET ORG Blend Juice 4/128oz"</f>
        <v>LBL CENTRAL.MARKET ORG Blend Juice 4/128oz</v>
      </c>
      <c r="H1398" s="18" t="str">
        <f t="shared" si="168"/>
        <v>LABELS</v>
      </c>
      <c r="I1398" s="19">
        <v>4</v>
      </c>
      <c r="J1398" s="20">
        <v>4</v>
      </c>
    </row>
    <row r="1399" spans="1:10" ht="15.75" thickBot="1" x14ac:dyDescent="0.3">
      <c r="A1399" t="s">
        <v>31</v>
      </c>
      <c r="B1399" s="15" t="str">
        <f>"""Manzana NAV"",""MANZANA"",""99000772"",""44"","" "",""22"",""False"",""43"",""0.00000000000000000000"",""12"",""LBL CENTRAL.MARKET ORG Grape Juice 12/32oz"",""50220"",""False"",""29"","""",""50210"",""False"",""18"","""",""11"",""LJ0109"",""2"",""10000"",""1"",""FJ0109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CENTRAL.MARKET ORG Grape Juice 12/32oz","50220","False","29","","50210","False","18","","11","LJ0109","2","10000","1","FJ0109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9" s="15"/>
      <c r="D1399" s="16" t="str">
        <f>"FJ0109"</f>
        <v>FJ0109</v>
      </c>
      <c r="E1399" s="16">
        <v>10000</v>
      </c>
      <c r="F1399" s="16" t="str">
        <f>"LJ0109"</f>
        <v>LJ0109</v>
      </c>
      <c r="G1399" s="17" t="str">
        <f>"LBL CENTRAL.MARKET ORG Grape Juice 12/32oz"</f>
        <v>LBL CENTRAL.MARKET ORG Grape Juice 12/32oz</v>
      </c>
      <c r="H1399" s="18" t="str">
        <f t="shared" si="168"/>
        <v>LABELS</v>
      </c>
      <c r="I1399" s="19">
        <v>12</v>
      </c>
      <c r="J1399" s="20">
        <v>12</v>
      </c>
    </row>
    <row r="1400" spans="1:10" ht="15.75" thickBot="1" x14ac:dyDescent="0.3">
      <c r="A1400" t="s">
        <v>31</v>
      </c>
      <c r="B1400" s="15" t="str">
        <f>"""Manzana NAV"",""MANZANA"",""99000772"",""44"","" "",""22"",""False"",""43"",""0.00000000000000000000"",""12"",""LBL CENTRAL.MARKET ORG HCrisp Juice 12/32oz"",""50220"",""False"",""29"","""",""50210"",""False"",""18"","""",""11"",""LJ0028"",""2"",""5000"",""1"",""FJ0028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CENTRAL.MARKET ORG HCrisp Juice 12/32oz","50220","False","29","","50210","False","18","","11","LJ0028","2","5000","1","FJ0028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0" s="15"/>
      <c r="D1400" s="16" t="str">
        <f>"FJ0028"</f>
        <v>FJ0028</v>
      </c>
      <c r="E1400" s="16">
        <v>5000</v>
      </c>
      <c r="F1400" s="16" t="str">
        <f>"LJ0028"</f>
        <v>LJ0028</v>
      </c>
      <c r="G1400" s="17" t="str">
        <f>"LBL CENTRAL.MARKET ORG HCrisp Juice 12/32oz"</f>
        <v>LBL CENTRAL.MARKET ORG HCrisp Juice 12/32oz</v>
      </c>
      <c r="H1400" s="18" t="str">
        <f t="shared" si="168"/>
        <v>LABELS</v>
      </c>
      <c r="I1400" s="19">
        <v>12</v>
      </c>
      <c r="J1400" s="20">
        <v>12</v>
      </c>
    </row>
    <row r="1401" spans="1:10" ht="15.75" thickBot="1" x14ac:dyDescent="0.3">
      <c r="A1401" t="s">
        <v>31</v>
      </c>
      <c r="B1401" s="15" t="str">
        <f>"""Manzana NAV"",""MANZANA"",""99000772"",""44"","" "",""22"",""False"",""43"",""0.00000000000000000000"",""12"",""LBL EARTH.FARE NAT Blend Apple Sauce 12/33oz"",""50220"",""False"",""29"","""",""50210"",""False"",""18"","""",""11"",""LS0039"",""2"",""30000"",""1"",""FS0039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NAT Blend Apple Sauce 12/33oz","50220","False","29","","50210","False","18","","11","LS0039","2","30000","1","FS0039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1" s="15"/>
      <c r="D1401" s="16" t="str">
        <f>"FS0039"</f>
        <v>FS0039</v>
      </c>
      <c r="E1401" s="16">
        <v>30000</v>
      </c>
      <c r="F1401" s="16" t="str">
        <f>"LS0039"</f>
        <v>LS0039</v>
      </c>
      <c r="G1401" s="17" t="str">
        <f>"LBL EARTH.FARE NAT Blend Apple Sauce 12/33oz"</f>
        <v>LBL EARTH.FARE NAT Blend Apple Sauce 12/33oz</v>
      </c>
      <c r="H1401" s="18" t="str">
        <f t="shared" si="168"/>
        <v>LABELS</v>
      </c>
      <c r="I1401" s="19">
        <v>12</v>
      </c>
      <c r="J1401" s="20">
        <v>12</v>
      </c>
    </row>
    <row r="1402" spans="1:10" ht="15.75" thickBot="1" x14ac:dyDescent="0.3">
      <c r="A1402" t="s">
        <v>31</v>
      </c>
      <c r="B1402" s="15" t="str">
        <f>"""Manzana NAV"",""MANZANA"",""99000772"",""44"","" "",""22"",""False"",""43"",""0.00000000000000000000"",""12"",""LBL EARTH.FARE ORG Blend Apple Sauce 12/24oz"",""50220"",""False"",""29"","""",""50210"",""False"",""18"","""",""11"",""LS0037"",""2"",""20000"",""1"",""FS0037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Blend Apple Sauce 12/24oz","50220","False","29","","50210","False","18","","11","LS0037","2","20000","1","FS0037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2" s="15"/>
      <c r="D1402" s="16" t="str">
        <f>"FS0037"</f>
        <v>FS0037</v>
      </c>
      <c r="E1402" s="16">
        <v>20000</v>
      </c>
      <c r="F1402" s="16" t="str">
        <f>"LS0037"</f>
        <v>LS0037</v>
      </c>
      <c r="G1402" s="17" t="str">
        <f>"LBL EARTH.FARE ORG Blend Apple Sauce 12/24oz"</f>
        <v>LBL EARTH.FARE ORG Blend Apple Sauce 12/24oz</v>
      </c>
      <c r="H1402" s="18" t="str">
        <f t="shared" si="168"/>
        <v>LABELS</v>
      </c>
      <c r="I1402" s="19">
        <v>12</v>
      </c>
      <c r="J1402" s="20">
        <v>12</v>
      </c>
    </row>
    <row r="1403" spans="1:10" ht="15.75" thickBot="1" x14ac:dyDescent="0.3">
      <c r="A1403" t="s">
        <v>31</v>
      </c>
      <c r="B1403" s="15" t="str">
        <f>"""Manzana NAV"",""MANZANA"",""99000772"",""44"","" "",""22"",""False"",""43"",""0.00000000000000000000"",""12"",""LBL EARTH.FARE ORG Blend Juice 12/32oz"",""50220"",""False"",""29"","""",""50210"",""False"",""18"","""",""11"",""LJ0091"",""2"",""10000"",""1"",""FJ0091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Blend Juice 12/32oz","50220","False","29","","50210","False","18","","11","LJ0091","2","10000","1","FJ0091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3" s="15"/>
      <c r="D1403" s="16" t="str">
        <f>"FJ0091"</f>
        <v>FJ0091</v>
      </c>
      <c r="E1403" s="16">
        <v>10000</v>
      </c>
      <c r="F1403" s="16" t="str">
        <f>"LJ0091"</f>
        <v>LJ0091</v>
      </c>
      <c r="G1403" s="17" t="str">
        <f>"LBL EARTH.FARE ORG Blend Juice 12/32oz"</f>
        <v>LBL EARTH.FARE ORG Blend Juice 12/32oz</v>
      </c>
      <c r="H1403" s="18" t="str">
        <f t="shared" si="168"/>
        <v>LABELS</v>
      </c>
      <c r="I1403" s="19">
        <v>12</v>
      </c>
      <c r="J1403" s="20">
        <v>12</v>
      </c>
    </row>
    <row r="1404" spans="1:10" ht="15.75" thickBot="1" x14ac:dyDescent="0.3">
      <c r="A1404" t="s">
        <v>31</v>
      </c>
      <c r="B1404" s="15" t="str">
        <f>"""Manzana NAV"",""MANZANA"",""99000772"",""44"","" "",""22"",""False"",""43"",""0.00000000000000000000"",""12"",""LBL EARTH.FARE ORG Blend Juice 4/128oz"",""50220"",""False"",""29"","""",""50210"",""False"",""18"","""",""11"",""LJ0090"",""2"",""10000"",""1"",""FJ0090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Blend Juice 4/128oz","50220","False","29","","50210","False","18","","11","LJ0090","2","10000","1","FJ0090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04" s="15"/>
      <c r="D1404" s="16" t="str">
        <f>"FJ0090"</f>
        <v>FJ0090</v>
      </c>
      <c r="E1404" s="16">
        <v>10000</v>
      </c>
      <c r="F1404" s="16" t="str">
        <f>"LJ0090"</f>
        <v>LJ0090</v>
      </c>
      <c r="G1404" s="17" t="str">
        <f>"LBL EARTH.FARE ORG Blend Juice 4/128oz"</f>
        <v>LBL EARTH.FARE ORG Blend Juice 4/128oz</v>
      </c>
      <c r="H1404" s="18" t="str">
        <f t="shared" si="168"/>
        <v>LABELS</v>
      </c>
      <c r="I1404" s="19">
        <v>4</v>
      </c>
      <c r="J1404" s="20">
        <v>4</v>
      </c>
    </row>
    <row r="1405" spans="1:10" ht="15.75" thickBot="1" x14ac:dyDescent="0.3">
      <c r="A1405" t="s">
        <v>31</v>
      </c>
      <c r="B1405" s="15" t="str">
        <f>"""Manzana NAV"",""MANZANA"",""99000772"",""44"","" "",""22"",""False"",""43"",""0.00000000000000000000"",""12"",""LBL EARTH.FARE ORG Cinn Apple Sauce 12/24oz"",""50220"",""False"",""29"","""",""50210"",""False"",""18"","""",""11"",""LS0038"",""2"",""20000"",""1"",""FS0038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Cinn Apple Sauce 12/24oz","50220","False","29","","50210","False","18","","11","LS0038","2","20000","1","FS0038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5" s="15"/>
      <c r="D1405" s="16" t="str">
        <f>"FS0038"</f>
        <v>FS0038</v>
      </c>
      <c r="E1405" s="16">
        <v>20000</v>
      </c>
      <c r="F1405" s="16" t="str">
        <f>"LS0038"</f>
        <v>LS0038</v>
      </c>
      <c r="G1405" s="17" t="str">
        <f>"LBL EARTH.FARE ORG Cinn Apple Sauce 12/24oz"</f>
        <v>LBL EARTH.FARE ORG Cinn Apple Sauce 12/24oz</v>
      </c>
      <c r="H1405" s="18" t="str">
        <f t="shared" si="168"/>
        <v>LABELS</v>
      </c>
      <c r="I1405" s="19">
        <v>12</v>
      </c>
      <c r="J1405" s="20">
        <v>12</v>
      </c>
    </row>
    <row r="1406" spans="1:10" ht="15.75" thickBot="1" x14ac:dyDescent="0.3">
      <c r="A1406" t="s">
        <v>31</v>
      </c>
      <c r="B1406" s="15" t="str">
        <f>"""Manzana NAV"",""MANZANA"",""99000772"",""44"","" "",""22"",""False"",""43"",""0.00000000000000000000"",""12"",""LBL EARTHS CHOICE ORG Vinegar 12/16oz"",""50220"",""False"",""29"","""",""50210"",""False"",""18"","""",""11"",""LV0032"",""2"",""10000"",""1"",""FV0032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EARTHS CHOICE ORG Vinegar 12/16oz","50220","False","29","","50210","False","18","","11","LV0032","2","10000","1","FV0032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6" s="15"/>
      <c r="D1406" s="16" t="str">
        <f>"FV0032"</f>
        <v>FV0032</v>
      </c>
      <c r="E1406" s="16">
        <v>10000</v>
      </c>
      <c r="F1406" s="16" t="str">
        <f>"LV0032"</f>
        <v>LV0032</v>
      </c>
      <c r="G1406" s="17" t="str">
        <f>"LBL EARTHS CHOICE ORG Vinegar 12/16oz"</f>
        <v>LBL EARTHS CHOICE ORG Vinegar 12/16oz</v>
      </c>
      <c r="H1406" s="18" t="str">
        <f t="shared" si="168"/>
        <v>LABELS</v>
      </c>
      <c r="I1406" s="19">
        <v>12</v>
      </c>
      <c r="J1406" s="20">
        <v>12</v>
      </c>
    </row>
    <row r="1407" spans="1:10" ht="15.75" thickBot="1" x14ac:dyDescent="0.3">
      <c r="A1407" t="s">
        <v>31</v>
      </c>
      <c r="B1407" s="15" t="str">
        <f>"""Manzana NAV"",""MANZANA"",""99000772"",""44"","" "",""22"",""False"",""43"",""0.00000000000000000000"",""12"",""LBL EARTHS CHOICE ORG Vinegar 12/32oz"",""50220"",""False"",""29"","""",""50210"",""False"",""18"","""",""11"",""LV0031"",""2"",""20000"",""1"",""FV0031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EARTHS CHOICE ORG Vinegar 12/32oz","50220","False","29","","50210","False","18","","11","LV0031","2","20000","1","FV0031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7" s="15"/>
      <c r="D1407" s="16" t="str">
        <f>"FV0031"</f>
        <v>FV0031</v>
      </c>
      <c r="E1407" s="16">
        <v>20000</v>
      </c>
      <c r="F1407" s="16" t="str">
        <f>"LV0031"</f>
        <v>LV0031</v>
      </c>
      <c r="G1407" s="17" t="str">
        <f>"LBL EARTHS CHOICE ORG Vinegar 12/32oz"</f>
        <v>LBL EARTHS CHOICE ORG Vinegar 12/32oz</v>
      </c>
      <c r="H1407" s="18" t="str">
        <f t="shared" si="168"/>
        <v>LABELS</v>
      </c>
      <c r="I1407" s="19">
        <v>12</v>
      </c>
      <c r="J1407" s="20">
        <v>12</v>
      </c>
    </row>
    <row r="1408" spans="1:10" ht="15.75" thickBot="1" x14ac:dyDescent="0.3">
      <c r="A1408" t="s">
        <v>31</v>
      </c>
      <c r="B1408" s="15" t="str">
        <f>"""Manzana NAV"",""MANZANA"",""99000772"",""44"","" "",""22"",""False"",""43"",""0.00000000000000000000"",""12"",""LBL F.n.EASY NAT Blend Apple Sauce 12/24oz"",""50220"",""False"",""29"","""",""50210"",""False"",""18"","""",""11"",""Z-LS0042"",""2"",""20000"",""1"",""Z-FS0042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F.n.EASY NAT Blend Apple Sauce 12/24oz","50220","False","29","","50210","False","18","","11","Z-LS0042","2","20000","1","Z-FS0042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8" s="15"/>
      <c r="D1408" s="16" t="str">
        <f>"Z-FS0042"</f>
        <v>Z-FS0042</v>
      </c>
      <c r="E1408" s="16">
        <v>20000</v>
      </c>
      <c r="F1408" s="16" t="str">
        <f>"Z-LS0042"</f>
        <v>Z-LS0042</v>
      </c>
      <c r="G1408" s="17" t="str">
        <f>"LBL F.n.EASY NAT Blend Apple Sauce 12/24oz"</f>
        <v>LBL F.n.EASY NAT Blend Apple Sauce 12/24oz</v>
      </c>
      <c r="H1408" s="18" t="str">
        <f t="shared" si="168"/>
        <v>LABELS</v>
      </c>
      <c r="I1408" s="19">
        <v>12</v>
      </c>
      <c r="J1408" s="20">
        <v>12</v>
      </c>
    </row>
    <row r="1409" spans="1:10" ht="15.75" thickBot="1" x14ac:dyDescent="0.3">
      <c r="A1409" t="s">
        <v>31</v>
      </c>
      <c r="B1409" s="15" t="str">
        <f>"""Manzana NAV"",""MANZANA"",""99000772"",""44"","" "",""22"",""False"",""43"",""0.00000000000000000000"",""12"",""LBL F.n.EASY ORG Blend Apple Sauce 12/24oz"",""50220"",""False"",""29"","""",""50210"",""False"",""18"","""",""11"",""Z-LS0041"",""2"",""20000"",""1"",""Z-FS0041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F.n.EASY ORG Blend Apple Sauce 12/24oz","50220","False","29","","50210","False","18","","11","Z-LS0041","2","20000","1","Z-FS0041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9" s="15"/>
      <c r="D1409" s="16" t="str">
        <f>"Z-FS0041"</f>
        <v>Z-FS0041</v>
      </c>
      <c r="E1409" s="16">
        <v>20000</v>
      </c>
      <c r="F1409" s="16" t="str">
        <f>"Z-LS0041"</f>
        <v>Z-LS0041</v>
      </c>
      <c r="G1409" s="17" t="str">
        <f>"LBL F.n.EASY ORG Blend Apple Sauce 12/24oz"</f>
        <v>LBL F.n.EASY ORG Blend Apple Sauce 12/24oz</v>
      </c>
      <c r="H1409" s="18" t="str">
        <f t="shared" si="168"/>
        <v>LABELS</v>
      </c>
      <c r="I1409" s="19">
        <v>12</v>
      </c>
      <c r="J1409" s="20">
        <v>12</v>
      </c>
    </row>
    <row r="1410" spans="1:10" ht="15.75" thickBot="1" x14ac:dyDescent="0.3">
      <c r="A1410" t="s">
        <v>31</v>
      </c>
      <c r="B1410" s="15" t="str">
        <f>"""Manzana NAV"",""MANZANA"",""99000772"",""44"","" "",""22"",""False"",""43"",""0.00000000000000000000"",""12"",""LBL F.n.EASY ORG GRAV Apple Sauce 12/24oz"",""50220"",""False"",""29"","""",""50210"",""False"",""18"","""",""11"",""Z-LS0043"",""2"",""20000"",""1"",""Z-FS0043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F.n.EASY ORG GRAV Apple Sauce 12/24oz","50220","False","29","","50210","False","18","","11","Z-LS0043","2","20000","1","Z-FS0043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0" s="15"/>
      <c r="D1410" s="16" t="str">
        <f>"Z-FS0043"</f>
        <v>Z-FS0043</v>
      </c>
      <c r="E1410" s="16">
        <v>20000</v>
      </c>
      <c r="F1410" s="16" t="str">
        <f>"Z-LS0043"</f>
        <v>Z-LS0043</v>
      </c>
      <c r="G1410" s="17" t="str">
        <f>"LBL F.n.EASY ORG GRAV Apple Sauce 12/24oz"</f>
        <v>LBL F.n.EASY ORG GRAV Apple Sauce 12/24oz</v>
      </c>
      <c r="H1410" s="18" t="str">
        <f t="shared" si="168"/>
        <v>LABELS</v>
      </c>
      <c r="I1410" s="19">
        <v>12</v>
      </c>
      <c r="J1410" s="20">
        <v>12</v>
      </c>
    </row>
    <row r="1411" spans="1:10" ht="15.75" thickBot="1" x14ac:dyDescent="0.3">
      <c r="A1411" t="s">
        <v>31</v>
      </c>
      <c r="B1411" s="15" t="str">
        <f>"""Manzana NAV"",""MANZANA"",""99000772"",""44"","" "",""22"",""False"",""43"",""0.00000000000000000000"",""12"",""LBL FIELD DAY ORG Blend Apple Sauce 12/24oz"",""50220"",""False"",""29"","""",""50210"",""False"",""18"","""",""11"",""LS0192"",""2"",""15000"",""1"",""FS0192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 DAY ORG Blend Apple Sauce 12/24oz","50220","False","29","","50210","False","18","","11","LS0192","2","15000","1","FS0192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1" s="15"/>
      <c r="D1411" s="16" t="str">
        <f>"FS0192"</f>
        <v>FS0192</v>
      </c>
      <c r="E1411" s="16">
        <v>15000</v>
      </c>
      <c r="F1411" s="16" t="str">
        <f>"LS0192"</f>
        <v>LS0192</v>
      </c>
      <c r="G1411" s="17" t="str">
        <f>"LBL FIELD DAY ORG Blend Apple Sauce 12/24oz"</f>
        <v>LBL FIELD DAY ORG Blend Apple Sauce 12/24oz</v>
      </c>
      <c r="H1411" s="18" t="str">
        <f t="shared" si="168"/>
        <v>LABELS</v>
      </c>
      <c r="I1411" s="19">
        <v>12</v>
      </c>
      <c r="J1411" s="20">
        <v>12</v>
      </c>
    </row>
    <row r="1412" spans="1:10" ht="15.75" thickBot="1" x14ac:dyDescent="0.3">
      <c r="A1412" t="s">
        <v>31</v>
      </c>
      <c r="B1412" s="15" t="str">
        <f>"""Manzana NAV"",""MANZANA"",""99000772"",""44"","" "",""22"",""False"",""43"",""0.00000000000000000000"",""12"",""LBL FIELD DAY ORG Cinnamon Apple Sauce 12/24oz"",""50220"",""False"",""29"","""",""50210"",""False"",""18"","""",""11"",""LS0193"",""2"",""20000"",""1"",""FS0193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 DAY ORG Cinnamon Apple Sauce 12/24oz","50220","False","29","","50210","False","18","","11","LS0193","2","20000","1","FS0193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2" s="15"/>
      <c r="D1412" s="16" t="str">
        <f>"FS0193"</f>
        <v>FS0193</v>
      </c>
      <c r="E1412" s="16">
        <v>20000</v>
      </c>
      <c r="F1412" s="16" t="str">
        <f>"LS0193"</f>
        <v>LS0193</v>
      </c>
      <c r="G1412" s="17" t="str">
        <f>"LBL FIELD DAY ORG Cinnamon Apple Sauce 12/24oz"</f>
        <v>LBL FIELD DAY ORG Cinnamon Apple Sauce 12/24oz</v>
      </c>
      <c r="H1412" s="18" t="str">
        <f t="shared" si="168"/>
        <v>LABELS</v>
      </c>
      <c r="I1412" s="19">
        <v>12</v>
      </c>
      <c r="J1412" s="20">
        <v>12</v>
      </c>
    </row>
    <row r="1413" spans="1:10" ht="15.75" thickBot="1" x14ac:dyDescent="0.3">
      <c r="A1413" t="s">
        <v>31</v>
      </c>
      <c r="B1413" s="15" t="str">
        <f>"""Manzana NAV"",""MANZANA"",""99000772"",""44"","" "",""22"",""False"",""43"",""0.00000000000000000000"",""12"",""LBL FIELD.DAY ORG Blend Juice 4/128oz"",""50220"",""False"",""29"","""",""50210"",""False"",""18"","""",""11"",""LJ0035"",""2"",""10000"",""1"",""FJ0035"",""14"",""4.00000000000000000000"",""45"",""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FIELD.DAY ORG Blend Juice 4/128oz","50220","False","29","","50210","False","18","","11","LJ0035","2","10000","1","FJ0035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13" s="15"/>
      <c r="D1413" s="16" t="str">
        <f>"FJ0035"</f>
        <v>FJ0035</v>
      </c>
      <c r="E1413" s="16">
        <v>10000</v>
      </c>
      <c r="F1413" s="16" t="str">
        <f>"LJ0035"</f>
        <v>LJ0035</v>
      </c>
      <c r="G1413" s="17" t="str">
        <f>"LBL FIELD.DAY ORG Blend Juice 4/128oz"</f>
        <v>LBL FIELD.DAY ORG Blend Juice 4/128oz</v>
      </c>
      <c r="H1413" s="18" t="str">
        <f t="shared" si="168"/>
        <v>LABELS</v>
      </c>
      <c r="I1413" s="19">
        <v>4</v>
      </c>
      <c r="J1413" s="20">
        <v>4</v>
      </c>
    </row>
    <row r="1414" spans="1:10" ht="15.75" thickBot="1" x14ac:dyDescent="0.3">
      <c r="A1414" t="s">
        <v>31</v>
      </c>
      <c r="B1414" s="15" t="str">
        <f>"""Manzana NAV"",""MANZANA"",""99000772"",""44"","" "",""22"",""False"",""43"",""0.00000000000000000000"",""12"",""LBL FIELD.DAY ORG Blend Juice 6/64oz Pistol Grip"",""50220"",""False"",""29"","""",""50210"",""False"",""18"","""",""11"",""LJ0038"",""2"",""5000"",""1"",""FJ0038"",""14"",""6.000000000000000000"&amp;"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FIELD.DAY ORG Blend Juice 6/64oz Pistol Grip","50220","False","29","","50210","False","18","","11","LJ0038","2","5000","1","FJ0038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14" s="15"/>
      <c r="D1414" s="16" t="str">
        <f>"FJ0038"</f>
        <v>FJ0038</v>
      </c>
      <c r="E1414" s="16">
        <v>5000</v>
      </c>
      <c r="F1414" s="16" t="str">
        <f>"LJ0038"</f>
        <v>LJ0038</v>
      </c>
      <c r="G1414" s="17" t="str">
        <f>"LBL FIELD.DAY ORG Blend Juice 6/64oz Pistol Grip"</f>
        <v>LBL FIELD.DAY ORG Blend Juice 6/64oz Pistol Grip</v>
      </c>
      <c r="H1414" s="18" t="str">
        <f t="shared" si="168"/>
        <v>LABELS</v>
      </c>
      <c r="I1414" s="19">
        <v>6</v>
      </c>
      <c r="J1414" s="20">
        <v>6</v>
      </c>
    </row>
    <row r="1415" spans="1:10" ht="15.75" thickBot="1" x14ac:dyDescent="0.3">
      <c r="A1415" t="s">
        <v>31</v>
      </c>
      <c r="B1415" s="15" t="str">
        <f>"""Manzana NAV"",""MANZANA"",""99000772"",""44"","" "",""22"",""False"",""43"",""0.00000000000000000000"",""12"",""LBL for GREENWOOD.GOLD ORG Grav Juice 12/32oz"",""50220"",""False"",""29"","""",""50210"",""False"",""18"","""",""11"",""LJ0187"",""2"",""20000"",""1"",""FJ0187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GREENWOOD.GOLD ORG Grav Juice 12/32oz","50220","False","29","","50210","False","18","","11","LJ0187","2","20000","1","FJ0187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5" s="15"/>
      <c r="D1415" s="16" t="str">
        <f>"FJ0187"</f>
        <v>FJ0187</v>
      </c>
      <c r="E1415" s="16">
        <v>20000</v>
      </c>
      <c r="F1415" s="16" t="str">
        <f>"LJ0187"</f>
        <v>LJ0187</v>
      </c>
      <c r="G1415" s="17" t="str">
        <f>"LBL for GREENWOOD.GOLD ORG Grav Juice 12/32oz"</f>
        <v>LBL for GREENWOOD.GOLD ORG Grav Juice 12/32oz</v>
      </c>
      <c r="H1415" s="18" t="str">
        <f t="shared" si="168"/>
        <v>LABELS</v>
      </c>
      <c r="I1415" s="19">
        <v>12</v>
      </c>
      <c r="J1415" s="20">
        <v>12</v>
      </c>
    </row>
    <row r="1416" spans="1:10" ht="15.75" thickBot="1" x14ac:dyDescent="0.3">
      <c r="A1416" t="s">
        <v>31</v>
      </c>
      <c r="B1416" s="15" t="str">
        <f>"""Manzana NAV"",""MANZANA"",""99000772"",""44"","" "",""22"",""False"",""43"",""0.00000000000000000000"",""12"",""LBL for NAT MRS.GOOCHES Blend Juice 4/128oz"",""50220"",""False"",""29"","""",""50210"",""False"",""18"","""",""11"",""LJ0139"",""2"",""20000"",""1"",""FJ0139"",""14"",""4.00000000000000000000"","&amp;"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NAT MRS.GOOCHES Blend Juice 4/128oz","50220","False","29","","50210","False","18","","11","LJ0139","2","20000","1","FJ0139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16" s="15"/>
      <c r="D1416" s="16" t="str">
        <f>"FJ0139"</f>
        <v>FJ0139</v>
      </c>
      <c r="E1416" s="16">
        <v>20000</v>
      </c>
      <c r="F1416" s="16" t="str">
        <f>"LJ0139"</f>
        <v>LJ0139</v>
      </c>
      <c r="G1416" s="17" t="str">
        <f>"LBL for NAT MRS.GOOCHES Blend Juice 4/128oz"</f>
        <v>LBL for NAT MRS.GOOCHES Blend Juice 4/128oz</v>
      </c>
      <c r="H1416" s="18" t="str">
        <f t="shared" si="168"/>
        <v>LABELS</v>
      </c>
      <c r="I1416" s="19">
        <v>4</v>
      </c>
      <c r="J1416" s="20">
        <v>4</v>
      </c>
    </row>
    <row r="1417" spans="1:10" ht="15.75" thickBot="1" x14ac:dyDescent="0.3">
      <c r="A1417" t="s">
        <v>31</v>
      </c>
      <c r="B1417" s="15" t="str">
        <f>"""Manzana NAV"",""MANZANA"",""99000772"",""44"","" "",""22"",""False"",""43"",""0.00000000000000000000"",""12"",""LBL for NAT S.n.W Apple Juice 12/32oz"",""50220"",""False"",""29"","""",""50210"",""False"",""18"","""",""11"",""LJ0142"",""2"",""10000"",""1"",""FJ0142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NAT S.n.W Apple Juice 12/32oz","50220","False","29","","50210","False","18","","11","LJ0142","2","10000","1","FJ0142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7" s="15"/>
      <c r="D1417" s="16" t="str">
        <f>"FJ0142"</f>
        <v>FJ0142</v>
      </c>
      <c r="E1417" s="16">
        <v>10000</v>
      </c>
      <c r="F1417" s="16" t="str">
        <f>"LJ0142"</f>
        <v>LJ0142</v>
      </c>
      <c r="G1417" s="17" t="str">
        <f>"LBL for NAT S.n.W Apple Juice 12/32oz"</f>
        <v>LBL for NAT S.n.W Apple Juice 12/32oz</v>
      </c>
      <c r="H1417" s="18" t="str">
        <f t="shared" si="168"/>
        <v>LABELS</v>
      </c>
      <c r="I1417" s="19">
        <v>12</v>
      </c>
      <c r="J1417" s="20">
        <v>12</v>
      </c>
    </row>
    <row r="1418" spans="1:10" ht="15.75" thickBot="1" x14ac:dyDescent="0.3">
      <c r="A1418" t="s">
        <v>31</v>
      </c>
      <c r="B1418" s="15" t="str">
        <f>"""Manzana NAV"",""MANZANA"",""99000772"",""44"","" "",""22"",""False"",""43"",""0.00000000000000000000"",""12"",""LBL for ORG Grnwd.GOLD Blend Juice 12/32oz"",""50220"",""False"",""29"","""",""50210"",""False"",""18"","""",""11"",""LJ0138"",""2"",""30000"",""1"",""FJ0138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ORG Grnwd.GOLD Blend Juice 12/32oz","50220","False","29","","50210","False","18","","11","LJ0138","2","30000","1","FJ0138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8" s="15"/>
      <c r="D1418" s="16" t="str">
        <f>"FJ0138"</f>
        <v>FJ0138</v>
      </c>
      <c r="E1418" s="16">
        <v>30000</v>
      </c>
      <c r="F1418" s="16" t="str">
        <f>"LJ0138"</f>
        <v>LJ0138</v>
      </c>
      <c r="G1418" s="17" t="str">
        <f>"LBL for ORG Grnwd.GOLD Blend Juice 12/32oz"</f>
        <v>LBL for ORG Grnwd.GOLD Blend Juice 12/32oz</v>
      </c>
      <c r="H1418" s="18" t="str">
        <f t="shared" si="168"/>
        <v>LABELS</v>
      </c>
      <c r="I1418" s="19">
        <v>12</v>
      </c>
      <c r="J1418" s="20">
        <v>12</v>
      </c>
    </row>
    <row r="1419" spans="1:10" ht="15.75" thickBot="1" x14ac:dyDescent="0.3">
      <c r="A1419" t="s">
        <v>31</v>
      </c>
      <c r="B1419" s="15" t="str">
        <f>"""Manzana NAV"",""MANZANA"",""99000772"",""44"","" "",""22"",""False"",""43"",""0.00000000000000000000"",""12"",""LBL for ORG Grnwd.GOLD Blend Juice 12/32oz"",""50220"",""False"",""29"","""",""50210"",""False"",""18"","""",""11"",""LJ0138"",""2"",""30000"",""1"",""FJ0138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ORG Grnwd.GOLD Blend Juice 12/32oz","50220","False","29","","50210","False","18","","11","LJ0138","2","30000","1","FJ0138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9" s="15"/>
      <c r="D1419" s="16" t="str">
        <f>"FJ0138B"</f>
        <v>FJ0138B</v>
      </c>
      <c r="E1419" s="16">
        <v>30000</v>
      </c>
      <c r="F1419" s="16" t="str">
        <f>"LJ0138"</f>
        <v>LJ0138</v>
      </c>
      <c r="G1419" s="17" t="str">
        <f>"LBL for ORG Grnwd.GOLD Blend Juice 12/32oz"</f>
        <v>LBL for ORG Grnwd.GOLD Blend Juice 12/32oz</v>
      </c>
      <c r="H1419" s="18" t="str">
        <f t="shared" si="168"/>
        <v>LABELS</v>
      </c>
      <c r="I1419" s="19">
        <v>12</v>
      </c>
      <c r="J1419" s="20">
        <v>12</v>
      </c>
    </row>
    <row r="1420" spans="1:10" ht="15.75" thickBot="1" x14ac:dyDescent="0.3">
      <c r="A1420" t="s">
        <v>31</v>
      </c>
      <c r="B1420" s="15" t="str">
        <f>"""Manzana NAV"",""MANZANA"",""99000772"",""44"","" "",""22"",""False"",""43"",""0.00000000000000000000"",""12"",""LBL FRESH.THYME ORG Blend Apple Sauce 12/24oz"",""50220"",""False"",""29"","""",""50210"",""False"",""18"","""",""11"",""LS0179"",""2"",""15000"",""1"",""FS0179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Apple Sauce 12/24oz","50220","False","29","","50210","False","18","","11","LS0179","2","15000","1","FS0179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0" s="15"/>
      <c r="D1420" s="16" t="str">
        <f>"FS0179"</f>
        <v>FS0179</v>
      </c>
      <c r="E1420" s="16">
        <v>15000</v>
      </c>
      <c r="F1420" s="16" t="str">
        <f>"LS0179"</f>
        <v>LS0179</v>
      </c>
      <c r="G1420" s="17" t="str">
        <f>"LBL FRESH.THYME ORG Blend Apple Sauce 12/24oz"</f>
        <v>LBL FRESH.THYME ORG Blend Apple Sauce 12/24oz</v>
      </c>
      <c r="H1420" s="18" t="str">
        <f t="shared" si="168"/>
        <v>LABELS</v>
      </c>
      <c r="I1420" s="19">
        <v>12</v>
      </c>
      <c r="J1420" s="20">
        <v>12</v>
      </c>
    </row>
    <row r="1421" spans="1:10" ht="15.75" thickBot="1" x14ac:dyDescent="0.3">
      <c r="A1421" t="s">
        <v>31</v>
      </c>
      <c r="B1421" s="15" t="str">
        <f>"""Manzana NAV"",""MANZANA"",""99000772"",""44"","" "",""22"",""False"",""43"",""0.00000000000000000000"",""12"",""LBL FRESH.THYME ORG Blend Cider 12/32oz"",""50220"",""False"",""29"","""",""50210"",""False"",""18"","""",""11"",""LJ0225"",""2"",""20000"",""1"",""FJ0225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Cider 12/32oz","50220","False","29","","50210","False","18","","11","LJ0225","2","20000","1","FJ0225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1" s="15"/>
      <c r="D1421" s="16" t="str">
        <f>"FJ0225"</f>
        <v>FJ0225</v>
      </c>
      <c r="E1421" s="16">
        <v>20000</v>
      </c>
      <c r="F1421" s="16" t="str">
        <f>"LJ0225"</f>
        <v>LJ0225</v>
      </c>
      <c r="G1421" s="17" t="str">
        <f>"LBL FRESH.THYME ORG Blend Cider 12/32oz"</f>
        <v>LBL FRESH.THYME ORG Blend Cider 12/32oz</v>
      </c>
      <c r="H1421" s="18" t="str">
        <f t="shared" si="168"/>
        <v>LABELS</v>
      </c>
      <c r="I1421" s="19">
        <v>12</v>
      </c>
      <c r="J1421" s="20">
        <v>12</v>
      </c>
    </row>
    <row r="1422" spans="1:10" ht="15.75" thickBot="1" x14ac:dyDescent="0.3">
      <c r="A1422" t="s">
        <v>31</v>
      </c>
      <c r="B1422" s="15" t="str">
        <f>"""Manzana NAV"",""MANZANA"",""99000772"",""44"","" "",""22"",""False"",""43"",""0.00000000000000000000"",""12"",""LBL FRESH.THYME ORG Blend Juice 12/32oz"",""50220"",""False"",""29"","""",""50210"",""False"",""18"","""",""11"",""LJ0224"",""2"",""10000"",""1"",""FJ0224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Juice 12/32oz","50220","False","29","","50210","False","18","","11","LJ0224","2","10000","1","FJ0224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2" s="15"/>
      <c r="D1422" s="16" t="str">
        <f>"FJ0224"</f>
        <v>FJ0224</v>
      </c>
      <c r="E1422" s="16">
        <v>10000</v>
      </c>
      <c r="F1422" s="16" t="str">
        <f>"LJ0224"</f>
        <v>LJ0224</v>
      </c>
      <c r="G1422" s="17" t="str">
        <f>"LBL FRESH.THYME ORG Blend Juice 12/32oz"</f>
        <v>LBL FRESH.THYME ORG Blend Juice 12/32oz</v>
      </c>
      <c r="H1422" s="18" t="str">
        <f t="shared" si="168"/>
        <v>LABELS</v>
      </c>
      <c r="I1422" s="19">
        <v>12</v>
      </c>
      <c r="J1422" s="20">
        <v>12</v>
      </c>
    </row>
    <row r="1423" spans="1:10" ht="15.75" thickBot="1" x14ac:dyDescent="0.3">
      <c r="A1423" t="s">
        <v>31</v>
      </c>
      <c r="B1423" s="15" t="str">
        <f>"""Manzana NAV"",""MANZANA"",""99000772"",""44"","" "",""22"",""False"",""43"",""0.00000000000000000000"",""12"",""LBL FRESH.THYME ORG Blend Juice 24/10oz"",""50220"",""False"",""29"","""",""50210"",""False"",""18"","""",""11"",""LJ0226"",""2"",""20000"",""1"",""FJ0226"",""14"",""24.00000000000000000000"",""45"&amp;"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Juice 24/10oz","50220","False","29","","50210","False","18","","11","LJ0226","2","20000","1","FJ0226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423" s="15"/>
      <c r="D1423" s="16" t="str">
        <f>"FJ0226"</f>
        <v>FJ0226</v>
      </c>
      <c r="E1423" s="16">
        <v>20000</v>
      </c>
      <c r="F1423" s="16" t="str">
        <f>"LJ0226"</f>
        <v>LJ0226</v>
      </c>
      <c r="G1423" s="17" t="str">
        <f>"LBL FRESH.THYME ORG Blend Juice 24/10oz"</f>
        <v>LBL FRESH.THYME ORG Blend Juice 24/10oz</v>
      </c>
      <c r="H1423" s="18" t="str">
        <f t="shared" si="168"/>
        <v>LABELS</v>
      </c>
      <c r="I1423" s="19">
        <v>24</v>
      </c>
      <c r="J1423" s="20">
        <v>24</v>
      </c>
    </row>
    <row r="1424" spans="1:10" ht="15.75" thickBot="1" x14ac:dyDescent="0.3">
      <c r="A1424" t="s">
        <v>31</v>
      </c>
      <c r="B1424" s="15" t="str">
        <f>"""Manzana NAV"",""MANZANA"",""99000772"",""44"","" "",""22"",""False"",""43"",""0.00000000000000000000"",""12"",""LBL FRESH.THYME ORG Blend Juice 6/64oz - dmd neck"",""50220"",""False"",""29"","""",""50210"",""False"",""18"","""",""11"",""LJ0223"",""2"",""10000"",""1"",""FJ0223"",""14"",""6.0000000000000000"&amp;"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Juice 6/64oz - dmd neck","50220","False","29","","50210","False","18","","11","LJ0223","2","10000","1","FJ0223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24" s="15"/>
      <c r="D1424" s="16" t="str">
        <f>"FJ0223"</f>
        <v>FJ0223</v>
      </c>
      <c r="E1424" s="16">
        <v>10000</v>
      </c>
      <c r="F1424" s="16" t="str">
        <f>"LJ0223"</f>
        <v>LJ0223</v>
      </c>
      <c r="G1424" s="17" t="str">
        <f>"LBL FRESH.THYME ORG Blend Juice 6/64oz - dmd neck"</f>
        <v>LBL FRESH.THYME ORG Blend Juice 6/64oz - dmd neck</v>
      </c>
      <c r="H1424" s="18" t="str">
        <f t="shared" si="168"/>
        <v>LABELS</v>
      </c>
      <c r="I1424" s="19">
        <v>6</v>
      </c>
      <c r="J1424" s="20">
        <v>6</v>
      </c>
    </row>
    <row r="1425" spans="1:10" ht="15.75" thickBot="1" x14ac:dyDescent="0.3">
      <c r="A1425" t="s">
        <v>31</v>
      </c>
      <c r="B1425" s="15" t="str">
        <f>"""Manzana NAV"",""MANZANA"",""99000772"",""44"","" "",""22"",""False"",""43"",""0.00000000000000000000"",""12"",""LBL FRESH.THYME ORG Cinnamon Apple Sauce 12/24oz"",""50220"",""False"",""29"","""",""50210"",""False"",""18"","""",""11"",""LS0180"",""2"",""20000"",""1"",""FS0180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Cinnamon Apple Sauce 12/24oz","50220","False","29","","50210","False","18","","11","LS0180","2","20000","1","FS0180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5" s="15"/>
      <c r="D1425" s="16" t="str">
        <f>"FS0180"</f>
        <v>FS0180</v>
      </c>
      <c r="E1425" s="16">
        <v>20000</v>
      </c>
      <c r="F1425" s="16" t="str">
        <f>"LS0180"</f>
        <v>LS0180</v>
      </c>
      <c r="G1425" s="17" t="str">
        <f>"LBL FRESH.THYME ORG Cinnamon Apple Sauce 12/24oz"</f>
        <v>LBL FRESH.THYME ORG Cinnamon Apple Sauce 12/24oz</v>
      </c>
      <c r="H1425" s="18" t="str">
        <f t="shared" si="168"/>
        <v>LABELS</v>
      </c>
      <c r="I1425" s="19">
        <v>12</v>
      </c>
      <c r="J1425" s="20">
        <v>12</v>
      </c>
    </row>
    <row r="1426" spans="1:10" ht="15.75" thickBot="1" x14ac:dyDescent="0.3">
      <c r="A1426" t="s">
        <v>31</v>
      </c>
      <c r="B1426" s="15" t="str">
        <f>"""Manzana NAV"",""MANZANA"",""99000772"",""44"","" "",""22"",""False"",""43"",""0.00000000000000000000"",""12"",""LBL FRESH.TO.MARKET ORG Blend Juice 4/128oz -PG"",""50220"",""False"",""29"","""",""50210"",""False"",""18"","""",""11"",""LJ0213"",""2"",""10000"",""1"",""FJ0213"",""14"",""4.000000000000000000"&amp;"00"",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FRESH.TO.MARKET ORG Blend Juice 4/128oz -PG","50220","False","29","","50210","False","18","","11","LJ0213","2","10000","1","FJ0213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26" s="15"/>
      <c r="D1426" s="16" t="str">
        <f>"FJ0213"</f>
        <v>FJ0213</v>
      </c>
      <c r="E1426" s="16">
        <v>10000</v>
      </c>
      <c r="F1426" s="16" t="str">
        <f>"LJ0213"</f>
        <v>LJ0213</v>
      </c>
      <c r="G1426" s="17" t="str">
        <f>"LBL FRESH.TO.MARKET ORG Blend Juice 4/128oz -PG"</f>
        <v>LBL FRESH.TO.MARKET ORG Blend Juice 4/128oz -PG</v>
      </c>
      <c r="H1426" s="18" t="str">
        <f t="shared" si="168"/>
        <v>LABELS</v>
      </c>
      <c r="I1426" s="19">
        <v>4</v>
      </c>
      <c r="J1426" s="20">
        <v>4</v>
      </c>
    </row>
    <row r="1427" spans="1:10" ht="15.75" thickBot="1" x14ac:dyDescent="0.3">
      <c r="A1427" t="s">
        <v>31</v>
      </c>
      <c r="B1427" s="15" t="str">
        <f>"""Manzana NAV"",""MANZANA"",""99000772"",""44"","" "",""22"",""False"",""43"",""0.00000000000000000000"",""12"",""LBL FRESH.TO.MARKET ORG Blend Sauce 12/24oz"",""50220"",""False"",""29"","""",""50210"",""False"",""18"","""",""11"",""LS0165"",""2"",""10000"",""1"",""FS0165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FRESH.TO.MARKET ORG Blend Sauce 12/24oz","50220","False","29","","50210","False","18","","11","LS0165","2","10000","1","FS0165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7" s="15"/>
      <c r="D1427" s="16" t="str">
        <f>"FS0165"</f>
        <v>FS0165</v>
      </c>
      <c r="E1427" s="16">
        <v>10000</v>
      </c>
      <c r="F1427" s="16" t="str">
        <f>"LS0165"</f>
        <v>LS0165</v>
      </c>
      <c r="G1427" s="17" t="str">
        <f>"LBL FRESH.TO.MARKET ORG Blend Sauce 12/24oz"</f>
        <v>LBL FRESH.TO.MARKET ORG Blend Sauce 12/24oz</v>
      </c>
      <c r="H1427" s="18" t="str">
        <f t="shared" si="168"/>
        <v>LABELS</v>
      </c>
      <c r="I1427" s="19">
        <v>12</v>
      </c>
      <c r="J1427" s="20">
        <v>12</v>
      </c>
    </row>
    <row r="1428" spans="1:10" ht="15.75" thickBot="1" x14ac:dyDescent="0.3">
      <c r="A1428" t="s">
        <v>31</v>
      </c>
      <c r="B1428" s="15" t="str">
        <f>"""Manzana NAV"",""MANZANA"",""99000772"",""44"","" "",""22"",""False"",""43"",""0.00000000000000000000"",""12"",""LBL FRUIT.IN.ITS.BDAY.SUIT ORG Apple Juice 12/32oz"",""50220"",""False"",""29"","""",""50210"",""False"",""18"","""",""11"",""LJ0167"",""2"",""10000"",""1"",""FJ0167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Apple Juice 12/32oz","50220","False","29","","50210","False","18","","11","LJ0167","2","10000","1","FJ0167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8" s="15"/>
      <c r="D1428" s="16" t="str">
        <f>"FJ0167"</f>
        <v>FJ0167</v>
      </c>
      <c r="E1428" s="16">
        <v>10000</v>
      </c>
      <c r="F1428" s="16" t="str">
        <f>"LJ0167"</f>
        <v>LJ0167</v>
      </c>
      <c r="G1428" s="17" t="str">
        <f>"LBL FRUIT.IN.ITS.BDAY.SUIT ORG Apple Juice 12/32oz"</f>
        <v>LBL FRUIT.IN.ITS.BDAY.SUIT ORG Apple Juice 12/32oz</v>
      </c>
      <c r="H1428" s="18" t="str">
        <f t="shared" si="168"/>
        <v>LABELS</v>
      </c>
      <c r="I1428" s="19">
        <v>12</v>
      </c>
      <c r="J1428" s="20">
        <v>12</v>
      </c>
    </row>
    <row r="1429" spans="1:10" ht="15.75" thickBot="1" x14ac:dyDescent="0.3">
      <c r="A1429" t="s">
        <v>31</v>
      </c>
      <c r="B1429" s="15" t="str">
        <f>"""Manzana NAV"",""MANZANA"",""99000772"",""44"","" "",""22"",""False"",""43"",""0.00000000000000000000"",""12"",""LBL FRUIT.IN.ITS.BDAY.SUIT ORG Apple Juice 24/10oz"",""50220"",""False"",""29"","""",""50210"",""False"",""18"","""",""11"",""LJ0166"",""2"",""10000"",""1"",""FJ0166"",""14"",""24.00000000000000"&amp;"000000"","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Apple Juice 24/10oz","50220","False","29","","50210","False","18","","11","LJ0166","2","10000","1","FJ0166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429" s="15"/>
      <c r="D1429" s="16" t="str">
        <f>"FJ0166"</f>
        <v>FJ0166</v>
      </c>
      <c r="E1429" s="16">
        <v>10000</v>
      </c>
      <c r="F1429" s="16" t="str">
        <f>"LJ0166"</f>
        <v>LJ0166</v>
      </c>
      <c r="G1429" s="17" t="str">
        <f>"LBL FRUIT.IN.ITS.BDAY.SUIT ORG Apple Juice 24/10oz"</f>
        <v>LBL FRUIT.IN.ITS.BDAY.SUIT ORG Apple Juice 24/10oz</v>
      </c>
      <c r="H1429" s="18" t="str">
        <f t="shared" si="168"/>
        <v>LABELS</v>
      </c>
      <c r="I1429" s="19">
        <v>24</v>
      </c>
      <c r="J1429" s="20">
        <v>24</v>
      </c>
    </row>
    <row r="1430" spans="1:10" ht="15.75" thickBot="1" x14ac:dyDescent="0.3">
      <c r="A1430" t="s">
        <v>31</v>
      </c>
      <c r="B1430" s="15" t="str">
        <f>"""Manzana NAV"",""MANZANA"",""99000772"",""44"","" "",""22"",""False"",""43"",""0.00000000000000000000"",""12"",""LBL FRUIT.IN.ITS.BDAY.SUIT ORG Apple Juice 6/64oz"",""50220"",""False"",""29"","""",""50210"",""False"",""18"","""",""11"",""LJ0169"",""2"",""10000"",""1"",""FJ0169"",""14"",""6.0000000000000000"&amp;"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Apple Juice 6/64oz","50220","False","29","","50210","False","18","","11","LJ0169","2","10000","1","FJ0169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30" s="15"/>
      <c r="D1430" s="16" t="str">
        <f>"FJ0169"</f>
        <v>FJ0169</v>
      </c>
      <c r="E1430" s="16">
        <v>10000</v>
      </c>
      <c r="F1430" s="16" t="str">
        <f>"LJ0169"</f>
        <v>LJ0169</v>
      </c>
      <c r="G1430" s="17" t="str">
        <f>"LBL FRUIT.IN.ITS.BDAY.SUIT ORG Apple Juice 6/64oz"</f>
        <v>LBL FRUIT.IN.ITS.BDAY.SUIT ORG Apple Juice 6/64oz</v>
      </c>
      <c r="H1430" s="18" t="str">
        <f t="shared" si="168"/>
        <v>LABELS</v>
      </c>
      <c r="I1430" s="19">
        <v>6</v>
      </c>
      <c r="J1430" s="20">
        <v>6</v>
      </c>
    </row>
    <row r="1431" spans="1:10" ht="15.75" thickBot="1" x14ac:dyDescent="0.3">
      <c r="A1431" t="s">
        <v>31</v>
      </c>
      <c r="B1431" s="15" t="str">
        <f>"""Manzana NAV"",""MANZANA"",""99000772"",""44"","" "",""22"",""False"",""43"",""0.00000000000000000000"",""12"",""LBL FRUIT.IN.ITS.BDAY.SUIT ORG GRAV Juice 12/32oz"",""50220"",""False"",""29"","""",""50210"",""False"",""18"","""",""11"",""LJ0168"",""2"",""10000"",""1"",""FJ0168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GRAV Juice 12/32oz","50220","False","29","","50210","False","18","","11","LJ0168","2","10000","1","FJ0168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1" s="15"/>
      <c r="D1431" s="16" t="str">
        <f>"FJ0168"</f>
        <v>FJ0168</v>
      </c>
      <c r="E1431" s="16">
        <v>10000</v>
      </c>
      <c r="F1431" s="16" t="str">
        <f>"LJ0168"</f>
        <v>LJ0168</v>
      </c>
      <c r="G1431" s="17" t="str">
        <f>"LBL FRUIT.IN.ITS.BDAY.SUIT ORG GRAV Juice 12/32oz"</f>
        <v>LBL FRUIT.IN.ITS.BDAY.SUIT ORG GRAV Juice 12/32oz</v>
      </c>
      <c r="H1431" s="18" t="str">
        <f t="shared" si="168"/>
        <v>LABELS</v>
      </c>
      <c r="I1431" s="19">
        <v>12</v>
      </c>
      <c r="J1431" s="20">
        <v>12</v>
      </c>
    </row>
    <row r="1432" spans="1:10" ht="15.75" thickBot="1" x14ac:dyDescent="0.3">
      <c r="A1432" t="s">
        <v>31</v>
      </c>
      <c r="B1432" s="15" t="str">
        <f>"""Manzana NAV"",""MANZANA"",""99000772"",""44"","" "",""22"",""False"",""43"",""0.00000000000000000000"",""12"",""LBL FRUIT.IN.ITS.BDAY.SUIT ORG HCrisp Jce 12/32oz"",""50220"",""False"",""29"","""",""50210"",""False"",""18"","""",""11"",""LJ0170"",""2"",""10000"",""1"",""FJ0170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HCrisp Jce 12/32oz","50220","False","29","","50210","False","18","","11","LJ0170","2","10000","1","FJ0170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2" s="15"/>
      <c r="D1432" s="16" t="str">
        <f>"FJ0170"</f>
        <v>FJ0170</v>
      </c>
      <c r="E1432" s="16">
        <v>10000</v>
      </c>
      <c r="F1432" s="16" t="str">
        <f>"LJ0170"</f>
        <v>LJ0170</v>
      </c>
      <c r="G1432" s="17" t="str">
        <f>"LBL FRUIT.IN.ITS.BDAY.SUIT ORG HCrisp Jce 12/32oz"</f>
        <v>LBL FRUIT.IN.ITS.BDAY.SUIT ORG HCrisp Jce 12/32oz</v>
      </c>
      <c r="H1432" s="18" t="str">
        <f t="shared" si="168"/>
        <v>LABELS</v>
      </c>
      <c r="I1432" s="19">
        <v>12</v>
      </c>
      <c r="J1432" s="20">
        <v>12</v>
      </c>
    </row>
    <row r="1433" spans="1:10" ht="15.75" thickBot="1" x14ac:dyDescent="0.3">
      <c r="A1433" t="s">
        <v>31</v>
      </c>
      <c r="B1433" s="15" t="str">
        <f>"""Manzana NAV"",""MANZANA"",""99000772"",""44"","" "",""22"",""False"",""43"",""0.00000000000000000000"",""12"",""LBL GABRIEL.FARMS ORG Pear Juice 6/64oz"",""50220"",""False"",""29"","""",""50210"",""False"",""18"","""",""11"",""LJ0197"",""2"",""20000"",""1"",""FJ0197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GABRIEL.FARMS ORG Pear Juice 6/64oz","50220","False","29","","50210","False","18","","11","LJ0197","2","20000","1","FJ0197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33" s="15"/>
      <c r="D1433" s="16" t="str">
        <f>"FJ0197"</f>
        <v>FJ0197</v>
      </c>
      <c r="E1433" s="16">
        <v>20000</v>
      </c>
      <c r="F1433" s="16" t="str">
        <f>"LJ0197"</f>
        <v>LJ0197</v>
      </c>
      <c r="G1433" s="17" t="str">
        <f>"LBL GABRIEL.FARMS ORG Pear Juice 6/64oz"</f>
        <v>LBL GABRIEL.FARMS ORG Pear Juice 6/64oz</v>
      </c>
      <c r="H1433" s="18" t="str">
        <f t="shared" si="168"/>
        <v>LABELS</v>
      </c>
      <c r="I1433" s="19">
        <v>6</v>
      </c>
      <c r="J1433" s="20">
        <v>6</v>
      </c>
    </row>
    <row r="1434" spans="1:10" ht="15.75" thickBot="1" x14ac:dyDescent="0.3">
      <c r="A1434" t="s">
        <v>31</v>
      </c>
      <c r="B1434" s="15" t="str">
        <f>"""Manzana NAV"",""MANZANA"",""99000772"",""44"","" "",""22"",""False"",""43"",""0.00000000000000000000"",""12"",""LBL GOODSOME.ORG ORG Blend Juice 12/32oz"",""50220"",""False"",""29"","""",""50210"",""False"",""18"","""",""11"",""LJ0036"",""2"",""10000"",""1"",""FJ0036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GOODSOME.ORG ORG Blend Juice 12/32oz","50220","False","29","","50210","False","18","","11","LJ0036","2","10000","1","FJ0036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4" s="15"/>
      <c r="D1434" s="16" t="str">
        <f>"FJ0036"</f>
        <v>FJ0036</v>
      </c>
      <c r="E1434" s="16">
        <v>10000</v>
      </c>
      <c r="F1434" s="16" t="str">
        <f>"LJ0036"</f>
        <v>LJ0036</v>
      </c>
      <c r="G1434" s="17" t="str">
        <f>"LBL GOODSOME.ORG ORG Blend Juice 12/32oz"</f>
        <v>LBL GOODSOME.ORG ORG Blend Juice 12/32oz</v>
      </c>
      <c r="H1434" s="18" t="str">
        <f t="shared" si="168"/>
        <v>LABELS</v>
      </c>
      <c r="I1434" s="19">
        <v>12</v>
      </c>
      <c r="J1434" s="20">
        <v>12</v>
      </c>
    </row>
    <row r="1435" spans="1:10" ht="15.75" thickBot="1" x14ac:dyDescent="0.3">
      <c r="A1435" t="s">
        <v>31</v>
      </c>
      <c r="B1435" s="15" t="str">
        <f>"""Manzana NAV"",""MANZANA"",""99000772"",""44"","" "",""22"",""False"",""43"",""0.00000000000000000000"",""12"",""LBL GREENWOOD.GOLD ORG GRAV Juice 24/10oz"",""50220"",""False"",""29"","""",""50210"",""False"",""18"","""",""11"",""LJ0180"",""2"",""10000"",""1"",""FJ0180"",""14"",""24.00000000000000000000"","""&amp;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GREENWOOD.GOLD ORG GRAV Juice 24/10oz","50220","False","29","","50210","False","18","","11","LJ0180","2","10000","1","FJ0180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435" s="15"/>
      <c r="D1435" s="16" t="str">
        <f>"FJ0180"</f>
        <v>FJ0180</v>
      </c>
      <c r="E1435" s="16">
        <v>10000</v>
      </c>
      <c r="F1435" s="16" t="str">
        <f>"LJ0180"</f>
        <v>LJ0180</v>
      </c>
      <c r="G1435" s="17" t="str">
        <f>"LBL GREENWOOD.GOLD ORG GRAV Juice 24/10oz"</f>
        <v>LBL GREENWOOD.GOLD ORG GRAV Juice 24/10oz</v>
      </c>
      <c r="H1435" s="18" t="str">
        <f t="shared" si="168"/>
        <v>LABELS</v>
      </c>
      <c r="I1435" s="19">
        <v>24</v>
      </c>
      <c r="J1435" s="20">
        <v>24</v>
      </c>
    </row>
    <row r="1436" spans="1:10" ht="15.75" thickBot="1" x14ac:dyDescent="0.3">
      <c r="A1436" t="s">
        <v>31</v>
      </c>
      <c r="B1436" s="15" t="str">
        <f>"""Manzana NAV"",""MANZANA"",""99000772"",""44"","" "",""22"",""False"",""43"",""0.00000000000000000000"",""12"",""LBL HARMONS NAT Premium Blend Apple Sauce 12/24oz"",""50220"",""False"",""29"","""",""50210"",""False"",""18"","""",""11"",""LS0190"",""2"",""20000"",""1"",""FS0190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NAT Premium Blend Apple Sauce 12/24oz","50220","False","29","","50210","False","18","","11","LS0190","2","20000","1","FS0190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6" s="15"/>
      <c r="D1436" s="16" t="str">
        <f>"FS0190"</f>
        <v>FS0190</v>
      </c>
      <c r="E1436" s="16">
        <v>20000</v>
      </c>
      <c r="F1436" s="16" t="str">
        <f>"LS0190"</f>
        <v>LS0190</v>
      </c>
      <c r="G1436" s="17" t="str">
        <f>"LBL HARMONS NAT Premium Blend Apple Sauce 12/24oz"</f>
        <v>LBL HARMONS NAT Premium Blend Apple Sauce 12/24oz</v>
      </c>
      <c r="H1436" s="18" t="str">
        <f t="shared" si="168"/>
        <v>LABELS</v>
      </c>
      <c r="I1436" s="19">
        <v>12</v>
      </c>
      <c r="J1436" s="20">
        <v>12</v>
      </c>
    </row>
    <row r="1437" spans="1:10" ht="15.75" thickBot="1" x14ac:dyDescent="0.3">
      <c r="A1437" t="s">
        <v>31</v>
      </c>
      <c r="B1437" s="15" t="str">
        <f>"""Manzana NAV"",""MANZANA"",""99000772"",""44"","" "",""22"",""False"",""43"",""0.00000000000000000000"",""12"",""LBL HARMONS NAT Premium Cinnamon A S 12/24oz"",""50220"",""False"",""29"","""",""50210"",""False"",""18"","""",""11"",""LS0191"",""2"",""20000"",""1"",""FS0191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NAT Premium Cinnamon A S 12/24oz","50220","False","29","","50210","False","18","","11","LS0191","2","20000","1","FS0191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7" s="15"/>
      <c r="D1437" s="16" t="str">
        <f>"FS0191"</f>
        <v>FS0191</v>
      </c>
      <c r="E1437" s="16">
        <v>20000</v>
      </c>
      <c r="F1437" s="16" t="str">
        <f>"LS0191"</f>
        <v>LS0191</v>
      </c>
      <c r="G1437" s="17" t="str">
        <f>"LBL HARMONS NAT Premium Cinnamon A S 12/24oz"</f>
        <v>LBL HARMONS NAT Premium Cinnamon A S 12/24oz</v>
      </c>
      <c r="H1437" s="18" t="str">
        <f t="shared" si="168"/>
        <v>LABELS</v>
      </c>
      <c r="I1437" s="19">
        <v>12</v>
      </c>
      <c r="J1437" s="20">
        <v>12</v>
      </c>
    </row>
    <row r="1438" spans="1:10" ht="15.75" thickBot="1" x14ac:dyDescent="0.3">
      <c r="A1438" t="s">
        <v>31</v>
      </c>
      <c r="B1438" s="15" t="str">
        <f>"""Manzana NAV"",""MANZANA"",""99000772"",""44"","" "",""22"",""False"",""43"",""0.00000000000000000000"",""12"",""LBL HARMONS ORG AC Vinegar 12/16oz"",""50220"",""False"",""29"","""",""50210"",""False"",""18"","""",""11"",""LV0037"",""2"",""10000"",""1"",""FV0037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AC Vinegar 12/16oz","50220","False","29","","50210","False","18","","11","LV0037","2","10000","1","FV0037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8" s="15"/>
      <c r="D1438" s="16" t="str">
        <f>"FV0037"</f>
        <v>FV0037</v>
      </c>
      <c r="E1438" s="16">
        <v>10000</v>
      </c>
      <c r="F1438" s="16" t="str">
        <f>"LV0037"</f>
        <v>LV0037</v>
      </c>
      <c r="G1438" s="17" t="str">
        <f>"LBL HARMONS ORG AC Vinegar 12/16oz"</f>
        <v>LBL HARMONS ORG AC Vinegar 12/16oz</v>
      </c>
      <c r="H1438" s="18" t="str">
        <f t="shared" si="168"/>
        <v>LABELS</v>
      </c>
      <c r="I1438" s="19">
        <v>12</v>
      </c>
      <c r="J1438" s="20">
        <v>12</v>
      </c>
    </row>
    <row r="1439" spans="1:10" ht="15.75" thickBot="1" x14ac:dyDescent="0.3">
      <c r="A1439" t="s">
        <v>31</v>
      </c>
      <c r="B1439" s="15" t="str">
        <f>"""Manzana NAV"",""MANZANA"",""99000772"",""44"","" "",""22"",""False"",""43"",""0.00000000000000000000"",""12"",""LBL HARMONS ORG AC Vinegar 12/32oz"",""50220"",""False"",""29"","""",""50210"",""False"",""18"","""",""11"",""LV0038"",""2"",""10000"",""1"",""FV0038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AC Vinegar 12/32oz","50220","False","29","","50210","False","18","","11","LV0038","2","10000","1","FV0038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9" s="15"/>
      <c r="D1439" s="16" t="str">
        <f>"FV0038"</f>
        <v>FV0038</v>
      </c>
      <c r="E1439" s="16">
        <v>10000</v>
      </c>
      <c r="F1439" s="16" t="str">
        <f>"LV0038"</f>
        <v>LV0038</v>
      </c>
      <c r="G1439" s="17" t="str">
        <f>"LBL HARMONS ORG AC Vinegar 12/32oz"</f>
        <v>LBL HARMONS ORG AC Vinegar 12/32oz</v>
      </c>
      <c r="H1439" s="18" t="str">
        <f t="shared" si="168"/>
        <v>LABELS</v>
      </c>
      <c r="I1439" s="19">
        <v>12</v>
      </c>
      <c r="J1439" s="20">
        <v>12</v>
      </c>
    </row>
    <row r="1440" spans="1:10" ht="15.75" thickBot="1" x14ac:dyDescent="0.3">
      <c r="A1440" t="s">
        <v>31</v>
      </c>
      <c r="B1440" s="15" t="str">
        <f>"""Manzana NAV"",""MANZANA"",""99000772"",""44"","" "",""22"",""False"",""43"",""0.00000000000000000000"",""12"",""LBL HARMONS ORG Apple Cider 12/32oz"",""50220"",""False"",""29"","""",""50210"",""False"",""18"","""",""11"",""LJ0233"",""2"",""10000"",""1"",""FJ0233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Apple Cider 12/32oz","50220","False","29","","50210","False","18","","11","LJ0233","2","10000","1","FJ0233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0" s="15"/>
      <c r="D1440" s="16" t="str">
        <f>"FJ0233"</f>
        <v>FJ0233</v>
      </c>
      <c r="E1440" s="16">
        <v>10000</v>
      </c>
      <c r="F1440" s="16" t="str">
        <f>"LJ0233"</f>
        <v>LJ0233</v>
      </c>
      <c r="G1440" s="17" t="str">
        <f>"LBL HARMONS ORG Apple Cider 12/32oz"</f>
        <v>LBL HARMONS ORG Apple Cider 12/32oz</v>
      </c>
      <c r="H1440" s="18" t="str">
        <f t="shared" si="168"/>
        <v>LABELS</v>
      </c>
      <c r="I1440" s="19">
        <v>12</v>
      </c>
      <c r="J1440" s="20">
        <v>12</v>
      </c>
    </row>
    <row r="1441" spans="1:10" ht="15.75" thickBot="1" x14ac:dyDescent="0.3">
      <c r="A1441" t="s">
        <v>31</v>
      </c>
      <c r="B1441" s="15" t="str">
        <f>"""Manzana NAV"",""MANZANA"",""99000772"",""44"","" "",""22"",""False"",""43"",""0.00000000000000000000"",""12"",""LBL HARMONS ORG Apple Juice 12/32oz"",""50220"",""False"",""29"","""",""50210"",""False"",""18"","""",""11"",""LJ0231"",""2"",""10000"",""1"",""FJ0231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Apple Juice 12/32oz","50220","False","29","","50210","False","18","","11","LJ0231","2","10000","1","FJ0231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1" s="15"/>
      <c r="D1441" s="16" t="str">
        <f>"FJ0231"</f>
        <v>FJ0231</v>
      </c>
      <c r="E1441" s="16">
        <v>10000</v>
      </c>
      <c r="F1441" s="16" t="str">
        <f>"LJ0231"</f>
        <v>LJ0231</v>
      </c>
      <c r="G1441" s="17" t="str">
        <f>"LBL HARMONS ORG Apple Juice 12/32oz"</f>
        <v>LBL HARMONS ORG Apple Juice 12/32oz</v>
      </c>
      <c r="H1441" s="18" t="str">
        <f t="shared" si="168"/>
        <v>LABELS</v>
      </c>
      <c r="I1441" s="19">
        <v>12</v>
      </c>
      <c r="J1441" s="20">
        <v>12</v>
      </c>
    </row>
    <row r="1442" spans="1:10" ht="15.75" thickBot="1" x14ac:dyDescent="0.3">
      <c r="A1442" t="s">
        <v>31</v>
      </c>
      <c r="B1442" s="15" t="str">
        <f>"""Manzana NAV"",""MANZANA"",""99000772"",""44"","" "",""22"",""False"",""43"",""0.00000000000000000000"",""12"",""LBL HARMONS ORG Berry Apple Sauce 12/24oz"",""50220"",""False"",""29"","""",""50210"",""False"",""18"","""",""11"",""LS0188"",""2"",""20000"",""1"",""FS0188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Berry Apple Sauce 12/24oz","50220","False","29","","50210","False","18","","11","LS0188","2","20000","1","FS0188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2" s="15"/>
      <c r="D1442" s="16" t="str">
        <f>"FS0188"</f>
        <v>FS0188</v>
      </c>
      <c r="E1442" s="16">
        <v>20000</v>
      </c>
      <c r="F1442" s="16" t="str">
        <f>"LS0188"</f>
        <v>LS0188</v>
      </c>
      <c r="G1442" s="17" t="str">
        <f>"LBL HARMONS ORG Berry Apple Sauce 12/24oz"</f>
        <v>LBL HARMONS ORG Berry Apple Sauce 12/24oz</v>
      </c>
      <c r="H1442" s="18" t="str">
        <f t="shared" si="168"/>
        <v>LABELS</v>
      </c>
      <c r="I1442" s="19">
        <v>12</v>
      </c>
      <c r="J1442" s="20">
        <v>12</v>
      </c>
    </row>
    <row r="1443" spans="1:10" ht="15.75" thickBot="1" x14ac:dyDescent="0.3">
      <c r="A1443" t="s">
        <v>31</v>
      </c>
      <c r="B1443" s="15" t="str">
        <f>"""Manzana NAV"",""MANZANA"",""99000772"",""44"","" "",""22"",""False"",""43"",""0.00000000000000000000"",""12"",""LBL HARMONS ORG Blend Apple Sauce 12/24oz"",""50220"",""False"",""29"","""",""50210"",""False"",""18"","""",""11"",""LS0186"",""2"",""10000"",""1"",""FS0186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Blend Apple Sauce 12/24oz","50220","False","29","","50210","False","18","","11","LS0186","2","10000","1","FS0186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3" s="15"/>
      <c r="D1443" s="16" t="str">
        <f>"FS0186"</f>
        <v>FS0186</v>
      </c>
      <c r="E1443" s="16">
        <v>10000</v>
      </c>
      <c r="F1443" s="16" t="str">
        <f>"LS0186"</f>
        <v>LS0186</v>
      </c>
      <c r="G1443" s="17" t="str">
        <f>"LBL HARMONS ORG Blend Apple Sauce 12/24oz"</f>
        <v>LBL HARMONS ORG Blend Apple Sauce 12/24oz</v>
      </c>
      <c r="H1443" s="18" t="str">
        <f t="shared" si="168"/>
        <v>LABELS</v>
      </c>
      <c r="I1443" s="19">
        <v>12</v>
      </c>
      <c r="J1443" s="20">
        <v>12</v>
      </c>
    </row>
    <row r="1444" spans="1:10" ht="15.75" thickBot="1" x14ac:dyDescent="0.3">
      <c r="A1444" t="s">
        <v>31</v>
      </c>
      <c r="B1444" s="15" t="str">
        <f>"""Manzana NAV"",""MANZANA"",""99000772"",""44"","" "",""22"",""False"",""43"",""0.00000000000000000000"",""12"",""LBL HARMONS ORG Blend Juice 6/64oz "",""50220"",""False"",""29"","""",""50210"",""False"",""18"","""",""11"",""LJ0229"",""2"",""10000"",""1"",""FJ0229"",""14"",""6.00000000000000000000"",""45"",""6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Blend Juice 6/64oz ","50220","False","29","","50210","False","18","","11","LJ0229","2","10000","1","FJ0229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44" s="15"/>
      <c r="D1444" s="16" t="str">
        <f>"FJ0229"</f>
        <v>FJ0229</v>
      </c>
      <c r="E1444" s="16">
        <v>10000</v>
      </c>
      <c r="F1444" s="16" t="str">
        <f>"LJ0229"</f>
        <v>LJ0229</v>
      </c>
      <c r="G1444" s="17" t="str">
        <f>"LBL HARMONS ORG Blend Juice 6/64oz "</f>
        <v xml:space="preserve">LBL HARMONS ORG Blend Juice 6/64oz </v>
      </c>
      <c r="H1444" s="18" t="str">
        <f t="shared" si="168"/>
        <v>LABELS</v>
      </c>
      <c r="I1444" s="19">
        <v>6</v>
      </c>
      <c r="J1444" s="20">
        <v>6</v>
      </c>
    </row>
    <row r="1445" spans="1:10" ht="15.75" thickBot="1" x14ac:dyDescent="0.3">
      <c r="A1445" t="s">
        <v>31</v>
      </c>
      <c r="B1445" s="15" t="str">
        <f>"""Manzana NAV"",""MANZANA"",""99000772"",""44"","" "",""22"",""False"",""43"",""0.00000000000000000000"",""12"",""LBL HARMONS ORG Cinnamon Apple Sauce 12/24oz"",""50220"",""False"",""29"","""",""50210"",""False"",""18"","""",""11"",""LS0187"",""2"",""10000"",""1"",""FS0187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Cinnamon Apple Sauce 12/24oz","50220","False","29","","50210","False","18","","11","LS0187","2","10000","1","FS0187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5" s="15"/>
      <c r="D1445" s="16" t="str">
        <f>"FS0187"</f>
        <v>FS0187</v>
      </c>
      <c r="E1445" s="16">
        <v>10000</v>
      </c>
      <c r="F1445" s="16" t="str">
        <f>"LS0187"</f>
        <v>LS0187</v>
      </c>
      <c r="G1445" s="17" t="str">
        <f>"LBL HARMONS ORG Cinnamon Apple Sauce 12/24oz"</f>
        <v>LBL HARMONS ORG Cinnamon Apple Sauce 12/24oz</v>
      </c>
      <c r="H1445" s="18" t="str">
        <f t="shared" si="168"/>
        <v>LABELS</v>
      </c>
      <c r="I1445" s="19">
        <v>12</v>
      </c>
      <c r="J1445" s="20">
        <v>12</v>
      </c>
    </row>
    <row r="1446" spans="1:10" ht="15.75" thickBot="1" x14ac:dyDescent="0.3">
      <c r="A1446" t="s">
        <v>31</v>
      </c>
      <c r="B1446" s="15" t="str">
        <f>"""Manzana NAV"",""MANZANA"",""99000772"",""44"","" "",""22"",""False"",""43"",""0.00000000000000000000"",""12"",""LBL HARMONS ORG GRAPE JUICE 12/32OZ"",""50220"",""False"",""29"","""",""50210"",""False"",""18"","""",""11"",""LJ0235"",""2"",""20000"",""1"",""FJ0235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GRAPE JUICE 12/32OZ","50220","False","29","","50210","False","18","","11","LJ0235","2","20000","1","FJ0235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6" s="15"/>
      <c r="D1446" s="16" t="str">
        <f>"FJ0235"</f>
        <v>FJ0235</v>
      </c>
      <c r="E1446" s="16">
        <v>20000</v>
      </c>
      <c r="F1446" s="16" t="str">
        <f>"LJ0235"</f>
        <v>LJ0235</v>
      </c>
      <c r="G1446" s="17" t="str">
        <f>"LBL HARMONS ORG GRAPE JUICE 12/32OZ"</f>
        <v>LBL HARMONS ORG GRAPE JUICE 12/32OZ</v>
      </c>
      <c r="H1446" s="18" t="str">
        <f t="shared" ref="H1446:H1509" si="169">"LABELS"</f>
        <v>LABELS</v>
      </c>
      <c r="I1446" s="19">
        <v>12</v>
      </c>
      <c r="J1446" s="20">
        <v>12</v>
      </c>
    </row>
    <row r="1447" spans="1:10" ht="15.75" thickBot="1" x14ac:dyDescent="0.3">
      <c r="A1447" t="s">
        <v>31</v>
      </c>
      <c r="B1447" s="15" t="str">
        <f>"""Manzana NAV"",""MANZANA"",""99000772"",""44"","" "",""22"",""False"",""43"",""0.00000000000000000000"",""12"",""LBL HARMONS ORG Grav Juice 12/32oz"",""50220"",""False"",""29"","""",""50210"",""False"",""18"","""",""11"",""LJ0234"",""2"",""10000"",""1"",""FJ0234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Grav Juice 12/32oz","50220","False","29","","50210","False","18","","11","LJ0234","2","10000","1","FJ0234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7" s="15"/>
      <c r="D1447" s="16" t="str">
        <f>"FJ0234"</f>
        <v>FJ0234</v>
      </c>
      <c r="E1447" s="16">
        <v>10000</v>
      </c>
      <c r="F1447" s="16" t="str">
        <f>"LJ0234"</f>
        <v>LJ0234</v>
      </c>
      <c r="G1447" s="17" t="str">
        <f>"LBL HARMONS ORG Grav Juice 12/32oz"</f>
        <v>LBL HARMONS ORG Grav Juice 12/32oz</v>
      </c>
      <c r="H1447" s="18" t="str">
        <f t="shared" si="169"/>
        <v>LABELS</v>
      </c>
      <c r="I1447" s="19">
        <v>12</v>
      </c>
      <c r="J1447" s="20">
        <v>12</v>
      </c>
    </row>
    <row r="1448" spans="1:10" ht="15.75" thickBot="1" x14ac:dyDescent="0.3">
      <c r="A1448" t="s">
        <v>31</v>
      </c>
      <c r="B1448" s="15" t="str">
        <f>"""Manzana NAV"",""MANZANA"",""99000772"",""44"","" "",""22"",""False"",""43"",""0.00000000000000000000"",""12"",""LBL HARMONS ORG Gravenstein Apple Sauce 12/24oz"",""50220"",""False"",""29"","""",""50210"",""False"",""18"","""",""11"",""LS0189"",""2"",""20000"",""1"",""FS0189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Gravenstein Apple Sauce 12/24oz","50220","False","29","","50210","False","18","","11","LS0189","2","20000","1","FS0189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8" s="15"/>
      <c r="D1448" s="16" t="str">
        <f>"FS0189"</f>
        <v>FS0189</v>
      </c>
      <c r="E1448" s="16">
        <v>20000</v>
      </c>
      <c r="F1448" s="16" t="str">
        <f>"LS0189"</f>
        <v>LS0189</v>
      </c>
      <c r="G1448" s="17" t="str">
        <f>"LBL HARMONS ORG Gravenstein Apple Sauce 12/24oz"</f>
        <v>LBL HARMONS ORG Gravenstein Apple Sauce 12/24oz</v>
      </c>
      <c r="H1448" s="18" t="str">
        <f t="shared" si="169"/>
        <v>LABELS</v>
      </c>
      <c r="I1448" s="19">
        <v>12</v>
      </c>
      <c r="J1448" s="20">
        <v>12</v>
      </c>
    </row>
    <row r="1449" spans="1:10" ht="15.75" thickBot="1" x14ac:dyDescent="0.3">
      <c r="A1449" t="s">
        <v>31</v>
      </c>
      <c r="B1449" s="15" t="str">
        <f>"""Manzana NAV"",""MANZANA"",""99000772"",""44"","" "",""22"",""False"",""43"",""0.00000000000000000000"",""12"",""LBL HARMONS ORG HCrisp Juice 12/32oz"",""50220"",""False"",""29"","""",""50210"",""False"",""18"","""",""11"",""LJ0232"",""2"",""10000"",""1"",""FJ0232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HCrisp Juice 12/32oz","50220","False","29","","50210","False","18","","11","LJ0232","2","10000","1","FJ0232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9" s="15"/>
      <c r="D1449" s="16" t="str">
        <f>"FJ0232"</f>
        <v>FJ0232</v>
      </c>
      <c r="E1449" s="16">
        <v>10000</v>
      </c>
      <c r="F1449" s="16" t="str">
        <f>"LJ0232"</f>
        <v>LJ0232</v>
      </c>
      <c r="G1449" s="17" t="str">
        <f>"LBL HARMONS ORG HCrisp Juice 12/32oz"</f>
        <v>LBL HARMONS ORG HCrisp Juice 12/32oz</v>
      </c>
      <c r="H1449" s="18" t="str">
        <f t="shared" si="169"/>
        <v>LABELS</v>
      </c>
      <c r="I1449" s="19">
        <v>12</v>
      </c>
      <c r="J1449" s="20">
        <v>12</v>
      </c>
    </row>
    <row r="1450" spans="1:10" ht="15.75" thickBot="1" x14ac:dyDescent="0.3">
      <c r="A1450" t="s">
        <v>31</v>
      </c>
      <c r="B1450" s="15" t="str">
        <f>"""Manzana NAV"",""MANZANA"",""99000772"",""44"","" "",""22"",""False"",""43"",""0.00000000000000000000"",""12"",""LBL HARMONS ORG HONEY CRISP AJ  6/64oz "",""50220"",""False"",""29"","""",""50210"",""False"",""18"","""",""11"",""LJ0230"",""2"",""10000"",""1"",""FJ0230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HONEY CRISP AJ  6/64oz ","50220","False","29","","50210","False","18","","11","LJ0230","2","10000","1","FJ0230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50" s="15"/>
      <c r="D1450" s="16" t="str">
        <f>"FJ0230"</f>
        <v>FJ0230</v>
      </c>
      <c r="E1450" s="16">
        <v>10000</v>
      </c>
      <c r="F1450" s="16" t="str">
        <f>"LJ0230"</f>
        <v>LJ0230</v>
      </c>
      <c r="G1450" s="17" t="str">
        <f>"LBL HARMONS ORG HONEY CRISP AJ  6/64oz "</f>
        <v xml:space="preserve">LBL HARMONS ORG HONEY CRISP AJ  6/64oz </v>
      </c>
      <c r="H1450" s="18" t="str">
        <f t="shared" si="169"/>
        <v>LABELS</v>
      </c>
      <c r="I1450" s="19">
        <v>6</v>
      </c>
      <c r="J1450" s="20">
        <v>6</v>
      </c>
    </row>
    <row r="1451" spans="1:10" ht="15.75" thickBot="1" x14ac:dyDescent="0.3">
      <c r="A1451" t="s">
        <v>31</v>
      </c>
      <c r="B1451" s="15" t="str">
        <f>"""Manzana NAV"",""MANZANA"",""99000772"",""44"","" "",""22"",""False"",""43"",""0.00000000000000000000"",""12"",""LBL HARMONS ORG Pear Juice 12/32oz"",""50220"",""False"",""29"","""",""50210"",""False"",""18"","""",""11"",""LJ0236"",""2"",""20000"",""1"",""FJ0236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Pear Juice 12/32oz","50220","False","29","","50210","False","18","","11","LJ0236","2","20000","1","FJ0236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1" s="15"/>
      <c r="D1451" s="16" t="str">
        <f>"FJ0236"</f>
        <v>FJ0236</v>
      </c>
      <c r="E1451" s="16">
        <v>20000</v>
      </c>
      <c r="F1451" s="16" t="str">
        <f>"LJ0236"</f>
        <v>LJ0236</v>
      </c>
      <c r="G1451" s="17" t="str">
        <f>"LBL HARMONS ORG Pear Juice 12/32oz"</f>
        <v>LBL HARMONS ORG Pear Juice 12/32oz</v>
      </c>
      <c r="H1451" s="18" t="str">
        <f t="shared" si="169"/>
        <v>LABELS</v>
      </c>
      <c r="I1451" s="19">
        <v>12</v>
      </c>
      <c r="J1451" s="20">
        <v>12</v>
      </c>
    </row>
    <row r="1452" spans="1:10" ht="15.75" thickBot="1" x14ac:dyDescent="0.3">
      <c r="A1452" t="s">
        <v>31</v>
      </c>
      <c r="B1452" s="15" t="str">
        <f>"""Manzana NAV"",""MANZANA"",""99000772"",""44"","" "",""22"",""False"",""43"",""0.00000000000000000000"",""12"",""LBL HARMONS ORG Pomegr Juice 12/32oz"",""50220"",""False"",""29"","""",""50210"",""False"",""18"","""",""11"",""LJ0237"",""2"",""20000"",""1"",""FJ0237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Pomegr Juice 12/32oz","50220","False","29","","50210","False","18","","11","LJ0237","2","20000","1","FJ0237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2" s="15"/>
      <c r="D1452" s="16" t="str">
        <f>"FJ0237"</f>
        <v>FJ0237</v>
      </c>
      <c r="E1452" s="16">
        <v>20000</v>
      </c>
      <c r="F1452" s="16" t="str">
        <f>"LJ0237"</f>
        <v>LJ0237</v>
      </c>
      <c r="G1452" s="17" t="str">
        <f>"LBL HARMONS ORG Pomegr Juice 12/32oz"</f>
        <v>LBL HARMONS ORG Pomegr Juice 12/32oz</v>
      </c>
      <c r="H1452" s="18" t="str">
        <f t="shared" si="169"/>
        <v>LABELS</v>
      </c>
      <c r="I1452" s="19">
        <v>12</v>
      </c>
      <c r="J1452" s="20">
        <v>12</v>
      </c>
    </row>
    <row r="1453" spans="1:10" ht="15.75" thickBot="1" x14ac:dyDescent="0.3">
      <c r="A1453" t="s">
        <v>31</v>
      </c>
      <c r="B1453" s="15" t="str">
        <f>"""Manzana NAV"",""MANZANA"",""99000772"",""44"","" "",""22"",""False"",""43"",""0.00000000000000000000"",""12"",""LBL HARMONS PREMIUM NAT AJ Blend  4/128oz"",""50220"",""False"",""29"","""",""50210"",""False"",""18"","""",""11"",""LJ0238"",""2"",""20000"",""1"",""FJ0238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PREMIUM NAT AJ Blend  4/128oz","50220","False","29","","50210","False","18","","11","LJ0238","2","20000","1","FJ0238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53" s="15"/>
      <c r="D1453" s="16" t="str">
        <f>"FJ0238"</f>
        <v>FJ0238</v>
      </c>
      <c r="E1453" s="16">
        <v>20000</v>
      </c>
      <c r="F1453" s="16" t="str">
        <f>"LJ0238"</f>
        <v>LJ0238</v>
      </c>
      <c r="G1453" s="17" t="str">
        <f>"LBL HARMONS PREMIUM NAT AJ Blend  4/128oz"</f>
        <v>LBL HARMONS PREMIUM NAT AJ Blend  4/128oz</v>
      </c>
      <c r="H1453" s="18" t="str">
        <f t="shared" si="169"/>
        <v>LABELS</v>
      </c>
      <c r="I1453" s="19">
        <v>4</v>
      </c>
      <c r="J1453" s="20">
        <v>4</v>
      </c>
    </row>
    <row r="1454" spans="1:10" ht="15.75" thickBot="1" x14ac:dyDescent="0.3">
      <c r="A1454" t="s">
        <v>31</v>
      </c>
      <c r="B1454" s="15" t="str">
        <f>"""Manzana NAV"",""MANZANA"",""99000772"",""44"","" "",""22"",""False"",""43"",""0.00000000000000000000"",""12"",""LBL HARMONS PREMIUM NAT AJ Blend 6/64oz"",""50220"",""False"",""29"","""",""50210"",""False"",""18"","""",""11"",""LJ0239"",""2"",""20000"",""1"",""FJ0239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PREMIUM NAT AJ Blend 6/64oz","50220","False","29","","50210","False","18","","11","LJ0239","2","20000","1","FJ0239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54" s="15"/>
      <c r="D1454" s="16" t="str">
        <f>"FJ0239"</f>
        <v>FJ0239</v>
      </c>
      <c r="E1454" s="16">
        <v>20000</v>
      </c>
      <c r="F1454" s="16" t="str">
        <f>"LJ0239"</f>
        <v>LJ0239</v>
      </c>
      <c r="G1454" s="17" t="str">
        <f>"LBL HARMONS PREMIUM NAT AJ Blend 6/64oz"</f>
        <v>LBL HARMONS PREMIUM NAT AJ Blend 6/64oz</v>
      </c>
      <c r="H1454" s="18" t="str">
        <f t="shared" si="169"/>
        <v>LABELS</v>
      </c>
      <c r="I1454" s="19">
        <v>6</v>
      </c>
      <c r="J1454" s="20">
        <v>6</v>
      </c>
    </row>
    <row r="1455" spans="1:10" ht="15.75" thickBot="1" x14ac:dyDescent="0.3">
      <c r="A1455" t="s">
        <v>31</v>
      </c>
      <c r="B1455" s="15" t="str">
        <f>"""Manzana NAV"",""MANZANA"",""99000772"",""44"","" "",""22"",""False"",""43"",""0.00000000000000000000"",""12"",""LBL HARRIS.TEETER ORG Vinegar 12/16oz"",""50220"",""False"",""29"","""",""50210"",""False"",""18"","""",""11"",""LV0028"",""2"",""10000"",""1"",""FV0028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HARRIS.TEETER ORG Vinegar 12/16oz","50220","False","29","","50210","False","18","","11","LV0028","2","10000","1","FV0028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5" s="15"/>
      <c r="D1455" s="16" t="str">
        <f>"FV0028"</f>
        <v>FV0028</v>
      </c>
      <c r="E1455" s="16">
        <v>10000</v>
      </c>
      <c r="F1455" s="16" t="str">
        <f>"LV0028"</f>
        <v>LV0028</v>
      </c>
      <c r="G1455" s="17" t="str">
        <f>"LBL HARRIS.TEETER ORG Vinegar 12/16oz"</f>
        <v>LBL HARRIS.TEETER ORG Vinegar 12/16oz</v>
      </c>
      <c r="H1455" s="18" t="str">
        <f t="shared" si="169"/>
        <v>LABELS</v>
      </c>
      <c r="I1455" s="19">
        <v>12</v>
      </c>
      <c r="J1455" s="20">
        <v>12</v>
      </c>
    </row>
    <row r="1456" spans="1:10" ht="15.75" thickBot="1" x14ac:dyDescent="0.3">
      <c r="A1456" t="s">
        <v>31</v>
      </c>
      <c r="B1456" s="15" t="str">
        <f>"""Manzana NAV"",""MANZANA"",""99000772"",""44"","" "",""22"",""False"",""43"",""0.00000000000000000000"",""12"",""LBL HEINEN ORG Apricot Apple Sauce 12/24oz"",""50220"",""False"",""29"","""",""50210"",""False"",""18"","""",""11"",""LS0046"",""2"",""20000"",""1"",""FS0046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HEINEN ORG Apricot Apple Sauce 12/24oz","50220","False","29","","50210","False","18","","11","LS0046","2","20000","1","FS0046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6" s="15"/>
      <c r="D1456" s="16" t="str">
        <f>"FS0046"</f>
        <v>FS0046</v>
      </c>
      <c r="E1456" s="16">
        <v>20000</v>
      </c>
      <c r="F1456" s="16" t="str">
        <f>"LS0046"</f>
        <v>LS0046</v>
      </c>
      <c r="G1456" s="17" t="str">
        <f>"LBL HEINEN ORG Apricot Apple Sauce 12/24oz"</f>
        <v>LBL HEINEN ORG Apricot Apple Sauce 12/24oz</v>
      </c>
      <c r="H1456" s="18" t="str">
        <f t="shared" si="169"/>
        <v>LABELS</v>
      </c>
      <c r="I1456" s="19">
        <v>12</v>
      </c>
      <c r="J1456" s="20">
        <v>12</v>
      </c>
    </row>
    <row r="1457" spans="1:10" ht="15.75" thickBot="1" x14ac:dyDescent="0.3">
      <c r="A1457" t="s">
        <v>31</v>
      </c>
      <c r="B1457" s="15" t="str">
        <f>"""Manzana NAV"",""MANZANA"",""99000772"",""44"","" "",""22"",""False"",""43"",""0.00000000000000000000"",""12"",""LBL HEINEN ORG Blend Apple Sauce 12/24oz"",""50220"",""False"",""29"","""",""50210"",""False"",""18"","""",""11"",""LS0044"",""2"",""20000"",""1"",""FS0044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HEINEN ORG Blend Apple Sauce 12/24oz","50220","False","29","","50210","False","18","","11","LS0044","2","20000","1","FS0044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7" s="15"/>
      <c r="D1457" s="16" t="str">
        <f>"FS0044"</f>
        <v>FS0044</v>
      </c>
      <c r="E1457" s="16">
        <v>20000</v>
      </c>
      <c r="F1457" s="16" t="str">
        <f>"LS0044"</f>
        <v>LS0044</v>
      </c>
      <c r="G1457" s="17" t="str">
        <f>"LBL HEINEN ORG Blend Apple Sauce 12/24oz"</f>
        <v>LBL HEINEN ORG Blend Apple Sauce 12/24oz</v>
      </c>
      <c r="H1457" s="18" t="str">
        <f t="shared" si="169"/>
        <v>LABELS</v>
      </c>
      <c r="I1457" s="19">
        <v>12</v>
      </c>
      <c r="J1457" s="20">
        <v>12</v>
      </c>
    </row>
    <row r="1458" spans="1:10" ht="15.75" thickBot="1" x14ac:dyDescent="0.3">
      <c r="A1458" t="s">
        <v>31</v>
      </c>
      <c r="B1458" s="15" t="str">
        <f>"""Manzana NAV"",""MANZANA"",""99000772"",""44"","" "",""22"",""False"",""43"",""0.00000000000000000000"",""12"",""LBL HEINEN ORG Cinn Apple Sauce 12/24oz"",""50220"",""False"",""29"","""",""50210"",""False"",""18"","""",""11"",""LS0045"",""2"",""20000"",""1"",""FS0045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HEINEN ORG Cinn Apple Sauce 12/24oz","50220","False","29","","50210","False","18","","11","LS0045","2","20000","1","FS0045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8" s="15"/>
      <c r="D1458" s="16" t="str">
        <f>"FS0045"</f>
        <v>FS0045</v>
      </c>
      <c r="E1458" s="16">
        <v>20000</v>
      </c>
      <c r="F1458" s="16" t="str">
        <f>"LS0045"</f>
        <v>LS0045</v>
      </c>
      <c r="G1458" s="17" t="str">
        <f>"LBL HEINEN ORG Cinn Apple Sauce 12/24oz"</f>
        <v>LBL HEINEN ORG Cinn Apple Sauce 12/24oz</v>
      </c>
      <c r="H1458" s="18" t="str">
        <f t="shared" si="169"/>
        <v>LABELS</v>
      </c>
      <c r="I1458" s="19">
        <v>12</v>
      </c>
      <c r="J1458" s="20">
        <v>12</v>
      </c>
    </row>
    <row r="1459" spans="1:10" ht="15.75" thickBot="1" x14ac:dyDescent="0.3">
      <c r="A1459" t="s">
        <v>31</v>
      </c>
      <c r="B1459" s="15" t="str">
        <f>"""Manzana NAV"",""MANZANA"",""99000772"",""44"","" "",""22"",""False"",""43"",""0.00000000000000000000"",""12"",""LBL KINGS ORG Cinnamon Apple Sauce 12/24oz"",""50220"",""False"",""29"","""",""50210"",""False"",""18"","""",""11"",""LS0144"",""2"",""20000"",""1"",""FS0168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KINGS ORG Cinnamon Apple Sauce 12/24oz","50220","False","29","","50210","False","18","","11","LS0144","2","20000","1","FS0168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9" s="15"/>
      <c r="D1459" s="16" t="str">
        <f>"FS0168"</f>
        <v>FS0168</v>
      </c>
      <c r="E1459" s="16">
        <v>20000</v>
      </c>
      <c r="F1459" s="16" t="str">
        <f>"LS0144"</f>
        <v>LS0144</v>
      </c>
      <c r="G1459" s="17" t="str">
        <f>"LBL KINGS ORG Cinnamon Apple Sauce 12/24oz"</f>
        <v>LBL KINGS ORG Cinnamon Apple Sauce 12/24oz</v>
      </c>
      <c r="H1459" s="18" t="str">
        <f t="shared" si="169"/>
        <v>LABELS</v>
      </c>
      <c r="I1459" s="19">
        <v>12</v>
      </c>
      <c r="J1459" s="20">
        <v>12</v>
      </c>
    </row>
    <row r="1460" spans="1:10" ht="15.75" thickBot="1" x14ac:dyDescent="0.3">
      <c r="A1460" t="s">
        <v>31</v>
      </c>
      <c r="B1460" s="15" t="str">
        <f>"""Manzana NAV"",""MANZANA"",""99000772"",""44"","" "",""22"",""False"",""43"",""0.00000000000000000000"",""12"",""LBL LOHAS ORG Vinegar 12/32oz"",""50220"",""False"",""29"","""",""50210"",""False"",""18"","""",""11"",""LV0039"",""2"",""10000"",""1"",""FV0039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LOHAS ORG Vinegar 12/32oz","50220","False","29","","50210","False","18","","11","LV0039","2","10000","1","FV0039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0" s="15"/>
      <c r="D1460" s="16" t="str">
        <f>"FV0039"</f>
        <v>FV0039</v>
      </c>
      <c r="E1460" s="16">
        <v>10000</v>
      </c>
      <c r="F1460" s="16" t="str">
        <f>"LV0039"</f>
        <v>LV0039</v>
      </c>
      <c r="G1460" s="17" t="str">
        <f>"LBL LOHAS ORG Vinegar 12/32oz"</f>
        <v>LBL LOHAS ORG Vinegar 12/32oz</v>
      </c>
      <c r="H1460" s="18" t="str">
        <f t="shared" si="169"/>
        <v>LABELS</v>
      </c>
      <c r="I1460" s="19">
        <v>12</v>
      </c>
      <c r="J1460" s="20">
        <v>12</v>
      </c>
    </row>
    <row r="1461" spans="1:10" ht="15.75" thickBot="1" x14ac:dyDescent="0.3">
      <c r="A1461" t="s">
        <v>31</v>
      </c>
      <c r="B1461" s="15" t="str">
        <f>"""Manzana NAV"",""MANZANA"",""99000772"",""44"","" "",""22"",""False"",""43"",""0.00000000000000000000"",""12"",""LBL LOUISBURG ORG Vinegar 12/16oz"",""50220"",""False"",""29"","""",""50210"",""False"",""18"","""",""11"",""LV0029"",""2"",""20000"",""1"",""FV0029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LOUISBURG ORG Vinegar 12/16oz","50220","False","29","","50210","False","18","","11","LV0029","2","20000","1","FV0029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1" s="15"/>
      <c r="D1461" s="16" t="str">
        <f>"FV0029"</f>
        <v>FV0029</v>
      </c>
      <c r="E1461" s="16">
        <v>20000</v>
      </c>
      <c r="F1461" s="16" t="str">
        <f>"LV0029"</f>
        <v>LV0029</v>
      </c>
      <c r="G1461" s="17" t="str">
        <f>"LBL LOUISBURG ORG Vinegar 12/16oz"</f>
        <v>LBL LOUISBURG ORG Vinegar 12/16oz</v>
      </c>
      <c r="H1461" s="18" t="str">
        <f t="shared" si="169"/>
        <v>LABELS</v>
      </c>
      <c r="I1461" s="19">
        <v>12</v>
      </c>
      <c r="J1461" s="20">
        <v>12</v>
      </c>
    </row>
    <row r="1462" spans="1:10" ht="15.75" thickBot="1" x14ac:dyDescent="0.3">
      <c r="A1462" t="s">
        <v>31</v>
      </c>
      <c r="B1462" s="15" t="str">
        <f>"""Manzana NAV"",""MANZANA"",""99000772"",""44"","" "",""22"",""False"",""43"",""0.00000000000000000000"",""12"",""LBL LOUISBURG ORG Vinegar 12/32oz"",""50220"",""False"",""29"","""",""50210"",""False"",""18"","""",""11"",""LV0030"",""2"",""20000"",""1"",""FV0030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LOUISBURG ORG Vinegar 12/32oz","50220","False","29","","50210","False","18","","11","LV0030","2","20000","1","FV0030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2" s="15"/>
      <c r="D1462" s="16" t="str">
        <f>"FV0030"</f>
        <v>FV0030</v>
      </c>
      <c r="E1462" s="16">
        <v>20000</v>
      </c>
      <c r="F1462" s="16" t="str">
        <f>"LV0030"</f>
        <v>LV0030</v>
      </c>
      <c r="G1462" s="17" t="str">
        <f>"LBL LOUISBURG ORG Vinegar 12/32oz"</f>
        <v>LBL LOUISBURG ORG Vinegar 12/32oz</v>
      </c>
      <c r="H1462" s="18" t="str">
        <f t="shared" si="169"/>
        <v>LABELS</v>
      </c>
      <c r="I1462" s="19">
        <v>12</v>
      </c>
      <c r="J1462" s="20">
        <v>12</v>
      </c>
    </row>
    <row r="1463" spans="1:10" ht="15.75" thickBot="1" x14ac:dyDescent="0.3">
      <c r="A1463" t="s">
        <v>31</v>
      </c>
      <c r="B1463" s="15" t="str">
        <f>"""Manzana NAV"",""MANZANA"",""99000772"",""44"","" "",""22"",""False"",""43"",""0.00000000000000000000"",""12"",""LBL LUCKY'S MKT ORG AC Vinegar 12/32oz"",""50220"",""False"",""29"","""",""50210"",""False"",""18"","""",""11"",""LV0040"",""2"",""10000"",""1"",""FV0040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MKT ORG AC Vinegar 12/32oz","50220","False","29","","50210","False","18","","11","LV0040","2","10000","1","FV0040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3" s="15"/>
      <c r="D1463" s="16" t="str">
        <f>"FV0040"</f>
        <v>FV0040</v>
      </c>
      <c r="E1463" s="16">
        <v>10000</v>
      </c>
      <c r="F1463" s="16" t="str">
        <f>"LV0040"</f>
        <v>LV0040</v>
      </c>
      <c r="G1463" s="17" t="str">
        <f>"LBL LUCKY'S MKT ORG AC Vinegar 12/32oz"</f>
        <v>LBL LUCKY'S MKT ORG AC Vinegar 12/32oz</v>
      </c>
      <c r="H1463" s="18" t="str">
        <f t="shared" si="169"/>
        <v>LABELS</v>
      </c>
      <c r="I1463" s="19">
        <v>12</v>
      </c>
      <c r="J1463" s="20">
        <v>12</v>
      </c>
    </row>
    <row r="1464" spans="1:10" ht="15.75" thickBot="1" x14ac:dyDescent="0.3">
      <c r="A1464" t="s">
        <v>31</v>
      </c>
      <c r="B1464" s="15" t="str">
        <f>"""Manzana NAV"",""MANZANA"",""99000772"",""44"","" "",""22"",""False"",""43"",""0.00000000000000000000"",""12"",""LBL LUCKY'S NAT Blend Apple Sauce 12/24oz"",""50220"",""False"",""29"","""",""50210"",""False"",""18"","""",""11"",""LS0196"",""2"",""10000"",""1"",""FS0196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NAT Blend Apple Sauce 12/24oz","50220","False","29","","50210","False","18","","11","LS0196","2","10000","1","FS0196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4" s="15"/>
      <c r="D1464" s="16" t="str">
        <f>"FS0196"</f>
        <v>FS0196</v>
      </c>
      <c r="E1464" s="16">
        <v>10000</v>
      </c>
      <c r="F1464" s="16" t="str">
        <f>"LS0196"</f>
        <v>LS0196</v>
      </c>
      <c r="G1464" s="17" t="str">
        <f>"LBL LUCKY'S NAT Blend Apple Sauce 12/24oz"</f>
        <v>LBL LUCKY'S NAT Blend Apple Sauce 12/24oz</v>
      </c>
      <c r="H1464" s="18" t="str">
        <f t="shared" si="169"/>
        <v>LABELS</v>
      </c>
      <c r="I1464" s="19">
        <v>12</v>
      </c>
      <c r="J1464" s="20">
        <v>12</v>
      </c>
    </row>
    <row r="1465" spans="1:10" ht="15.75" thickBot="1" x14ac:dyDescent="0.3">
      <c r="A1465" t="s">
        <v>31</v>
      </c>
      <c r="B1465" s="15" t="str">
        <f>"""Manzana NAV"",""MANZANA"",""99000772"",""44"","" "",""22"",""False"",""43"",""0.00000000000000000000"",""12"",""LBL LUCKY'S NAT Blend Juice 4/128oz"",""50220"",""False"",""29"","""",""50210"",""False"",""18"","""",""11"",""LJ0240"",""2"",""10000"",""1"",""FJ0240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NAT Blend Juice 4/128oz","50220","False","29","","50210","False","18","","11","LJ0240","2","10000","1","FJ0240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65" s="15"/>
      <c r="D1465" s="16" t="str">
        <f>"FJ0240"</f>
        <v>FJ0240</v>
      </c>
      <c r="E1465" s="16">
        <v>10000</v>
      </c>
      <c r="F1465" s="16" t="str">
        <f>"LJ0240"</f>
        <v>LJ0240</v>
      </c>
      <c r="G1465" s="17" t="str">
        <f>"LBL LUCKY'S NAT Blend Juice 4/128oz"</f>
        <v>LBL LUCKY'S NAT Blend Juice 4/128oz</v>
      </c>
      <c r="H1465" s="18" t="str">
        <f t="shared" si="169"/>
        <v>LABELS</v>
      </c>
      <c r="I1465" s="19">
        <v>4</v>
      </c>
      <c r="J1465" s="20">
        <v>4</v>
      </c>
    </row>
    <row r="1466" spans="1:10" ht="15.75" thickBot="1" x14ac:dyDescent="0.3">
      <c r="A1466" t="s">
        <v>31</v>
      </c>
      <c r="B1466" s="15" t="str">
        <f>"""Manzana NAV"",""MANZANA"",""99000772"",""44"","" "",""22"",""False"",""43"",""0.00000000000000000000"",""12"",""LBL LUCKY'S NAT Cinnamon A S 12/24oz"",""50220"",""False"",""29"","""",""50210"",""False"",""18"","""",""11"",""LS0197"",""2"",""10000"",""1"",""FS0197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NAT Cinnamon A S 12/24oz","50220","False","29","","50210","False","18","","11","LS0197","2","10000","1","FS0197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6" s="15"/>
      <c r="D1466" s="16" t="str">
        <f>"FS0197"</f>
        <v>FS0197</v>
      </c>
      <c r="E1466" s="16">
        <v>10000</v>
      </c>
      <c r="F1466" s="16" t="str">
        <f>"LS0197"</f>
        <v>LS0197</v>
      </c>
      <c r="G1466" s="17" t="str">
        <f>"LBL LUCKY'S NAT Cinnamon A S 12/24oz"</f>
        <v>LBL LUCKY'S NAT Cinnamon A S 12/24oz</v>
      </c>
      <c r="H1466" s="18" t="str">
        <f t="shared" si="169"/>
        <v>LABELS</v>
      </c>
      <c r="I1466" s="19">
        <v>12</v>
      </c>
      <c r="J1466" s="20">
        <v>12</v>
      </c>
    </row>
    <row r="1467" spans="1:10" ht="15.75" thickBot="1" x14ac:dyDescent="0.3">
      <c r="A1467" t="s">
        <v>31</v>
      </c>
      <c r="B1467" s="15" t="str">
        <f>"""Manzana NAV"",""MANZANA"",""99000772"",""44"","" "",""22"",""False"",""43"",""0.00000000000000000000"",""12"",""LBL MACHADO.ORCHARDS NAT Blend Juice 4/128oz"",""50220"",""False"",""29"","""",""50210"",""False"",""18"","""",""11"",""LJ0210"",""2"",""10000"",""1"",""FJ0210"",""14"",""4.00000000000000000000"""&amp;",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MACHADO.ORCHARDS NAT Blend Juice 4/128oz","50220","False","29","","50210","False","18","","11","LJ0210","2","10000","1","FJ0210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67" s="15"/>
      <c r="D1467" s="16" t="str">
        <f>"FJ0210"</f>
        <v>FJ0210</v>
      </c>
      <c r="E1467" s="16">
        <v>10000</v>
      </c>
      <c r="F1467" s="16" t="str">
        <f>"LJ0210"</f>
        <v>LJ0210</v>
      </c>
      <c r="G1467" s="17" t="str">
        <f>"LBL MACHADO.ORCHARDS NAT Blend Juice 4/128oz"</f>
        <v>LBL MACHADO.ORCHARDS NAT Blend Juice 4/128oz</v>
      </c>
      <c r="H1467" s="18" t="str">
        <f t="shared" si="169"/>
        <v>LABELS</v>
      </c>
      <c r="I1467" s="19">
        <v>4</v>
      </c>
      <c r="J1467" s="20">
        <v>4</v>
      </c>
    </row>
    <row r="1468" spans="1:10" ht="15.75" thickBot="1" x14ac:dyDescent="0.3">
      <c r="A1468" t="s">
        <v>31</v>
      </c>
      <c r="B1468" s="15" t="str">
        <f>"""Manzana NAV"",""MANZANA"",""99000772"",""44"","" "",""22"",""False"",""43"",""0.00000000000000000000"",""12"",""LBL MACHADO.ORCHARDS NAT Blend Juice 6/64oz"",""50220"",""False"",""29"","""",""50210"",""False"",""18"","""",""11"",""LJ0241"",""2"",""10000"",""1"",""FJ0241"",""14"",""6.00000000000000000000"","&amp;"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MACHADO.ORCHARDS NAT Blend Juice 6/64oz","50220","False","29","","50210","False","18","","11","LJ0241","2","10000","1","FJ0241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68" s="15"/>
      <c r="D1468" s="16" t="str">
        <f>"FJ0241"</f>
        <v>FJ0241</v>
      </c>
      <c r="E1468" s="16">
        <v>10000</v>
      </c>
      <c r="F1468" s="16" t="str">
        <f>"LJ0241"</f>
        <v>LJ0241</v>
      </c>
      <c r="G1468" s="17" t="str">
        <f>"LBL MACHADO.ORCHARDS NAT Blend Juice 6/64oz"</f>
        <v>LBL MACHADO.ORCHARDS NAT Blend Juice 6/64oz</v>
      </c>
      <c r="H1468" s="18" t="str">
        <f t="shared" si="169"/>
        <v>LABELS</v>
      </c>
      <c r="I1468" s="19">
        <v>6</v>
      </c>
      <c r="J1468" s="20">
        <v>6</v>
      </c>
    </row>
    <row r="1469" spans="1:10" ht="15.75" thickBot="1" x14ac:dyDescent="0.3">
      <c r="A1469" t="s">
        <v>31</v>
      </c>
      <c r="B1469" s="15" t="str">
        <f>"""Manzana NAV"",""MANZANA"",""99000772"",""44"","" "",""22"",""False"",""43"",""0.00000000000000000000"",""12"",""LBL MINI.MACRO ORG Blend Apple Sauce 6/5/4/4oz"",""50220"",""False"",""29"","""",""50210"",""False"",""18"","""",""11"",""LS0150"",""2"",""30000"",""1"",""FS0150"",""14"",""30.000000000000000000"&amp;"00"",""45"",""30.00000000000000000000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MINI.MACRO ORG Blend Apple Sauce 6/5/4/4oz","50220","False","29","","50210","False","18","","11","LS0150","2","30000","1","FS0150","14","30.00000000000000000000","45","30.00000000000000000000","19","","20","0.00000000000000000000","50000","0.00000000000000000000","50230","False","28","","10","Item","13","LABELS","21","","3","","42","0.00000000000000000000","50200","False","41","0.00000000000000000000"</v>
      </c>
      <c r="C1469" s="15"/>
      <c r="D1469" s="16" t="str">
        <f>"FS0150"</f>
        <v>FS0150</v>
      </c>
      <c r="E1469" s="16">
        <v>30000</v>
      </c>
      <c r="F1469" s="16" t="str">
        <f>"LS0150"</f>
        <v>LS0150</v>
      </c>
      <c r="G1469" s="17" t="str">
        <f>"LBL MINI.MACRO ORG Blend Apple Sauce 6/5/4/4oz"</f>
        <v>LBL MINI.MACRO ORG Blend Apple Sauce 6/5/4/4oz</v>
      </c>
      <c r="H1469" s="18" t="str">
        <f t="shared" si="169"/>
        <v>LABELS</v>
      </c>
      <c r="I1469" s="19">
        <v>30</v>
      </c>
      <c r="J1469" s="20">
        <v>30</v>
      </c>
    </row>
    <row r="1470" spans="1:10" ht="15.75" thickBot="1" x14ac:dyDescent="0.3">
      <c r="A1470" t="s">
        <v>31</v>
      </c>
      <c r="B1470" s="15" t="str">
        <f>"""Manzana NAV"",""MANZANA"",""99000772"",""44"","" "",""22"",""False"",""43"",""0.00000000000000000000"",""12"",""LBL MOLLIE.STONES NAT Blend Apple Sauce 12/33oz"",""50220"",""False"",""29"","""",""50210"",""False"",""18"","""",""11"",""LS0051"",""2"",""20000"",""1"",""FS0051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NAT Blend Apple Sauce 12/33oz","50220","False","29","","50210","False","18","","11","LS0051","2","20000","1","FS0051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0" s="15"/>
      <c r="D1470" s="16" t="str">
        <f>"FS0051"</f>
        <v>FS0051</v>
      </c>
      <c r="E1470" s="16">
        <v>20000</v>
      </c>
      <c r="F1470" s="16" t="str">
        <f>"LS0051"</f>
        <v>LS0051</v>
      </c>
      <c r="G1470" s="17" t="str">
        <f>"LBL MOLLIE.STONES NAT Blend Apple Sauce 12/33oz"</f>
        <v>LBL MOLLIE.STONES NAT Blend Apple Sauce 12/33oz</v>
      </c>
      <c r="H1470" s="18" t="str">
        <f t="shared" si="169"/>
        <v>LABELS</v>
      </c>
      <c r="I1470" s="19">
        <v>12</v>
      </c>
      <c r="J1470" s="20">
        <v>12</v>
      </c>
    </row>
    <row r="1471" spans="1:10" ht="15.75" thickBot="1" x14ac:dyDescent="0.3">
      <c r="A1471" t="s">
        <v>31</v>
      </c>
      <c r="B1471" s="15" t="str">
        <f>"""Manzana NAV"",""MANZANA"",""99000772"",""44"","" "",""22"",""False"",""43"",""0.00000000000000000000"",""12"",""LBL MOLLIE.STONES ORG Berry Apple Sauce 12/24oz"",""50220"",""False"",""29"","""",""50210"",""False"",""18"","""",""11"",""LS0049"",""2"",""20000"",""1"",""FS0049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Berry Apple Sauce 12/24oz","50220","False","29","","50210","False","18","","11","LS0049","2","20000","1","FS0049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1" s="15"/>
      <c r="D1471" s="16" t="str">
        <f>"FS0049"</f>
        <v>FS0049</v>
      </c>
      <c r="E1471" s="16">
        <v>20000</v>
      </c>
      <c r="F1471" s="16" t="str">
        <f>"LS0049"</f>
        <v>LS0049</v>
      </c>
      <c r="G1471" s="17" t="str">
        <f>"LBL MOLLIE.STONES ORG Berry Apple Sauce 12/24oz"</f>
        <v>LBL MOLLIE.STONES ORG Berry Apple Sauce 12/24oz</v>
      </c>
      <c r="H1471" s="18" t="str">
        <f t="shared" si="169"/>
        <v>LABELS</v>
      </c>
      <c r="I1471" s="19">
        <v>12</v>
      </c>
      <c r="J1471" s="20">
        <v>12</v>
      </c>
    </row>
    <row r="1472" spans="1:10" ht="15.75" thickBot="1" x14ac:dyDescent="0.3">
      <c r="A1472" t="s">
        <v>31</v>
      </c>
      <c r="B1472" s="15" t="str">
        <f>"""Manzana NAV"",""MANZANA"",""99000772"",""44"","" "",""22"",""False"",""43"",""0.00000000000000000000"",""12"",""LBL MOLLIE.STONES ORG Blend Apple Sauce 12/24oz"",""50220"",""False"",""29"","""",""50210"",""False"",""18"","""",""11"",""LS0048"",""2"",""20000"",""1"",""FS0048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Blend Apple Sauce 12/24oz","50220","False","29","","50210","False","18","","11","LS0048","2","20000","1","FS0048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2" s="15"/>
      <c r="D1472" s="16" t="str">
        <f>"FS0048"</f>
        <v>FS0048</v>
      </c>
      <c r="E1472" s="16">
        <v>20000</v>
      </c>
      <c r="F1472" s="16" t="str">
        <f>"LS0048"</f>
        <v>LS0048</v>
      </c>
      <c r="G1472" s="17" t="str">
        <f>"LBL MOLLIE.STONES ORG Blend Apple Sauce 12/24oz"</f>
        <v>LBL MOLLIE.STONES ORG Blend Apple Sauce 12/24oz</v>
      </c>
      <c r="H1472" s="18" t="str">
        <f t="shared" si="169"/>
        <v>LABELS</v>
      </c>
      <c r="I1472" s="19">
        <v>12</v>
      </c>
      <c r="J1472" s="20">
        <v>12</v>
      </c>
    </row>
    <row r="1473" spans="1:10" ht="15.75" thickBot="1" x14ac:dyDescent="0.3">
      <c r="A1473" t="s">
        <v>31</v>
      </c>
      <c r="B1473" s="15" t="str">
        <f>"""Manzana NAV"",""MANZANA"",""99000772"",""44"","" "",""22"",""False"",""43"",""0.00000000000000000000"",""12"",""LBL MOLLIE.STONES ORG Blend Juice 6/64oz"",""50220"",""False"",""29"","""",""50210"",""False"",""18"","""",""11"",""LJ0041"",""2"",""10000"",""1"",""FJ0041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Blend Juice 6/64oz","50220","False","29","","50210","False","18","","11","LJ0041","2","10000","1","FJ0041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73" s="15"/>
      <c r="D1473" s="16" t="str">
        <f>"FJ0041"</f>
        <v>FJ0041</v>
      </c>
      <c r="E1473" s="16">
        <v>10000</v>
      </c>
      <c r="F1473" s="16" t="str">
        <f>"LJ0041"</f>
        <v>LJ0041</v>
      </c>
      <c r="G1473" s="17" t="str">
        <f>"LBL MOLLIE.STONES ORG Blend Juice 6/64oz"</f>
        <v>LBL MOLLIE.STONES ORG Blend Juice 6/64oz</v>
      </c>
      <c r="H1473" s="18" t="str">
        <f t="shared" si="169"/>
        <v>LABELS</v>
      </c>
      <c r="I1473" s="19">
        <v>6</v>
      </c>
      <c r="J1473" s="20">
        <v>6</v>
      </c>
    </row>
    <row r="1474" spans="1:10" ht="15.75" thickBot="1" x14ac:dyDescent="0.3">
      <c r="A1474" t="s">
        <v>31</v>
      </c>
      <c r="B1474" s="15" t="str">
        <f>"""Manzana NAV"",""MANZANA"",""99000772"",""44"","" "",""22"",""False"",""43"",""0.00000000000000000000"",""12"",""LBL MOLLIE.STONES ORG Grav AS 12/24oz"",""50220"",""False"",""29"","""",""50210"",""False"",""18"","""",""11"",""LS0115"",""2"",""10000"",""1"",""FS0115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Grav AS 12/24oz","50220","False","29","","50210","False","18","","11","LS0115","2","10000","1","FS0115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4" s="15"/>
      <c r="D1474" s="16" t="str">
        <f>"FS0115"</f>
        <v>FS0115</v>
      </c>
      <c r="E1474" s="16">
        <v>10000</v>
      </c>
      <c r="F1474" s="16" t="str">
        <f>"LS0115"</f>
        <v>LS0115</v>
      </c>
      <c r="G1474" s="17" t="str">
        <f>"LBL MOLLIE.STONES ORG Grav AS 12/24oz"</f>
        <v>LBL MOLLIE.STONES ORG Grav AS 12/24oz</v>
      </c>
      <c r="H1474" s="18" t="str">
        <f t="shared" si="169"/>
        <v>LABELS</v>
      </c>
      <c r="I1474" s="19">
        <v>12</v>
      </c>
      <c r="J1474" s="20">
        <v>12</v>
      </c>
    </row>
    <row r="1475" spans="1:10" ht="15.75" thickBot="1" x14ac:dyDescent="0.3">
      <c r="A1475" t="s">
        <v>31</v>
      </c>
      <c r="B1475" s="15" t="str">
        <f>"""Manzana NAV"",""MANZANA"",""99000772"",""44"","" "",""22"",""False"",""43"",""0.00000000000000000000"",""12"",""LBL MRS.GOOCH'S NAT Blend Apple Sauce 12/33oz"",""50220"",""False"",""29"","""",""50210"",""False"",""18"","""",""11"",""LS0052"",""2"",""20000"",""1"",""FS0052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MRS.GOOCH'S NAT Blend Apple Sauce 12/33oz","50220","False","29","","50210","False","18","","11","LS0052","2","20000","1","FS0052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5" s="15"/>
      <c r="D1475" s="16" t="str">
        <f>"FS0052"</f>
        <v>FS0052</v>
      </c>
      <c r="E1475" s="16">
        <v>20000</v>
      </c>
      <c r="F1475" s="16" t="str">
        <f>"LS0052"</f>
        <v>LS0052</v>
      </c>
      <c r="G1475" s="17" t="str">
        <f>"LBL MRS.GOOCH'S NAT Blend Apple Sauce 12/33oz"</f>
        <v>LBL MRS.GOOCH'S NAT Blend Apple Sauce 12/33oz</v>
      </c>
      <c r="H1475" s="18" t="str">
        <f t="shared" si="169"/>
        <v>LABELS</v>
      </c>
      <c r="I1475" s="19">
        <v>12</v>
      </c>
      <c r="J1475" s="20">
        <v>12</v>
      </c>
    </row>
    <row r="1476" spans="1:10" ht="15.75" thickBot="1" x14ac:dyDescent="0.3">
      <c r="A1476" t="s">
        <v>31</v>
      </c>
      <c r="B1476" s="15" t="str">
        <f>"""Manzana NAV"",""MANZANA"",""99000772"",""44"","" "",""22"",""False"",""43"",""0.00000000000000000000"",""12"",""LBL N.COAST Limited-Edition ORG Grav Juice 12/32oz"",""50220"",""False"",""29"","""",""50210"",""False"",""18"","""",""11"",""LJ0217"",""2"",""10000"",""1"",""FJ0217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Limited-Edition ORG Grav Juice 12/32oz","50220","False","29","","50210","False","18","","11","LJ0217","2","10000","1","FJ0217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6" s="15"/>
      <c r="D1476" s="16" t="str">
        <f>"FJ0217"</f>
        <v>FJ0217</v>
      </c>
      <c r="E1476" s="16">
        <v>10000</v>
      </c>
      <c r="F1476" s="16" t="str">
        <f>"LJ0217"</f>
        <v>LJ0217</v>
      </c>
      <c r="G1476" s="17" t="str">
        <f>"LBL N.COAST Limited-Edition ORG Grav Juice 12/32oz"</f>
        <v>LBL N.COAST Limited-Edition ORG Grav Juice 12/32oz</v>
      </c>
      <c r="H1476" s="18" t="str">
        <f t="shared" si="169"/>
        <v>LABELS</v>
      </c>
      <c r="I1476" s="19">
        <v>12</v>
      </c>
      <c r="J1476" s="20">
        <v>12</v>
      </c>
    </row>
    <row r="1477" spans="1:10" ht="15.75" thickBot="1" x14ac:dyDescent="0.3">
      <c r="A1477" t="s">
        <v>31</v>
      </c>
      <c r="B1477" s="15" t="str">
        <f>"""Manzana NAV"",""MANZANA"",""99000772"",""44"","" "",""22"",""False"",""43"",""0.00000000000000000000"",""12"",""LBL N.COAST NAT Blend Juice 6/64oz"",""50220"",""False"",""29"","""",""50210"",""False"",""18"","""",""11"",""LJ0084"",""2"",""10000"",""1"",""FJ0220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NAT Blend Juice 6/64oz","50220","False","29","","50210","False","18","","11","LJ0084","2","10000","1","FJ0220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77" s="15"/>
      <c r="D1477" s="16" t="str">
        <f>"FJ0220"</f>
        <v>FJ0220</v>
      </c>
      <c r="E1477" s="16">
        <v>10000</v>
      </c>
      <c r="F1477" s="16" t="str">
        <f>"LJ0084"</f>
        <v>LJ0084</v>
      </c>
      <c r="G1477" s="17" t="str">
        <f>"LBL N.COAST NAT Blend Juice 6/64oz"</f>
        <v>LBL N.COAST NAT Blend Juice 6/64oz</v>
      </c>
      <c r="H1477" s="18" t="str">
        <f t="shared" si="169"/>
        <v>LABELS</v>
      </c>
      <c r="I1477" s="19">
        <v>6</v>
      </c>
      <c r="J1477" s="20">
        <v>6</v>
      </c>
    </row>
    <row r="1478" spans="1:10" ht="15.75" thickBot="1" x14ac:dyDescent="0.3">
      <c r="A1478" t="s">
        <v>31</v>
      </c>
      <c r="B1478" s="15" t="str">
        <f>"""Manzana NAV"",""MANZANA"",""99000772"",""44"","" "",""22"",""False"",""43"",""0.00000000000000000000"",""12"",""LBL N.COAST NAT Cider 4/128oz"",""50220"",""False"",""29"","""",""50210"",""False"",""18"","""",""11"",""LJ0186"",""2"",""5000"",""1"",""FJ0186"",""14"",""12.00000000000000000000"",""45"",""12.00000"&amp;"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NAT Cider 4/128oz","50220","False","29","","50210","False","18","","11","LJ0186","2","5000","1","FJ0186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8" s="15"/>
      <c r="D1478" s="16" t="str">
        <f>"FJ0186"</f>
        <v>FJ0186</v>
      </c>
      <c r="E1478" s="16">
        <v>5000</v>
      </c>
      <c r="F1478" s="16" t="str">
        <f>"LJ0186"</f>
        <v>LJ0186</v>
      </c>
      <c r="G1478" s="17" t="str">
        <f>"LBL N.COAST NAT Cider 4/128oz"</f>
        <v>LBL N.COAST NAT Cider 4/128oz</v>
      </c>
      <c r="H1478" s="18" t="str">
        <f t="shared" si="169"/>
        <v>LABELS</v>
      </c>
      <c r="I1478" s="19">
        <v>12</v>
      </c>
      <c r="J1478" s="20">
        <v>12</v>
      </c>
    </row>
    <row r="1479" spans="1:10" ht="15.75" thickBot="1" x14ac:dyDescent="0.3">
      <c r="A1479" t="s">
        <v>31</v>
      </c>
      <c r="B1479" s="15" t="str">
        <f>"""Manzana NAV"",""MANZANA"",""99000772"",""44"","" "",""22"",""False"",""43"",""0.00000000000000000000"",""12"",""LBL N.COAST NAT Filtered Cider 4/128oz"",""50220"",""False"",""29"","""",""50210"",""False"",""18"","""",""11"",""LJ0049"",""2"",""10000"",""1"",""FJ0049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NAT Filtered Cider 4/128oz","50220","False","29","","50210","False","18","","11","LJ0049","2","10000","1","FJ0049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79" s="15"/>
      <c r="D1479" s="16" t="str">
        <f>"FJ0049"</f>
        <v>FJ0049</v>
      </c>
      <c r="E1479" s="16">
        <v>10000</v>
      </c>
      <c r="F1479" s="16" t="str">
        <f>"LJ0049"</f>
        <v>LJ0049</v>
      </c>
      <c r="G1479" s="17" t="str">
        <f>"LBL N.COAST NAT Filtered Cider 4/128oz"</f>
        <v>LBL N.COAST NAT Filtered Cider 4/128oz</v>
      </c>
      <c r="H1479" s="18" t="str">
        <f t="shared" si="169"/>
        <v>LABELS</v>
      </c>
      <c r="I1479" s="19">
        <v>4</v>
      </c>
      <c r="J1479" s="20">
        <v>4</v>
      </c>
    </row>
    <row r="1480" spans="1:10" ht="15.75" thickBot="1" x14ac:dyDescent="0.3">
      <c r="A1480" t="s">
        <v>31</v>
      </c>
      <c r="B1480" s="15" t="str">
        <f>"""Manzana NAV"",""MANZANA"",""99000772"",""44"","" "",""22"",""False"",""43"",""0.00000000000000000000"",""12"",""LBL N.COAST ORG 680gr Apricot Sauce12/24oz- Canada"",""50220"",""False"",""29"","""",""50210"",""False"",""18"","""",""11"",""LS0162"",""2"",""10000"",""1"",""FS0162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Apricot Sauce12/24oz- Canada","50220","False","29","","50210","False","18","","11","LS0162","2","10000","1","FS0162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0" s="15"/>
      <c r="D1480" s="16" t="str">
        <f>"FS0162"</f>
        <v>FS0162</v>
      </c>
      <c r="E1480" s="16">
        <v>10000</v>
      </c>
      <c r="F1480" s="16" t="str">
        <f>"LS0162"</f>
        <v>LS0162</v>
      </c>
      <c r="G1480" s="17" t="str">
        <f>"LBL N.COAST ORG 680gr Apricot Sauce12/24oz- Canada"</f>
        <v>LBL N.COAST ORG 680gr Apricot Sauce12/24oz- Canada</v>
      </c>
      <c r="H1480" s="18" t="str">
        <f t="shared" si="169"/>
        <v>LABELS</v>
      </c>
      <c r="I1480" s="19">
        <v>12</v>
      </c>
      <c r="J1480" s="20">
        <v>12</v>
      </c>
    </row>
    <row r="1481" spans="1:10" ht="15.75" thickBot="1" x14ac:dyDescent="0.3">
      <c r="A1481" t="s">
        <v>31</v>
      </c>
      <c r="B1481" s="15" t="str">
        <f>"""Manzana NAV"",""MANZANA"",""99000772"",""44"","" "",""22"",""False"",""43"",""0.00000000000000000000"",""12"",""LBL N.COAST ORG 680gr BerryApple Sce12/24oz-Canada"",""50220"",""False"",""29"","""",""50210"",""False"",""18"","""",""11"",""LS0163"",""2"",""10000"",""1"",""FS0163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BerryApple Sce12/24oz-Canada","50220","False","29","","50210","False","18","","11","LS0163","2","10000","1","FS0163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1" s="15"/>
      <c r="D1481" s="16" t="str">
        <f>"FS0163"</f>
        <v>FS0163</v>
      </c>
      <c r="E1481" s="16">
        <v>10000</v>
      </c>
      <c r="F1481" s="16" t="str">
        <f>"LS0163"</f>
        <v>LS0163</v>
      </c>
      <c r="G1481" s="17" t="str">
        <f>"LBL N.COAST ORG 680gr BerryApple Sce12/24oz-Canada"</f>
        <v>LBL N.COAST ORG 680gr BerryApple Sce12/24oz-Canada</v>
      </c>
      <c r="H1481" s="18" t="str">
        <f t="shared" si="169"/>
        <v>LABELS</v>
      </c>
      <c r="I1481" s="19">
        <v>12</v>
      </c>
      <c r="J1481" s="20">
        <v>12</v>
      </c>
    </row>
    <row r="1482" spans="1:10" ht="15.75" thickBot="1" x14ac:dyDescent="0.3">
      <c r="A1482" t="s">
        <v>31</v>
      </c>
      <c r="B1482" s="15" t="str">
        <f>"""Manzana NAV"",""MANZANA"",""99000772"",""44"","" "",""22"",""False"",""43"",""0.00000000000000000000"",""12"",""LBL N.COAST ORG 680gr Bld Apple Sce 12/24oz-Canada"",""50220"",""False"",""29"","""",""50210"",""False"",""18"","""",""11"",""LS0159"",""2"",""10000"",""1"",""FS0159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Bld Apple Sce 12/24oz-Canada","50220","False","29","","50210","False","18","","11","LS0159","2","10000","1","FS0159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2" s="15"/>
      <c r="D1482" s="16" t="str">
        <f>"FS0159"</f>
        <v>FS0159</v>
      </c>
      <c r="E1482" s="16">
        <v>10000</v>
      </c>
      <c r="F1482" s="16" t="str">
        <f>"LS0159"</f>
        <v>LS0159</v>
      </c>
      <c r="G1482" s="17" t="str">
        <f>"LBL N.COAST ORG 680gr Bld Apple Sce 12/24oz-Canada"</f>
        <v>LBL N.COAST ORG 680gr Bld Apple Sce 12/24oz-Canada</v>
      </c>
      <c r="H1482" s="18" t="str">
        <f t="shared" si="169"/>
        <v>LABELS</v>
      </c>
      <c r="I1482" s="19">
        <v>12</v>
      </c>
      <c r="J1482" s="20">
        <v>12</v>
      </c>
    </row>
    <row r="1483" spans="1:10" ht="15.75" thickBot="1" x14ac:dyDescent="0.3">
      <c r="A1483" t="s">
        <v>31</v>
      </c>
      <c r="B1483" s="15" t="str">
        <f>"""Manzana NAV"",""MANZANA"",""99000772"",""44"","" "",""22"",""False"",""43"",""0.00000000000000000000"",""12"",""LBL N.COAST ORG 680gr Cinn Apple Sce12/24oz-Canada"",""50220"",""False"",""29"","""",""50210"",""False"",""18"","""",""11"",""LS0161"",""2"",""10000"",""1"",""FS0161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Cinn Apple Sce12/24oz-Canada","50220","False","29","","50210","False","18","","11","LS0161","2","10000","1","FS0161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3" s="15"/>
      <c r="D1483" s="16" t="str">
        <f>"FS0161"</f>
        <v>FS0161</v>
      </c>
      <c r="E1483" s="16">
        <v>10000</v>
      </c>
      <c r="F1483" s="16" t="str">
        <f>"LS0161"</f>
        <v>LS0161</v>
      </c>
      <c r="G1483" s="17" t="str">
        <f>"LBL N.COAST ORG 680gr Cinn Apple Sce12/24oz-Canada"</f>
        <v>LBL N.COAST ORG 680gr Cinn Apple Sce12/24oz-Canada</v>
      </c>
      <c r="H1483" s="18" t="str">
        <f t="shared" si="169"/>
        <v>LABELS</v>
      </c>
      <c r="I1483" s="19">
        <v>12</v>
      </c>
      <c r="J1483" s="20">
        <v>12</v>
      </c>
    </row>
    <row r="1484" spans="1:10" ht="15.75" thickBot="1" x14ac:dyDescent="0.3">
      <c r="A1484" t="s">
        <v>31</v>
      </c>
      <c r="B1484" s="15" t="str">
        <f>"""Manzana NAV"",""MANZANA"",""99000772"",""44"","" "",""22"",""False"",""43"",""0.00000000000000000000"",""12"",""LBL N.COAST ORG 680gr Grav Apple Sce12/24oz-Canada"",""50220"",""False"",""29"","""",""50210"",""False"",""18"","""",""11"",""LS0160"",""2"",""10000"",""1"",""FS0160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Grav Apple Sce12/24oz-Canada","50220","False","29","","50210","False","18","","11","LS0160","2","10000","1","FS0160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4" s="15"/>
      <c r="D1484" s="16" t="str">
        <f>"FS0160"</f>
        <v>FS0160</v>
      </c>
      <c r="E1484" s="16">
        <v>10000</v>
      </c>
      <c r="F1484" s="16" t="str">
        <f>"LS0160"</f>
        <v>LS0160</v>
      </c>
      <c r="G1484" s="17" t="str">
        <f>"LBL N.COAST ORG 680gr Grav Apple Sce12/24oz-Canada"</f>
        <v>LBL N.COAST ORG 680gr Grav Apple Sce12/24oz-Canada</v>
      </c>
      <c r="H1484" s="18" t="str">
        <f t="shared" si="169"/>
        <v>LABELS</v>
      </c>
      <c r="I1484" s="19">
        <v>12</v>
      </c>
      <c r="J1484" s="20">
        <v>12</v>
      </c>
    </row>
    <row r="1485" spans="1:10" ht="15.75" thickBot="1" x14ac:dyDescent="0.3">
      <c r="A1485" t="s">
        <v>31</v>
      </c>
      <c r="B1485" s="15" t="str">
        <f>"""Manzana NAV"",""MANZANA"",""99000772"",""44"","" "",""22"",""False"",""43"",""0.00000000000000000000"",""12"",""LBL N.COAST ORG Apple Cider 12/32oz - 9FEB2016"",""50220"",""False"",""29"","""",""50210"",""False"",""18"","""",""11"",""LJ0243"",""2"",""10000"",""1"",""FJ0243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Apple Cider 12/32oz - 9FEB2016","50220","False","29","","50210","False","18","","11","LJ0243","2","10000","1","FJ0243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5" s="15"/>
      <c r="D1485" s="16" t="str">
        <f>"FJ0243"</f>
        <v>FJ0243</v>
      </c>
      <c r="E1485" s="16">
        <v>10000</v>
      </c>
      <c r="F1485" s="16" t="str">
        <f>"LJ0243"</f>
        <v>LJ0243</v>
      </c>
      <c r="G1485" s="17" t="str">
        <f>"LBL N.COAST ORG Apple Cider 12/32oz - 9FEB2016"</f>
        <v>LBL N.COAST ORG Apple Cider 12/32oz - 9FEB2016</v>
      </c>
      <c r="H1485" s="18" t="str">
        <f t="shared" si="169"/>
        <v>LABELS</v>
      </c>
      <c r="I1485" s="19">
        <v>12</v>
      </c>
      <c r="J1485" s="20">
        <v>12</v>
      </c>
    </row>
    <row r="1486" spans="1:10" ht="15.75" thickBot="1" x14ac:dyDescent="0.3">
      <c r="A1486" t="s">
        <v>31</v>
      </c>
      <c r="B1486" s="15" t="str">
        <f>"""Manzana NAV"",""MANZANA"",""99000772"",""44"","" "",""22"",""False"",""43"",""0.00000000000000000000"",""12"",""LBL N.COAST ORG Apple Cider 6/64oz"",""50220"",""False"",""29"","""",""50210"",""False"",""18"","""",""11"",""LJ0047"",""2"",""5000"",""1"",""FJ0199"",""14"",""6.00000000000000000000"",""45"",""6.00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Apple Cider 6/64oz","50220","False","29","","50210","False","18","","11","LJ0047","2","5000","1","FJ0199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86" s="15"/>
      <c r="D1486" s="16" t="str">
        <f>"FJ0199"</f>
        <v>FJ0199</v>
      </c>
      <c r="E1486" s="16">
        <v>5000</v>
      </c>
      <c r="F1486" s="16" t="str">
        <f>"LJ0047"</f>
        <v>LJ0047</v>
      </c>
      <c r="G1486" s="17" t="str">
        <f>"LBL N.COAST ORG Apple Cider 6/64oz"</f>
        <v>LBL N.COAST ORG Apple Cider 6/64oz</v>
      </c>
      <c r="H1486" s="18" t="str">
        <f t="shared" si="169"/>
        <v>LABELS</v>
      </c>
      <c r="I1486" s="19">
        <v>6</v>
      </c>
      <c r="J1486" s="20">
        <v>6</v>
      </c>
    </row>
    <row r="1487" spans="1:10" ht="15.75" thickBot="1" x14ac:dyDescent="0.3">
      <c r="A1487" t="s">
        <v>31</v>
      </c>
      <c r="B1487" s="15" t="str">
        <f>"""Manzana NAV"",""MANZANA"",""99000772"",""44"","" "",""22"",""False"",""43"",""0.00000000000000000000"",""12"",""LBL N.COAST ORG Berry Sauce 12/24oz-JAPANESE LABEL"",""50220"",""False"",""29"","""",""50210"",""False"",""18"","""",""11"",""LS0200"",""2"",""20000"",""1"",""FS0200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Berry Sauce 12/24oz-JAPANESE LABEL","50220","False","29","","50210","False","18","","11","LS0200","2","20000","1","FS0200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7" s="15"/>
      <c r="D1487" s="16" t="str">
        <f>"FS0200"</f>
        <v>FS0200</v>
      </c>
      <c r="E1487" s="16">
        <v>20000</v>
      </c>
      <c r="F1487" s="16" t="str">
        <f>"LS0200"</f>
        <v>LS0200</v>
      </c>
      <c r="G1487" s="17" t="str">
        <f>"LBL N.COAST ORG Berry Sauce 12/24oz-JAPANESE LABEL"</f>
        <v>LBL N.COAST ORG Berry Sauce 12/24oz-JAPANESE LABEL</v>
      </c>
      <c r="H1487" s="18" t="str">
        <f t="shared" si="169"/>
        <v>LABELS</v>
      </c>
      <c r="I1487" s="19">
        <v>12</v>
      </c>
      <c r="J1487" s="20">
        <v>12</v>
      </c>
    </row>
    <row r="1488" spans="1:10" ht="15.75" thickBot="1" x14ac:dyDescent="0.3">
      <c r="A1488" t="s">
        <v>31</v>
      </c>
      <c r="B1488" s="15" t="str">
        <f>"""Manzana NAV"",""MANZANA"",""99000772"",""44"","" "",""22"",""False"",""43"",""0.00000000000000000000"",""12"",""LBL N.COAST ORG Blend Apple Juice 12/32oz"",""50220"",""False"",""29"","""",""50210"",""False"",""18"","""",""11"",""LJ0046"",""2"",""10000"",""1"",""FJ0046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Apple Juice 12/32oz","50220","False","29","","50210","False","18","","11","LJ0046","2","10000","1","FJ0046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8" s="15"/>
      <c r="D1488" s="16" t="str">
        <f>"FJ0046"</f>
        <v>FJ0046</v>
      </c>
      <c r="E1488" s="16">
        <v>10000</v>
      </c>
      <c r="F1488" s="16" t="str">
        <f>"LJ0046"</f>
        <v>LJ0046</v>
      </c>
      <c r="G1488" s="17" t="str">
        <f>"LBL N.COAST ORG Blend Apple Juice 12/32oz"</f>
        <v>LBL N.COAST ORG Blend Apple Juice 12/32oz</v>
      </c>
      <c r="H1488" s="18" t="str">
        <f t="shared" si="169"/>
        <v>LABELS</v>
      </c>
      <c r="I1488" s="19">
        <v>12</v>
      </c>
      <c r="J1488" s="20">
        <v>12</v>
      </c>
    </row>
    <row r="1489" spans="1:10" ht="15.75" thickBot="1" x14ac:dyDescent="0.3">
      <c r="A1489" t="s">
        <v>31</v>
      </c>
      <c r="B1489" s="15" t="str">
        <f>"""Manzana NAV"",""MANZANA"",""99000772"",""44"","" "",""22"",""False"",""43"",""0.00000000000000000000"",""12"",""LBL N.COAST ORG Blend Apple Juice 6/64oz"",""50220"",""False"",""29"","""",""50210"",""False"",""18"","""",""11"",""LJ0045"",""2"",""10000"",""1"",""FJ0195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Apple Juice 6/64oz","50220","False","29","","50210","False","18","","11","LJ0045","2","10000","1","FJ0195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89" s="15"/>
      <c r="D1489" s="16" t="str">
        <f>"FJ0195"</f>
        <v>FJ0195</v>
      </c>
      <c r="E1489" s="16">
        <v>10000</v>
      </c>
      <c r="F1489" s="16" t="str">
        <f>"LJ0045"</f>
        <v>LJ0045</v>
      </c>
      <c r="G1489" s="17" t="str">
        <f>"LBL N.COAST ORG Blend Apple Juice 6/64oz"</f>
        <v>LBL N.COAST ORG Blend Apple Juice 6/64oz</v>
      </c>
      <c r="H1489" s="18" t="str">
        <f t="shared" si="169"/>
        <v>LABELS</v>
      </c>
      <c r="I1489" s="19">
        <v>6</v>
      </c>
      <c r="J1489" s="20">
        <v>6</v>
      </c>
    </row>
    <row r="1490" spans="1:10" ht="15.75" thickBot="1" x14ac:dyDescent="0.3">
      <c r="A1490" t="s">
        <v>31</v>
      </c>
      <c r="B1490" s="15" t="str">
        <f>"""Manzana NAV"",""MANZANA"",""99000772"",""44"","" "",""22"",""False"",""43"",""0.00000000000000000000"",""12"",""LBL N.COAST ORG Blend Apple Sauce 24oz - 2MAR2016"",""50220"",""False"",""29"","""",""50210"",""False"",""18"","""",""11"",""LS0209"",""2"",""20000"",""1"",""FS0209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Apple Sauce 24oz - 2MAR2016","50220","False","29","","50210","False","18","","11","LS0209","2","20000","1","FS0209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0" s="15"/>
      <c r="D1490" s="16" t="str">
        <f>"FS0209"</f>
        <v>FS0209</v>
      </c>
      <c r="E1490" s="16">
        <v>20000</v>
      </c>
      <c r="F1490" s="16" t="str">
        <f>"LS0209"</f>
        <v>LS0209</v>
      </c>
      <c r="G1490" s="17" t="str">
        <f>"LBL N.COAST ORG Blend Apple Sauce 24oz - 2MAR2016"</f>
        <v>LBL N.COAST ORG Blend Apple Sauce 24oz - 2MAR2016</v>
      </c>
      <c r="H1490" s="18" t="str">
        <f t="shared" si="169"/>
        <v>LABELS</v>
      </c>
      <c r="I1490" s="19">
        <v>12</v>
      </c>
      <c r="J1490" s="20">
        <v>12</v>
      </c>
    </row>
    <row r="1491" spans="1:10" ht="15.75" thickBot="1" x14ac:dyDescent="0.3">
      <c r="A1491" t="s">
        <v>31</v>
      </c>
      <c r="B1491" s="15" t="str">
        <f>"""Manzana NAV"",""MANZANA"",""99000772"",""44"","" "",""22"",""False"",""43"",""0.00000000000000000000"",""12"",""LBL N.COAST ORG Blend Juice 12/32oz- CHINESE LABEL"",""50220"",""False"",""29"","""",""50210"",""False"",""18"","""",""11"",""LJ0216"",""2"",""10000"",""1"",""FJ0216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Juice 12/32oz- CHINESE LABEL","50220","False","29","","50210","False","18","","11","LJ0216","2","10000","1","FJ0216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1" s="15"/>
      <c r="D1491" s="16" t="str">
        <f>"FJ0216"</f>
        <v>FJ0216</v>
      </c>
      <c r="E1491" s="16">
        <v>10000</v>
      </c>
      <c r="F1491" s="16" t="str">
        <f>"LJ0216"</f>
        <v>LJ0216</v>
      </c>
      <c r="G1491" s="17" t="str">
        <f>"LBL N.COAST ORG Blend Juice 12/32oz- CHINESE LABEL"</f>
        <v>LBL N.COAST ORG Blend Juice 12/32oz- CHINESE LABEL</v>
      </c>
      <c r="H1491" s="18" t="str">
        <f t="shared" si="169"/>
        <v>LABELS</v>
      </c>
      <c r="I1491" s="19">
        <v>12</v>
      </c>
      <c r="J1491" s="20">
        <v>12</v>
      </c>
    </row>
    <row r="1492" spans="1:10" ht="15.75" thickBot="1" x14ac:dyDescent="0.3">
      <c r="A1492" t="s">
        <v>31</v>
      </c>
      <c r="B1492" s="15" t="str">
        <f>"""Manzana NAV"",""MANZANA"",""99000772"",""44"","" "",""22"",""False"",""43"",""0.00000000000000000000"",""12"",""LBL N.COAST ORG Blend Juice N.f.Conc 8/64oz PET"",""50220"",""False"",""29"","""",""50210"",""False"",""18"","""",""11"",""Z-LJ0162"",""2"",""10000"",""1"",""FJ0162"",""14"",""8.0000000000000000"&amp;"0000"",""45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Juice N.f.Conc 8/64oz PET","50220","False","29","","50210","False","18","","11","Z-LJ0162","2","10000","1","FJ0162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492" s="15"/>
      <c r="D1492" s="16" t="str">
        <f>"FJ0162"</f>
        <v>FJ0162</v>
      </c>
      <c r="E1492" s="16">
        <v>10000</v>
      </c>
      <c r="F1492" s="16" t="str">
        <f>"Z-LJ0162"</f>
        <v>Z-LJ0162</v>
      </c>
      <c r="G1492" s="17" t="str">
        <f>"LBL N.COAST ORG Blend Juice N.f.Conc 8/64oz PET"</f>
        <v>LBL N.COAST ORG Blend Juice N.f.Conc 8/64oz PET</v>
      </c>
      <c r="H1492" s="18" t="str">
        <f t="shared" si="169"/>
        <v>LABELS</v>
      </c>
      <c r="I1492" s="19">
        <v>8</v>
      </c>
      <c r="J1492" s="20">
        <v>8</v>
      </c>
    </row>
    <row r="1493" spans="1:10" ht="15.75" thickBot="1" x14ac:dyDescent="0.3">
      <c r="A1493" t="s">
        <v>31</v>
      </c>
      <c r="B1493" s="15" t="str">
        <f>"""Manzana NAV"",""MANZANA"",""99000772"",""44"","" "",""22"",""False"",""43"",""0.00000000000000000000"",""12"",""LBL N.COAST ORG Blend Sauce 12/24oz-JAPANESE LABEL"",""50220"",""False"",""29"","""",""50210"",""False"",""18"","""",""11"",""LS0198"",""2"",""10000"",""1"",""FS0198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Sauce 12/24oz-JAPANESE LABEL","50220","False","29","","50210","False","18","","11","LS0198","2","10000","1","FS0198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3" s="15"/>
      <c r="D1493" s="16" t="str">
        <f>"FS0198"</f>
        <v>FS0198</v>
      </c>
      <c r="E1493" s="16">
        <v>10000</v>
      </c>
      <c r="F1493" s="16" t="str">
        <f>"LS0198"</f>
        <v>LS0198</v>
      </c>
      <c r="G1493" s="17" t="str">
        <f>"LBL N.COAST ORG Blend Sauce 12/24oz-JAPANESE LABEL"</f>
        <v>LBL N.COAST ORG Blend Sauce 12/24oz-JAPANESE LABEL</v>
      </c>
      <c r="H1493" s="18" t="str">
        <f t="shared" si="169"/>
        <v>LABELS</v>
      </c>
      <c r="I1493" s="19">
        <v>12</v>
      </c>
      <c r="J1493" s="20">
        <v>12</v>
      </c>
    </row>
    <row r="1494" spans="1:10" ht="15.75" thickBot="1" x14ac:dyDescent="0.3">
      <c r="A1494" t="s">
        <v>31</v>
      </c>
      <c r="B1494" s="15" t="str">
        <f>"""Manzana NAV"",""MANZANA"",""99000772"",""44"","" "",""22"",""False"",""43"",""0.00000000000000000000"",""12"",""LBL N.COAST ORG Cinn Sauce 12/24oz- JAPANESE LABEL"",""50220"",""False"",""29"","""",""50210"",""False"",""18"","""",""11"",""LS0199"",""2"",""10000"",""1"",""FS0199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Cinn Sauce 12/24oz- JAPANESE LABEL","50220","False","29","","50210","False","18","","11","LS0199","2","10000","1","FS0199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4" s="15"/>
      <c r="D1494" s="16" t="str">
        <f>"FS0199"</f>
        <v>FS0199</v>
      </c>
      <c r="E1494" s="16">
        <v>10000</v>
      </c>
      <c r="F1494" s="16" t="str">
        <f>"LS0199"</f>
        <v>LS0199</v>
      </c>
      <c r="G1494" s="17" t="str">
        <f>"LBL N.COAST ORG Cinn Sauce 12/24oz- JAPANESE LABEL"</f>
        <v>LBL N.COAST ORG Cinn Sauce 12/24oz- JAPANESE LABEL</v>
      </c>
      <c r="H1494" s="18" t="str">
        <f t="shared" si="169"/>
        <v>LABELS</v>
      </c>
      <c r="I1494" s="19">
        <v>12</v>
      </c>
      <c r="J1494" s="20">
        <v>12</v>
      </c>
    </row>
    <row r="1495" spans="1:10" ht="15.75" thickBot="1" x14ac:dyDescent="0.3">
      <c r="A1495" t="s">
        <v>31</v>
      </c>
      <c r="B1495" s="15" t="str">
        <f>"""Manzana NAV"",""MANZANA"",""99000772"",""44"","" "",""22"",""False"",""43"",""0.00000000000000000000"",""12"",""LBL N.COAST ORG Grape Juice 6/64oz"",""50220"",""False"",""29"","""",""50210"",""False"",""18"","""",""11"",""LJ0143"",""2"",""10000"",""1"",""FJ0143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Grape Juice 6/64oz","50220","False","29","","50210","False","18","","11","LJ0143","2","10000","1","FJ0143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95" s="15"/>
      <c r="D1495" s="16" t="str">
        <f>"FJ0143"</f>
        <v>FJ0143</v>
      </c>
      <c r="E1495" s="16">
        <v>10000</v>
      </c>
      <c r="F1495" s="16" t="str">
        <f>"LJ0143"</f>
        <v>LJ0143</v>
      </c>
      <c r="G1495" s="17" t="str">
        <f>"LBL N.COAST ORG Grape Juice 6/64oz"</f>
        <v>LBL N.COAST ORG Grape Juice 6/64oz</v>
      </c>
      <c r="H1495" s="18" t="str">
        <f t="shared" si="169"/>
        <v>LABELS</v>
      </c>
      <c r="I1495" s="19">
        <v>6</v>
      </c>
      <c r="J1495" s="20">
        <v>6</v>
      </c>
    </row>
    <row r="1496" spans="1:10" ht="15.75" thickBot="1" x14ac:dyDescent="0.3">
      <c r="A1496" t="s">
        <v>31</v>
      </c>
      <c r="B1496" s="15" t="str">
        <f>"""Manzana NAV"",""MANZANA"",""99000772"",""44"","" "",""22"",""False"",""43"",""0.00000000000000000000"",""12"",""LBL N.COAST ORG Grav Apple Sauce 24oz"",""50220"",""False"",""29"","""",""50210"",""False"",""18"","""",""11"",""LS0012"",""2"",""20000"",""1"",""FS0175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Grav Apple Sauce 24oz","50220","False","29","","50210","False","18","","11","LS0012","2","20000","1","FS0175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96" s="15"/>
      <c r="D1496" s="16" t="str">
        <f>"FS0175"</f>
        <v>FS0175</v>
      </c>
      <c r="E1496" s="16">
        <v>20000</v>
      </c>
      <c r="F1496" s="16" t="str">
        <f>"LS0012"</f>
        <v>LS0012</v>
      </c>
      <c r="G1496" s="17" t="str">
        <f>"LBL N.COAST ORG Grav Apple Sauce 24oz"</f>
        <v>LBL N.COAST ORG Grav Apple Sauce 24oz</v>
      </c>
      <c r="H1496" s="18" t="str">
        <f t="shared" si="169"/>
        <v>LABELS</v>
      </c>
      <c r="I1496" s="19">
        <v>6</v>
      </c>
      <c r="J1496" s="20">
        <v>6</v>
      </c>
    </row>
    <row r="1497" spans="1:10" ht="15.75" thickBot="1" x14ac:dyDescent="0.3">
      <c r="A1497" t="s">
        <v>31</v>
      </c>
      <c r="B1497" s="15" t="str">
        <f>"""Manzana NAV"",""MANZANA"",""99000772"",""44"","" "",""22"",""False"",""43"",""0.00000000000000000000"",""12"",""LBL N.COAST ORG HCrisp Juice 12/32oz"",""50220"",""False"",""29"","""",""50210"",""False"",""18"","""",""11"",""LJ0044"",""2"",""10000"",""1"",""FJ0044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HCrisp Juice 12/32oz","50220","False","29","","50210","False","18","","11","LJ0044","2","10000","1","FJ0044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7" s="15"/>
      <c r="D1497" s="16" t="str">
        <f>"FJ0044"</f>
        <v>FJ0044</v>
      </c>
      <c r="E1497" s="16">
        <v>10000</v>
      </c>
      <c r="F1497" s="16" t="str">
        <f>"LJ0044"</f>
        <v>LJ0044</v>
      </c>
      <c r="G1497" s="17" t="str">
        <f>"LBL N.COAST ORG HCrisp Juice 12/32oz"</f>
        <v>LBL N.COAST ORG HCrisp Juice 12/32oz</v>
      </c>
      <c r="H1497" s="18" t="str">
        <f t="shared" si="169"/>
        <v>LABELS</v>
      </c>
      <c r="I1497" s="19">
        <v>12</v>
      </c>
      <c r="J1497" s="20">
        <v>12</v>
      </c>
    </row>
    <row r="1498" spans="1:10" ht="15.75" thickBot="1" x14ac:dyDescent="0.3">
      <c r="A1498" t="s">
        <v>31</v>
      </c>
      <c r="B1498" s="15" t="str">
        <f>"""Manzana NAV"",""MANZANA"",""99000772"",""44"","" "",""22"",""False"",""43"",""0.00000000000000000000"",""12"",""LBL N.COAST ORG Old Fashioned Apple Juice 12/32oz"",""50220"",""False"",""29"","""",""50210"",""False"",""18"","""",""11"",""LJ0046C"",""2"",""10000"",""1"",""FJ0046C"",""14"",""12.0000000000000"&amp;"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Old Fashioned Apple Juice 12/32oz","50220","False","29","","50210","False","18","","11","LJ0046C","2","10000","1","FJ0046C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8" s="15"/>
      <c r="D1498" s="16" t="str">
        <f>"FJ0046C"</f>
        <v>FJ0046C</v>
      </c>
      <c r="E1498" s="16">
        <v>10000</v>
      </c>
      <c r="F1498" s="16" t="str">
        <f>"LJ0046C"</f>
        <v>LJ0046C</v>
      </c>
      <c r="G1498" s="17" t="str">
        <f>"LBL N.COAST ORG Old Fashioned Apple Juice 12/32oz"</f>
        <v>LBL N.COAST ORG Old Fashioned Apple Juice 12/32oz</v>
      </c>
      <c r="H1498" s="18" t="str">
        <f t="shared" si="169"/>
        <v>LABELS</v>
      </c>
      <c r="I1498" s="19">
        <v>12</v>
      </c>
      <c r="J1498" s="20">
        <v>12</v>
      </c>
    </row>
    <row r="1499" spans="1:10" ht="15.75" thickBot="1" x14ac:dyDescent="0.3">
      <c r="A1499" t="s">
        <v>31</v>
      </c>
      <c r="B1499" s="15" t="str">
        <f>"""Manzana NAV"",""MANZANA"",""99000772"",""44"","" "",""22"",""False"",""43"",""0.00000000000000000000"",""12"",""LBL N.COAST ORG Pumpkin Spice Apple Sauce 12/24oz"",""50220"",""False"",""29"","""",""50210"",""False"",""18"","""",""11"",""LS0176"",""2"",""10000"",""1"",""FS0176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Pumpkin Spice Apple Sauce 12/24oz","50220","False","29","","50210","False","18","","11","LS0176","2","10000","1","FS0176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9" s="15"/>
      <c r="D1499" s="16" t="str">
        <f>"FS0176"</f>
        <v>FS0176</v>
      </c>
      <c r="E1499" s="16">
        <v>10000</v>
      </c>
      <c r="F1499" s="16" t="str">
        <f>"LS0176"</f>
        <v>LS0176</v>
      </c>
      <c r="G1499" s="17" t="str">
        <f>"LBL N.COAST ORG Pumpkin Spice Apple Sauce 12/24oz"</f>
        <v>LBL N.COAST ORG Pumpkin Spice Apple Sauce 12/24oz</v>
      </c>
      <c r="H1499" s="18" t="str">
        <f t="shared" si="169"/>
        <v>LABELS</v>
      </c>
      <c r="I1499" s="19">
        <v>12</v>
      </c>
      <c r="J1499" s="20">
        <v>12</v>
      </c>
    </row>
    <row r="1500" spans="1:10" ht="15.75" thickBot="1" x14ac:dyDescent="0.3">
      <c r="A1500" t="s">
        <v>31</v>
      </c>
      <c r="B1500" s="15" t="str">
        <f>"""Manzana NAV"",""MANZANA"",""99000772"",""44"","" "",""22"",""False"",""43"",""0.00000000000000000000"",""12"",""LBL N.COAST ORG Spiced Cider 24/10oz"",""50220"",""False"",""29"","""",""50210"",""False"",""18"","""",""11"",""LJ0188"",""2"",""10000"",""1"",""FJ0188"",""14"",""24.00000000000000000000"",""45"","""&amp;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Spiced Cider 24/10oz","50220","False","29","","50210","False","18","","11","LJ0188","2","10000","1","FJ0188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00" s="15"/>
      <c r="D1500" s="16" t="str">
        <f>"FJ0188"</f>
        <v>FJ0188</v>
      </c>
      <c r="E1500" s="16">
        <v>10000</v>
      </c>
      <c r="F1500" s="16" t="str">
        <f>"LJ0188"</f>
        <v>LJ0188</v>
      </c>
      <c r="G1500" s="17" t="str">
        <f>"LBL N.COAST ORG Spiced Cider 24/10oz"</f>
        <v>LBL N.COAST ORG Spiced Cider 24/10oz</v>
      </c>
      <c r="H1500" s="18" t="str">
        <f t="shared" si="169"/>
        <v>LABELS</v>
      </c>
      <c r="I1500" s="19">
        <v>24</v>
      </c>
      <c r="J1500" s="20">
        <v>24</v>
      </c>
    </row>
    <row r="1501" spans="1:10" ht="15.75" thickBot="1" x14ac:dyDescent="0.3">
      <c r="A1501" t="s">
        <v>31</v>
      </c>
      <c r="B1501" s="15" t="str">
        <f>"""Manzana NAV"",""MANZANA"",""99000772"",""44"","" "",""22"",""False"",""43"",""0.00000000000000000000"",""12"",""LBL N.COAST ORG Vinegar 12/32oz"",""50220"",""False"",""29"","""",""50210"",""False"",""18"","""",""11"",""LV0043"",""2"",""10000"",""1"",""FV0043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Vinegar 12/32oz","50220","False","29","","50210","False","18","","11","LV0043","2","10000","1","FV0043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1" s="15"/>
      <c r="D1501" s="16" t="str">
        <f>"FV0043"</f>
        <v>FV0043</v>
      </c>
      <c r="E1501" s="16">
        <v>10000</v>
      </c>
      <c r="F1501" s="16" t="str">
        <f>"LV0043"</f>
        <v>LV0043</v>
      </c>
      <c r="G1501" s="17" t="str">
        <f>"LBL N.COAST ORG Vinegar 12/32oz"</f>
        <v>LBL N.COAST ORG Vinegar 12/32oz</v>
      </c>
      <c r="H1501" s="18" t="str">
        <f t="shared" si="169"/>
        <v>LABELS</v>
      </c>
      <c r="I1501" s="19">
        <v>12</v>
      </c>
      <c r="J1501" s="20">
        <v>12</v>
      </c>
    </row>
    <row r="1502" spans="1:10" ht="15.75" thickBot="1" x14ac:dyDescent="0.3">
      <c r="A1502" t="s">
        <v>31</v>
      </c>
      <c r="B1502" s="15" t="str">
        <f>"""Manzana NAV"",""MANZANA"",""99000772"",""44"","" "",""22"",""False"",""43"",""0.00000000000000000000"",""12"",""LBL NANA.MAES ORG Blend Juice 12/32oz"",""50220"",""False"",""29"","""",""50210"",""False"",""18"","""",""11"",""LJ0051"",""2"",""10000"",""1"",""FJ0051"",""14"",""0.00000000000000000000"",""45"","""&amp;"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12/32oz","50220","False","29","","50210","False","18","","11","LJ0051","2","10000","1","FJ0051","14","0.00000000000000000000","45","0.00000000000000000000","19","","20","0.00000000000000000000","50000","0.00000000000000000000","50230","False","28","","10","Item","13","LABELS","21","","3","","42","0.00000000000000000000","50200","False","41","0.00000000000000000000"</v>
      </c>
      <c r="C1502" s="15"/>
      <c r="D1502" s="16" t="str">
        <f>"FJ0051"</f>
        <v>FJ0051</v>
      </c>
      <c r="E1502" s="16">
        <v>10000</v>
      </c>
      <c r="F1502" s="16" t="str">
        <f>"LJ0051"</f>
        <v>LJ0051</v>
      </c>
      <c r="G1502" s="17" t="str">
        <f>"LBL NANA.MAES ORG Blend Juice 12/32oz"</f>
        <v>LBL NANA.MAES ORG Blend Juice 12/32oz</v>
      </c>
      <c r="H1502" s="18" t="str">
        <f t="shared" si="169"/>
        <v>LABELS</v>
      </c>
      <c r="I1502" s="19">
        <v>0</v>
      </c>
      <c r="J1502" s="20">
        <v>0</v>
      </c>
    </row>
    <row r="1503" spans="1:10" ht="15.75" thickBot="1" x14ac:dyDescent="0.3">
      <c r="A1503" t="s">
        <v>31</v>
      </c>
      <c r="B1503" s="15" t="str">
        <f>"""Manzana NAV"",""MANZANA"",""99000772"",""44"","" "",""22"",""False"",""43"",""0.00000000000000000000"",""12"",""LBL NANA.MAES ORG Blend Juice 12/32oz"",""50220"",""False"",""29"","""",""50210"",""False"",""18"","""",""11"",""LJ0051"",""2"",""10000"",""1"",""FJ0051B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12/32oz","50220","False","29","","50210","False","18","","11","LJ0051","2","10000","1","FJ0051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3" s="15"/>
      <c r="D1503" s="16" t="str">
        <f>"FJ0051B"</f>
        <v>FJ0051B</v>
      </c>
      <c r="E1503" s="16">
        <v>10000</v>
      </c>
      <c r="F1503" s="16" t="str">
        <f>"LJ0051"</f>
        <v>LJ0051</v>
      </c>
      <c r="G1503" s="17" t="str">
        <f>"LBL NANA.MAES ORG Blend Juice 12/32oz"</f>
        <v>LBL NANA.MAES ORG Blend Juice 12/32oz</v>
      </c>
      <c r="H1503" s="18" t="str">
        <f t="shared" si="169"/>
        <v>LABELS</v>
      </c>
      <c r="I1503" s="19">
        <v>12</v>
      </c>
      <c r="J1503" s="20">
        <v>12</v>
      </c>
    </row>
    <row r="1504" spans="1:10" ht="15.75" thickBot="1" x14ac:dyDescent="0.3">
      <c r="A1504" t="s">
        <v>31</v>
      </c>
      <c r="B1504" s="15" t="str">
        <f>"""Manzana NAV"",""MANZANA"",""99000772"",""44"","" "",""22"",""False"",""43"",""0.00000000000000000000"",""12"",""LBL NANA.MAES ORG Blend Juice 12/32oz-CHINESE "",""50220"",""False"",""29"","""",""50210"",""False"",""18"","""",""11"",""LJ0184"",""2"",""20000"",""1"",""FJ0184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12/32oz-CHINESE ","50220","False","29","","50210","False","18","","11","LJ0184","2","20000","1","FJ0184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4" s="15"/>
      <c r="D1504" s="16" t="str">
        <f>"FJ0184"</f>
        <v>FJ0184</v>
      </c>
      <c r="E1504" s="16">
        <v>20000</v>
      </c>
      <c r="F1504" s="16" t="str">
        <f>"LJ0184"</f>
        <v>LJ0184</v>
      </c>
      <c r="G1504" s="17" t="str">
        <f>"LBL NANA.MAES ORG Blend Juice 12/32oz-CHINESE "</f>
        <v xml:space="preserve">LBL NANA.MAES ORG Blend Juice 12/32oz-CHINESE </v>
      </c>
      <c r="H1504" s="18" t="str">
        <f t="shared" si="169"/>
        <v>LABELS</v>
      </c>
      <c r="I1504" s="19">
        <v>12</v>
      </c>
      <c r="J1504" s="20">
        <v>12</v>
      </c>
    </row>
    <row r="1505" spans="1:10" ht="15.75" thickBot="1" x14ac:dyDescent="0.3">
      <c r="A1505" t="s">
        <v>31</v>
      </c>
      <c r="B1505" s="15" t="str">
        <f>"""Manzana NAV"",""MANZANA"",""99000772"",""44"","" "",""22"",""False"",""43"",""0.00000000000000000000"",""12"",""LBL NANA.MAES ORG Blend Juice 24/10oz"",""50220"",""False"",""29"","""",""50210"",""False"",""18"","""",""11"",""LJ0050"",""2"",""5000"",""1"",""FJ0050C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24/10oz","50220","False","29","","50210","False","18","","11","LJ0050","2","5000","1","FJ0050C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05" s="15"/>
      <c r="D1505" s="16" t="str">
        <f>"FJ0050C"</f>
        <v>FJ0050C</v>
      </c>
      <c r="E1505" s="16">
        <v>5000</v>
      </c>
      <c r="F1505" s="16" t="str">
        <f>"LJ0050"</f>
        <v>LJ0050</v>
      </c>
      <c r="G1505" s="17" t="str">
        <f>"LBL NANA.MAES ORG Blend Juice 24/10oz"</f>
        <v>LBL NANA.MAES ORG Blend Juice 24/10oz</v>
      </c>
      <c r="H1505" s="18" t="str">
        <f t="shared" si="169"/>
        <v>LABELS</v>
      </c>
      <c r="I1505" s="19">
        <v>24</v>
      </c>
      <c r="J1505" s="20">
        <v>24</v>
      </c>
    </row>
    <row r="1506" spans="1:10" ht="15.75" thickBot="1" x14ac:dyDescent="0.3">
      <c r="A1506" t="s">
        <v>31</v>
      </c>
      <c r="B1506" s="15" t="str">
        <f>"""Manzana NAV"",""MANZANA"",""99000772"",""44"","" "",""22"",""False"",""43"",""0.00000000000000000000"",""12"",""LBL NANA.MAES ORG Blend Juice 24/10oz"",""50220"",""False"",""29"","""",""50210"",""False"",""18"","""",""11"",""LJ0050"",""2"",""10000"",""1"",""FJ0050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24/10oz","50220","False","29","","50210","False","18","","11","LJ0050","2","10000","1","FJ0050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06" s="15"/>
      <c r="D1506" s="16" t="str">
        <f>"FJ0050"</f>
        <v>FJ0050</v>
      </c>
      <c r="E1506" s="16">
        <v>10000</v>
      </c>
      <c r="F1506" s="16" t="str">
        <f>"LJ0050"</f>
        <v>LJ0050</v>
      </c>
      <c r="G1506" s="17" t="str">
        <f>"LBL NANA.MAES ORG Blend Juice 24/10oz"</f>
        <v>LBL NANA.MAES ORG Blend Juice 24/10oz</v>
      </c>
      <c r="H1506" s="18" t="str">
        <f t="shared" si="169"/>
        <v>LABELS</v>
      </c>
      <c r="I1506" s="19">
        <v>24</v>
      </c>
      <c r="J1506" s="20">
        <v>24</v>
      </c>
    </row>
    <row r="1507" spans="1:10" ht="15.75" thickBot="1" x14ac:dyDescent="0.3">
      <c r="A1507" t="s">
        <v>31</v>
      </c>
      <c r="B1507" s="15" t="str">
        <f>"""Manzana NAV"",""MANZANA"",""99000772"",""44"","" "",""22"",""False"",""43"",""0.00000000000000000000"",""12"",""LBL NANA.MAES ORG Mid Season Blend Sauce 12/24oz"",""50220"",""False"",""29"","""",""50210"",""False"",""18"","""",""11"",""LS0066"",""2"",""10000"",""1"",""FS0066C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Mid Season Blend Sauce 12/24oz","50220","False","29","","50210","False","18","","11","LS0066","2","10000","1","FS0066C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7" s="15"/>
      <c r="D1507" s="16" t="str">
        <f>"FS0066C"</f>
        <v>FS0066C</v>
      </c>
      <c r="E1507" s="16">
        <v>10000</v>
      </c>
      <c r="F1507" s="16" t="str">
        <f>"LS0066"</f>
        <v>LS0066</v>
      </c>
      <c r="G1507" s="17" t="str">
        <f>"LBL NANA.MAES ORG Mid Season Blend Sauce 12/24oz"</f>
        <v>LBL NANA.MAES ORG Mid Season Blend Sauce 12/24oz</v>
      </c>
      <c r="H1507" s="18" t="str">
        <f t="shared" si="169"/>
        <v>LABELS</v>
      </c>
      <c r="I1507" s="19">
        <v>12</v>
      </c>
      <c r="J1507" s="20">
        <v>12</v>
      </c>
    </row>
    <row r="1508" spans="1:10" ht="15.75" thickBot="1" x14ac:dyDescent="0.3">
      <c r="A1508" t="s">
        <v>31</v>
      </c>
      <c r="B1508" s="15" t="str">
        <f>"""Manzana NAV"",""MANZANA"",""99000772"",""44"","" "",""22"",""False"",""43"",""0.00000000000000000000"",""12"",""LBL NANA.MAES ORG Mid Season Blend Sauce 12/24oz"",""50220"",""False"",""29"","""",""50210"",""False"",""18"","""",""11"",""LS0066"",""2"",""20000"",""1"",""FS0066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Mid Season Blend Sauce 12/24oz","50220","False","29","","50210","False","18","","11","LS0066","2","20000","1","FS0066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8" s="15"/>
      <c r="D1508" s="16" t="str">
        <f>"FS0066"</f>
        <v>FS0066</v>
      </c>
      <c r="E1508" s="16">
        <v>20000</v>
      </c>
      <c r="F1508" s="16" t="str">
        <f>"LS0066"</f>
        <v>LS0066</v>
      </c>
      <c r="G1508" s="17" t="str">
        <f>"LBL NANA.MAES ORG Mid Season Blend Sauce 12/24oz"</f>
        <v>LBL NANA.MAES ORG Mid Season Blend Sauce 12/24oz</v>
      </c>
      <c r="H1508" s="18" t="str">
        <f t="shared" si="169"/>
        <v>LABELS</v>
      </c>
      <c r="I1508" s="19">
        <v>12</v>
      </c>
      <c r="J1508" s="20">
        <v>12</v>
      </c>
    </row>
    <row r="1509" spans="1:10" ht="15.75" thickBot="1" x14ac:dyDescent="0.3">
      <c r="A1509" t="s">
        <v>31</v>
      </c>
      <c r="B1509" s="15" t="str">
        <f>"""Manzana NAV"",""MANZANA"",""99000772"",""44"","" "",""22"",""False"",""43"",""0.00000000000000000000"",""12"",""LBL NANA.MAES ORG Mid Season Blend Sauce 12/24oz"",""50220"",""False"",""29"","""",""50210"",""False"",""18"","""",""11"",""LS0066"",""2"",""20000"",""1"",""FS0066B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Mid Season Blend Sauce 12/24oz","50220","False","29","","50210","False","18","","11","LS0066","2","20000","1","FS0066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9" s="15"/>
      <c r="D1509" s="16" t="str">
        <f>"FS0066B"</f>
        <v>FS0066B</v>
      </c>
      <c r="E1509" s="16">
        <v>20000</v>
      </c>
      <c r="F1509" s="16" t="str">
        <f>"LS0066"</f>
        <v>LS0066</v>
      </c>
      <c r="G1509" s="17" t="str">
        <f>"LBL NANA.MAES ORG Mid Season Blend Sauce 12/24oz"</f>
        <v>LBL NANA.MAES ORG Mid Season Blend Sauce 12/24oz</v>
      </c>
      <c r="H1509" s="18" t="str">
        <f t="shared" si="169"/>
        <v>LABELS</v>
      </c>
      <c r="I1509" s="19">
        <v>12</v>
      </c>
      <c r="J1509" s="20">
        <v>12</v>
      </c>
    </row>
    <row r="1510" spans="1:10" ht="15.75" thickBot="1" x14ac:dyDescent="0.3">
      <c r="A1510" t="s">
        <v>31</v>
      </c>
      <c r="B1510" s="15" t="str">
        <f>"""Manzana NAV"",""MANZANA"",""99000772"",""44"","" "",""22"",""False"",""43"",""0.00000000000000000000"",""12"",""LBL NANA.MAES ORG Pear Juice 24/10oz"",""50220"",""False"",""29"","""",""50210"",""False"",""18"","""",""11"",""LJ0113"",""2"",""10000"",""1"",""FJ0113C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Pear Juice 24/10oz","50220","False","29","","50210","False","18","","11","LJ0113","2","10000","1","FJ0113C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10" s="15"/>
      <c r="D1510" s="16" t="str">
        <f>"FJ0113C"</f>
        <v>FJ0113C</v>
      </c>
      <c r="E1510" s="16">
        <v>10000</v>
      </c>
      <c r="F1510" s="16" t="str">
        <f>"LJ0113"</f>
        <v>LJ0113</v>
      </c>
      <c r="G1510" s="17" t="str">
        <f>"LBL NANA.MAES ORG Pear Juice 24/10oz"</f>
        <v>LBL NANA.MAES ORG Pear Juice 24/10oz</v>
      </c>
      <c r="H1510" s="18" t="str">
        <f t="shared" ref="H1510:H1573" si="170">"LABELS"</f>
        <v>LABELS</v>
      </c>
      <c r="I1510" s="19">
        <v>24</v>
      </c>
      <c r="J1510" s="20">
        <v>24</v>
      </c>
    </row>
    <row r="1511" spans="1:10" ht="15.75" thickBot="1" x14ac:dyDescent="0.3">
      <c r="A1511" t="s">
        <v>31</v>
      </c>
      <c r="B1511" s="15" t="str">
        <f>"""Manzana NAV"",""MANZANA"",""99000772"",""44"","" "",""22"",""False"",""43"",""0.00000000000000000000"",""12"",""LBL NANA.MAES ORG Vinegar 12/32oz-CHINESE label"",""50220"",""False"",""29"","""",""50210"",""False"",""18"","""",""11"",""LV0027"",""2"",""20000"",""1"",""FV0027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Vinegar 12/32oz-CHINESE label","50220","False","29","","50210","False","18","","11","LV0027","2","20000","1","FV0027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1" s="15"/>
      <c r="D1511" s="16" t="str">
        <f>"FV0027"</f>
        <v>FV0027</v>
      </c>
      <c r="E1511" s="16">
        <v>20000</v>
      </c>
      <c r="F1511" s="16" t="str">
        <f>"LV0027"</f>
        <v>LV0027</v>
      </c>
      <c r="G1511" s="17" t="str">
        <f>"LBL NANA.MAES ORG Vinegar 12/32oz-CHINESE label"</f>
        <v>LBL NANA.MAES ORG Vinegar 12/32oz-CHINESE label</v>
      </c>
      <c r="H1511" s="18" t="str">
        <f t="shared" si="170"/>
        <v>LABELS</v>
      </c>
      <c r="I1511" s="19">
        <v>12</v>
      </c>
      <c r="J1511" s="20">
        <v>12</v>
      </c>
    </row>
    <row r="1512" spans="1:10" ht="15.75" thickBot="1" x14ac:dyDescent="0.3">
      <c r="A1512" t="s">
        <v>31</v>
      </c>
      <c r="B1512" s="15" t="str">
        <f>"""Manzana NAV"",""MANZANA"",""99000772"",""44"","" "",""22"",""False"",""43"",""0.00000000000000000000"",""12"",""LBL NASH.BROS ORG Blend Apple Sauce 12/24oz"",""50220"",""False"",""29"","""",""50210"",""False"",""18"","""",""11"",""Z-LS0053"",""2"",""20000"",""1"",""FS0053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NASH.BROS ORG Blend Apple Sauce 12/24oz","50220","False","29","","50210","False","18","","11","Z-LS0053","2","20000","1","FS0053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2" s="15"/>
      <c r="D1512" s="16" t="str">
        <f>"FS0053"</f>
        <v>FS0053</v>
      </c>
      <c r="E1512" s="16">
        <v>20000</v>
      </c>
      <c r="F1512" s="16" t="str">
        <f>"Z-LS0053"</f>
        <v>Z-LS0053</v>
      </c>
      <c r="G1512" s="17" t="str">
        <f>"LBL NASH.BROS ORG Blend Apple Sauce 12/24oz"</f>
        <v>LBL NASH.BROS ORG Blend Apple Sauce 12/24oz</v>
      </c>
      <c r="H1512" s="18" t="str">
        <f t="shared" si="170"/>
        <v>LABELS</v>
      </c>
      <c r="I1512" s="19">
        <v>12</v>
      </c>
      <c r="J1512" s="20">
        <v>12</v>
      </c>
    </row>
    <row r="1513" spans="1:10" ht="15.75" thickBot="1" x14ac:dyDescent="0.3">
      <c r="A1513" t="s">
        <v>31</v>
      </c>
      <c r="B1513" s="15" t="str">
        <f>"""Manzana NAV"",""MANZANA"",""99000772"",""44"","" "",""22"",""False"",""43"",""0.00000000000000000000"",""12"",""LBL NAT ALIDORO Blend Juice 4/128oz"",""50220"",""False"",""29"","""",""50210"",""False"",""18"","""",""11"",""LJ0006"",""2"",""10000"",""1"",""FJ0006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ALIDORO Blend Juice 4/128oz","50220","False","29","","50210","False","18","","11","LJ0006","2","10000","1","FJ0006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13" s="15"/>
      <c r="D1513" s="16" t="str">
        <f>"FJ0006"</f>
        <v>FJ0006</v>
      </c>
      <c r="E1513" s="16">
        <v>10000</v>
      </c>
      <c r="F1513" s="16" t="str">
        <f>"LJ0006"</f>
        <v>LJ0006</v>
      </c>
      <c r="G1513" s="17" t="str">
        <f>"LBL NAT ALIDORO Blend Juice 4/128oz"</f>
        <v>LBL NAT ALIDORO Blend Juice 4/128oz</v>
      </c>
      <c r="H1513" s="18" t="str">
        <f t="shared" si="170"/>
        <v>LABELS</v>
      </c>
      <c r="I1513" s="19">
        <v>4</v>
      </c>
      <c r="J1513" s="20">
        <v>4</v>
      </c>
    </row>
    <row r="1514" spans="1:10" ht="15.75" thickBot="1" x14ac:dyDescent="0.3">
      <c r="A1514" t="s">
        <v>31</v>
      </c>
      <c r="B1514" s="15" t="str">
        <f>"""Manzana NAV"",""MANZANA"",""99000772"",""44"","" "",""22"",""False"",""43"",""0.00000000000000000000"",""12"",""LBL NAT ALIDORO Grav Apple Sauce 12/24oz"",""50220"",""False"",""29"","""",""50210"",""False"",""18"","""",""11"",""LS0030"",""2"",""30000"",""1"",""FS0030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ALIDORO Grav Apple Sauce 12/24oz","50220","False","29","","50210","False","18","","11","LS0030","2","30000","1","FS0030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4" s="15"/>
      <c r="D1514" s="16" t="str">
        <f>"FS0030"</f>
        <v>FS0030</v>
      </c>
      <c r="E1514" s="16">
        <v>30000</v>
      </c>
      <c r="F1514" s="16" t="str">
        <f>"LS0030"</f>
        <v>LS0030</v>
      </c>
      <c r="G1514" s="17" t="str">
        <f>"LBL NAT ALIDORO Grav Apple Sauce 12/24oz"</f>
        <v>LBL NAT ALIDORO Grav Apple Sauce 12/24oz</v>
      </c>
      <c r="H1514" s="18" t="str">
        <f t="shared" si="170"/>
        <v>LABELS</v>
      </c>
      <c r="I1514" s="19">
        <v>12</v>
      </c>
      <c r="J1514" s="20">
        <v>12</v>
      </c>
    </row>
    <row r="1515" spans="1:10" ht="15.75" thickBot="1" x14ac:dyDescent="0.3">
      <c r="A1515" t="s">
        <v>31</v>
      </c>
      <c r="B1515" s="15" t="str">
        <f>"""Manzana NAV"",""MANZANA"",""99000772"",""44"","" "",""22"",""False"",""43"",""0.00000000000000000000"",""12"",""LBL NAT ANDY'S Blend Juice 4/128oz"",""50220"",""False"",""29"","""",""50210"",""False"",""18"","""",""11"",""LJ0008"",""2"",""10000"",""1"",""FJ0008"",""14"",""4.00000000000000000000"",""45"",""4.0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ANDY'S Blend Juice 4/128oz","50220","False","29","","50210","False","18","","11","LJ0008","2","10000","1","FJ0008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15" s="15"/>
      <c r="D1515" s="16" t="str">
        <f>"FJ0008"</f>
        <v>FJ0008</v>
      </c>
      <c r="E1515" s="16">
        <v>10000</v>
      </c>
      <c r="F1515" s="16" t="str">
        <f>"LJ0008"</f>
        <v>LJ0008</v>
      </c>
      <c r="G1515" s="17" t="str">
        <f>"LBL NAT ANDY'S Blend Juice 4/128oz"</f>
        <v>LBL NAT ANDY'S Blend Juice 4/128oz</v>
      </c>
      <c r="H1515" s="18" t="str">
        <f t="shared" si="170"/>
        <v>LABELS</v>
      </c>
      <c r="I1515" s="19">
        <v>4</v>
      </c>
      <c r="J1515" s="20">
        <v>4</v>
      </c>
    </row>
    <row r="1516" spans="1:10" ht="15.75" thickBot="1" x14ac:dyDescent="0.3">
      <c r="A1516" t="s">
        <v>31</v>
      </c>
      <c r="B1516" s="15" t="str">
        <f>"""Manzana NAV"",""MANZANA"",""99000772"",""44"","" "",""22"",""False"",""43"",""0.00000000000000000000"",""12"",""LBL NAT ANDYS Blend Juice 6/64oz"",""50220"",""False"",""29"","""",""50210"",""False"",""18"","""",""11"",""LJ0080"",""2"",""30000"",""1"",""FJ0080"",""14"",""6.00000000000000000000"",""45"",""6.000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ANDYS Blend Juice 6/64oz","50220","False","29","","50210","False","18","","11","LJ0080","2","30000","1","FJ0080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16" s="15"/>
      <c r="D1516" s="16" t="str">
        <f>"FJ0080"</f>
        <v>FJ0080</v>
      </c>
      <c r="E1516" s="16">
        <v>30000</v>
      </c>
      <c r="F1516" s="16" t="str">
        <f>"LJ0080"</f>
        <v>LJ0080</v>
      </c>
      <c r="G1516" s="17" t="str">
        <f>"LBL NAT ANDYS Blend Juice 6/64oz"</f>
        <v>LBL NAT ANDYS Blend Juice 6/64oz</v>
      </c>
      <c r="H1516" s="18" t="str">
        <f t="shared" si="170"/>
        <v>LABELS</v>
      </c>
      <c r="I1516" s="19">
        <v>6</v>
      </c>
      <c r="J1516" s="20">
        <v>6</v>
      </c>
    </row>
    <row r="1517" spans="1:10" ht="15.75" thickBot="1" x14ac:dyDescent="0.3">
      <c r="A1517" t="s">
        <v>31</v>
      </c>
      <c r="B1517" s="15" t="str">
        <f>"""Manzana NAV"",""MANZANA"",""99000772"",""44"","" "",""22"",""False"",""43"",""0.00000000000000000000"",""12"",""LBL NAT ANDYS Cinn Apple Sauce 12/24oz"",""50220"",""False"",""29"","""",""50210"",""False"",""18"","""",""11"",""LS0028"",""2"",""30000"",""1"",""FS0028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ANDYS Cinn Apple Sauce 12/24oz","50220","False","29","","50210","False","18","","11","LS0028","2","30000","1","FS0028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7" s="15"/>
      <c r="D1517" s="16" t="str">
        <f>"FS0028"</f>
        <v>FS0028</v>
      </c>
      <c r="E1517" s="16">
        <v>30000</v>
      </c>
      <c r="F1517" s="16" t="str">
        <f>"LS0028"</f>
        <v>LS0028</v>
      </c>
      <c r="G1517" s="17" t="str">
        <f>"LBL NAT ANDYS Cinn Apple Sauce 12/24oz"</f>
        <v>LBL NAT ANDYS Cinn Apple Sauce 12/24oz</v>
      </c>
      <c r="H1517" s="18" t="str">
        <f t="shared" si="170"/>
        <v>LABELS</v>
      </c>
      <c r="I1517" s="19">
        <v>12</v>
      </c>
      <c r="J1517" s="20">
        <v>12</v>
      </c>
    </row>
    <row r="1518" spans="1:10" ht="15.75" thickBot="1" x14ac:dyDescent="0.3">
      <c r="A1518" t="s">
        <v>31</v>
      </c>
      <c r="B1518" s="15" t="str">
        <f>"""Manzana NAV"",""MANZANA"",""99000772"",""44"","" "",""22"",""False"",""43"",""0.00000000000000000000"",""12"",""LBL NAT ANDYS Grav Apple Sauce 12/24oz"",""50220"",""False"",""29"","""",""50210"",""False"",""18"","""",""11"",""LS0027"",""2"",""30000"",""1"",""FS0027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ANDYS Grav Apple Sauce 12/24oz","50220","False","29","","50210","False","18","","11","LS0027","2","30000","1","FS0027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8" s="15"/>
      <c r="D1518" s="16" t="str">
        <f>"FS0027"</f>
        <v>FS0027</v>
      </c>
      <c r="E1518" s="16">
        <v>30000</v>
      </c>
      <c r="F1518" s="16" t="str">
        <f>"LS0027"</f>
        <v>LS0027</v>
      </c>
      <c r="G1518" s="17" t="str">
        <f>"LBL NAT ANDYS Grav Apple Sauce 12/24oz"</f>
        <v>LBL NAT ANDYS Grav Apple Sauce 12/24oz</v>
      </c>
      <c r="H1518" s="18" t="str">
        <f t="shared" si="170"/>
        <v>LABELS</v>
      </c>
      <c r="I1518" s="19">
        <v>12</v>
      </c>
      <c r="J1518" s="20">
        <v>12</v>
      </c>
    </row>
    <row r="1519" spans="1:10" ht="15.75" thickBot="1" x14ac:dyDescent="0.3">
      <c r="A1519" t="s">
        <v>31</v>
      </c>
      <c r="B1519" s="15" t="str">
        <f>"""Manzana NAV"",""MANZANA"",""99000772"",""44"","" "",""22"",""False"",""43"",""0.00000000000000000000"",""12"",""LBL NAT EARTH FARE Blend Juice 4/128oz"",""50220"",""False"",""29"","""",""50210"",""False"",""18"","""",""11"",""LJ0033"",""2"",""30000"",""1"",""FJ0033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EARTH FARE Blend Juice 4/128oz","50220","False","29","","50210","False","18","","11","LJ0033","2","30000","1","FJ0033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19" s="15"/>
      <c r="D1519" s="16" t="str">
        <f>"FJ0033"</f>
        <v>FJ0033</v>
      </c>
      <c r="E1519" s="16">
        <v>30000</v>
      </c>
      <c r="F1519" s="16" t="str">
        <f>"LJ0033"</f>
        <v>LJ0033</v>
      </c>
      <c r="G1519" s="17" t="str">
        <f>"LBL NAT EARTH FARE Blend Juice 4/128oz"</f>
        <v>LBL NAT EARTH FARE Blend Juice 4/128oz</v>
      </c>
      <c r="H1519" s="18" t="str">
        <f t="shared" si="170"/>
        <v>LABELS</v>
      </c>
      <c r="I1519" s="19">
        <v>4</v>
      </c>
      <c r="J1519" s="20">
        <v>4</v>
      </c>
    </row>
    <row r="1520" spans="1:10" ht="15.75" thickBot="1" x14ac:dyDescent="0.3">
      <c r="A1520" t="s">
        <v>31</v>
      </c>
      <c r="B1520" s="15" t="str">
        <f>"""Manzana NAV"",""MANZANA"",""99000772"",""44"","" "",""22"",""False"",""43"",""0.00000000000000000000"",""12"",""LBL NAT F.n.EASY Cider 6/64oz"",""50220"",""False"",""29"","""",""50210"",""False"",""18"","""",""11"",""Z-LJ0034"",""2"",""30000"",""1"",""Z-FJ0034"",""14"",""6.00000000000000000000"",""45"",""6.00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F.n.EASY Cider 6/64oz","50220","False","29","","50210","False","18","","11","Z-LJ0034","2","30000","1","Z-FJ0034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20" s="15"/>
      <c r="D1520" s="16" t="str">
        <f>"Z-FJ0034"</f>
        <v>Z-FJ0034</v>
      </c>
      <c r="E1520" s="16">
        <v>30000</v>
      </c>
      <c r="F1520" s="16" t="str">
        <f>"Z-LJ0034"</f>
        <v>Z-LJ0034</v>
      </c>
      <c r="G1520" s="17" t="str">
        <f>"LBL NAT F.n.EASY Cider 6/64oz"</f>
        <v>LBL NAT F.n.EASY Cider 6/64oz</v>
      </c>
      <c r="H1520" s="18" t="str">
        <f t="shared" si="170"/>
        <v>LABELS</v>
      </c>
      <c r="I1520" s="19">
        <v>6</v>
      </c>
      <c r="J1520" s="20">
        <v>6</v>
      </c>
    </row>
    <row r="1521" spans="1:10" ht="15.75" thickBot="1" x14ac:dyDescent="0.3">
      <c r="A1521" t="s">
        <v>31</v>
      </c>
      <c r="B1521" s="15" t="str">
        <f>"""Manzana NAV"",""MANZANA"",""99000772"",""44"","" "",""22"",""False"",""43"",""0.00000000000000000000"",""12"",""LBL NAT LANGER Blend Apple Sauce 12/33oz"",""50220"",""False"",""29"","""",""50210"",""False"",""18"","""",""11"",""LS0047"",""2"",""30000"",""1"",""FS0047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LANGER Blend Apple Sauce 12/33oz","50220","False","29","","50210","False","18","","11","LS0047","2","30000","1","FS0047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1" s="15"/>
      <c r="D1521" s="16" t="str">
        <f>"FS0047"</f>
        <v>FS0047</v>
      </c>
      <c r="E1521" s="16">
        <v>30000</v>
      </c>
      <c r="F1521" s="16" t="str">
        <f>"LS0047"</f>
        <v>LS0047</v>
      </c>
      <c r="G1521" s="17" t="str">
        <f>"LBL NAT LANGER Blend Apple Sauce 12/33oz"</f>
        <v>LBL NAT LANGER Blend Apple Sauce 12/33oz</v>
      </c>
      <c r="H1521" s="18" t="str">
        <f t="shared" si="170"/>
        <v>LABELS</v>
      </c>
      <c r="I1521" s="19">
        <v>12</v>
      </c>
      <c r="J1521" s="20">
        <v>12</v>
      </c>
    </row>
    <row r="1522" spans="1:10" ht="15.75" thickBot="1" x14ac:dyDescent="0.3">
      <c r="A1522" t="s">
        <v>31</v>
      </c>
      <c r="B1522" s="15" t="str">
        <f>"""Manzana NAV"",""MANZANA"",""99000772"",""44"","" "",""22"",""False"",""43"",""0.00000000000000000000"",""12"",""LBL NAT MOLLIE STONES Filt Juice 6/64oz - dmd neck"",""50220"",""False"",""29"","""",""50210"",""False"",""18"","""",""11"",""LJ0043"",""2"",""20000"",""1"",""FJ0043"",""14"",""6.000000000000000"&amp;"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MOLLIE STONES Filt Juice 6/64oz - dmd neck","50220","False","29","","50210","False","18","","11","LJ0043","2","20000","1","FJ0043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22" s="15"/>
      <c r="D1522" s="16" t="str">
        <f>"FJ0043"</f>
        <v>FJ0043</v>
      </c>
      <c r="E1522" s="16">
        <v>20000</v>
      </c>
      <c r="F1522" s="16" t="str">
        <f>"LJ0043"</f>
        <v>LJ0043</v>
      </c>
      <c r="G1522" s="17" t="str">
        <f>"LBL NAT MOLLIE STONES Filt Juice 6/64oz - dmd neck"</f>
        <v>LBL NAT MOLLIE STONES Filt Juice 6/64oz - dmd neck</v>
      </c>
      <c r="H1522" s="18" t="str">
        <f t="shared" si="170"/>
        <v>LABELS</v>
      </c>
      <c r="I1522" s="19">
        <v>6</v>
      </c>
      <c r="J1522" s="20">
        <v>6</v>
      </c>
    </row>
    <row r="1523" spans="1:10" ht="15.75" thickBot="1" x14ac:dyDescent="0.3">
      <c r="A1523" t="s">
        <v>31</v>
      </c>
      <c r="B1523" s="15" t="str">
        <f>"""Manzana NAV"",""MANZANA"",""99000772"",""44"","" "",""22"",""False"",""43"",""0.00000000000000000000"",""12"",""LBL NAT MOLLIE STONES Grav Sauce 12/24oz"",""50220"",""False"",""29"","""",""50210"",""False"",""18"","""",""11"",""LS0136"",""2"",""10000"",""1"",""FS0136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MOLLIE STONES Grav Sauce 12/24oz","50220","False","29","","50210","False","18","","11","LS0136","2","10000","1","FS0136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3" s="15"/>
      <c r="D1523" s="16" t="str">
        <f>"FS0136"</f>
        <v>FS0136</v>
      </c>
      <c r="E1523" s="16">
        <v>10000</v>
      </c>
      <c r="F1523" s="16" t="str">
        <f>"LS0136"</f>
        <v>LS0136</v>
      </c>
      <c r="G1523" s="17" t="str">
        <f>"LBL NAT MOLLIE STONES Grav Sauce 12/24oz"</f>
        <v>LBL NAT MOLLIE STONES Grav Sauce 12/24oz</v>
      </c>
      <c r="H1523" s="18" t="str">
        <f t="shared" si="170"/>
        <v>LABELS</v>
      </c>
      <c r="I1523" s="19">
        <v>12</v>
      </c>
      <c r="J1523" s="20">
        <v>12</v>
      </c>
    </row>
    <row r="1524" spans="1:10" ht="15.75" thickBot="1" x14ac:dyDescent="0.3">
      <c r="A1524" t="s">
        <v>31</v>
      </c>
      <c r="B1524" s="15" t="str">
        <f>"""Manzana NAV"",""MANZANA"",""99000772"",""44"","" "",""22"",""False"",""43"",""0.00000000000000000000"",""12"",""LBL NAT MRS.GOOCH Blend Juice 8/48oz"",""50220"",""False"",""29"","""",""50210"",""False"",""18"","""",""11"",""LJ0126"",""2"",""30000"",""1"",""FJ0126"",""14"",""8.00000000000000000000"",""45"",""8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MRS.GOOCH Blend Juice 8/48oz","50220","False","29","","50210","False","18","","11","LJ0126","2","30000","1","FJ0126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24" s="15"/>
      <c r="D1524" s="16" t="str">
        <f>"FJ0126"</f>
        <v>FJ0126</v>
      </c>
      <c r="E1524" s="16">
        <v>30000</v>
      </c>
      <c r="F1524" s="16" t="str">
        <f>"LJ0126"</f>
        <v>LJ0126</v>
      </c>
      <c r="G1524" s="17" t="str">
        <f>"LBL NAT MRS.GOOCH Blend Juice 8/48oz"</f>
        <v>LBL NAT MRS.GOOCH Blend Juice 8/48oz</v>
      </c>
      <c r="H1524" s="18" t="str">
        <f t="shared" si="170"/>
        <v>LABELS</v>
      </c>
      <c r="I1524" s="19">
        <v>8</v>
      </c>
      <c r="J1524" s="20">
        <v>8</v>
      </c>
    </row>
    <row r="1525" spans="1:10" ht="15.75" thickBot="1" x14ac:dyDescent="0.3">
      <c r="A1525" t="s">
        <v>31</v>
      </c>
      <c r="B1525" s="15" t="str">
        <f>"""Manzana NAV"",""MANZANA"",""99000772"",""44"","" "",""22"",""False"",""43"",""0.00000000000000000000"",""12"",""LBL NAT N.COAST Apricot Apple Sauce 12/24oz"",""50220"",""False"",""29"","""",""50210"",""False"",""18"","""",""11"",""LS0139"",""2"",""10000"",""1"",""FS0139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Apricot Apple Sauce 12/24oz","50220","False","29","","50210","False","18","","11","LS0139","2","10000","1","FS0139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5" s="15"/>
      <c r="D1525" s="16" t="str">
        <f>"FS0139"</f>
        <v>FS0139</v>
      </c>
      <c r="E1525" s="16">
        <v>10000</v>
      </c>
      <c r="F1525" s="16" t="str">
        <f>"LS0139"</f>
        <v>LS0139</v>
      </c>
      <c r="G1525" s="17" t="str">
        <f>"LBL NAT N.COAST Apricot Apple Sauce 12/24oz"</f>
        <v>LBL NAT N.COAST Apricot Apple Sauce 12/24oz</v>
      </c>
      <c r="H1525" s="18" t="str">
        <f t="shared" si="170"/>
        <v>LABELS</v>
      </c>
      <c r="I1525" s="19">
        <v>12</v>
      </c>
      <c r="J1525" s="20">
        <v>12</v>
      </c>
    </row>
    <row r="1526" spans="1:10" ht="15.75" thickBot="1" x14ac:dyDescent="0.3">
      <c r="A1526" t="s">
        <v>31</v>
      </c>
      <c r="B1526" s="15" t="str">
        <f>"""Manzana NAV"",""MANZANA"",""99000772"",""44"","" "",""22"",""False"",""43"",""0.00000000000000000000"",""12"",""LBL NAT N.COAST Blend Apple Sauce 12/24oz"",""50220"",""False"",""29"","""",""50210"",""False"",""18"","""",""11"",""LS0010"",""2"",""30000"",""1"",""FS0010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Apple Sauce 12/24oz","50220","False","29","","50210","False","18","","11","LS0010","2","30000","1","FS0010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6" s="15"/>
      <c r="D1526" s="16" t="str">
        <f>"FS0010"</f>
        <v>FS0010</v>
      </c>
      <c r="E1526" s="16">
        <v>30000</v>
      </c>
      <c r="F1526" s="16" t="str">
        <f>"LS0010"</f>
        <v>LS0010</v>
      </c>
      <c r="G1526" s="17" t="str">
        <f>"LBL NAT N.COAST Blend Apple Sauce 12/24oz"</f>
        <v>LBL NAT N.COAST Blend Apple Sauce 12/24oz</v>
      </c>
      <c r="H1526" s="18" t="str">
        <f t="shared" si="170"/>
        <v>LABELS</v>
      </c>
      <c r="I1526" s="19">
        <v>12</v>
      </c>
      <c r="J1526" s="20">
        <v>12</v>
      </c>
    </row>
    <row r="1527" spans="1:10" ht="15.75" thickBot="1" x14ac:dyDescent="0.3">
      <c r="A1527" t="s">
        <v>31</v>
      </c>
      <c r="B1527" s="15" t="str">
        <f>"""Manzana NAV"",""MANZANA"",""99000772"",""44"","" "",""22"",""False"",""43"",""0.00000000000000000000"",""12"",""LBL NAT N.COAST Blend Apple Sauce 12/33oz"",""50220"",""False"",""29"","""",""50210"",""False"",""18"","""",""11"",""LS0018"",""2"",""30000"",""1"",""FS0018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Apple Sauce 12/33oz","50220","False","29","","50210","False","18","","11","LS0018","2","30000","1","FS0018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7" s="15"/>
      <c r="D1527" s="16" t="str">
        <f>"FS0018"</f>
        <v>FS0018</v>
      </c>
      <c r="E1527" s="16">
        <v>30000</v>
      </c>
      <c r="F1527" s="16" t="str">
        <f>"LS0018"</f>
        <v>LS0018</v>
      </c>
      <c r="G1527" s="17" t="str">
        <f>"LBL NAT N.COAST Blend Apple Sauce 12/33oz"</f>
        <v>LBL NAT N.COAST Blend Apple Sauce 12/33oz</v>
      </c>
      <c r="H1527" s="18" t="str">
        <f t="shared" si="170"/>
        <v>LABELS</v>
      </c>
      <c r="I1527" s="19">
        <v>12</v>
      </c>
      <c r="J1527" s="20">
        <v>12</v>
      </c>
    </row>
    <row r="1528" spans="1:10" ht="15.75" thickBot="1" x14ac:dyDescent="0.3">
      <c r="A1528" t="s">
        <v>31</v>
      </c>
      <c r="B1528" s="15" t="str">
        <f>"""Manzana NAV"",""MANZANA"",""99000772"",""44"","" "",""22"",""False"",""43"",""0.00000000000000000000"",""12"",""LBL NAT N.COAST Blend Juice 4/128oz"",""50220"",""False"",""29"","""",""50210"",""False"",""18"","""",""11"",""LJ0048"",""2"",""30000"",""1"",""FJ0048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Juice 4/128oz","50220","False","29","","50210","False","18","","11","LJ0048","2","30000","1","FJ0048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28" s="15"/>
      <c r="D1528" s="16" t="str">
        <f>"FJ0048"</f>
        <v>FJ0048</v>
      </c>
      <c r="E1528" s="16">
        <v>30000</v>
      </c>
      <c r="F1528" s="16" t="str">
        <f>"LJ0048"</f>
        <v>LJ0048</v>
      </c>
      <c r="G1528" s="17" t="str">
        <f>"LBL NAT N.COAST Blend Juice 4/128oz"</f>
        <v>LBL NAT N.COAST Blend Juice 4/128oz</v>
      </c>
      <c r="H1528" s="18" t="str">
        <f t="shared" si="170"/>
        <v>LABELS</v>
      </c>
      <c r="I1528" s="19">
        <v>4</v>
      </c>
      <c r="J1528" s="20">
        <v>4</v>
      </c>
    </row>
    <row r="1529" spans="1:10" ht="15.75" thickBot="1" x14ac:dyDescent="0.3">
      <c r="A1529" t="s">
        <v>31</v>
      </c>
      <c r="B1529" s="15" t="str">
        <f>"""Manzana NAV"",""MANZANA"",""99000772"",""44"","" "",""22"",""False"",""43"",""0.00000000000000000000"",""12"",""LBL NAT N.COAST Blend Juice 6/64oz"",""50220"",""False"",""29"","""",""50210"",""False"",""18"","""",""11"",""LJ0084"",""2"",""30000"",""1"",""FJ0084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Juice 6/64oz","50220","False","29","","50210","False","18","","11","LJ0084","2","30000","1","FJ0084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29" s="15"/>
      <c r="D1529" s="16" t="str">
        <f>"FJ0084"</f>
        <v>FJ0084</v>
      </c>
      <c r="E1529" s="16">
        <v>30000</v>
      </c>
      <c r="F1529" s="16" t="str">
        <f>"LJ0084"</f>
        <v>LJ0084</v>
      </c>
      <c r="G1529" s="17" t="str">
        <f>"LBL NAT N.COAST Blend Juice 6/64oz"</f>
        <v>LBL NAT N.COAST Blend Juice 6/64oz</v>
      </c>
      <c r="H1529" s="18" t="str">
        <f t="shared" si="170"/>
        <v>LABELS</v>
      </c>
      <c r="I1529" s="19">
        <v>6</v>
      </c>
      <c r="J1529" s="20">
        <v>6</v>
      </c>
    </row>
    <row r="1530" spans="1:10" ht="15.75" thickBot="1" x14ac:dyDescent="0.3">
      <c r="A1530" t="s">
        <v>31</v>
      </c>
      <c r="B1530" s="15" t="str">
        <f>"""Manzana NAV"",""MANZANA"",""99000772"",""44"","" "",""22"",""False"",""43"",""0.00000000000000000000"",""12"",""LBL NAT N.COAST Cinn Apple Sauce 12/24oz"",""50220"",""False"",""29"","""",""50210"",""False"",""18"","""",""11"",""LS0138"",""2"",""10000"",""1"",""FS0138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Cinn Apple Sauce 12/24oz","50220","False","29","","50210","False","18","","11","LS0138","2","10000","1","FS0138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0" s="15"/>
      <c r="D1530" s="16" t="str">
        <f>"FS0138"</f>
        <v>FS0138</v>
      </c>
      <c r="E1530" s="16">
        <v>10000</v>
      </c>
      <c r="F1530" s="16" t="str">
        <f>"LS0138"</f>
        <v>LS0138</v>
      </c>
      <c r="G1530" s="17" t="str">
        <f>"LBL NAT N.COAST Cinn Apple Sauce 12/24oz"</f>
        <v>LBL NAT N.COAST Cinn Apple Sauce 12/24oz</v>
      </c>
      <c r="H1530" s="18" t="str">
        <f t="shared" si="170"/>
        <v>LABELS</v>
      </c>
      <c r="I1530" s="19">
        <v>12</v>
      </c>
      <c r="J1530" s="20">
        <v>12</v>
      </c>
    </row>
    <row r="1531" spans="1:10" ht="15.75" thickBot="1" x14ac:dyDescent="0.3">
      <c r="A1531" t="s">
        <v>31</v>
      </c>
      <c r="B1531" s="15" t="str">
        <f>"""Manzana NAV"",""MANZANA"",""99000772"",""44"","" "",""22"",""False"",""43"",""0.00000000000000000000"",""12"",""LBL NAT N.COAST Grav Juice 8/48oz"",""50220"",""False"",""29"","""",""50210"",""False"",""18"","""",""11"",""LJ0144"",""2"",""20000"",""1"",""FJ0144"",""14"",""8.00000000000000000000"",""45"",""8.00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Grav Juice 8/48oz","50220","False","29","","50210","False","18","","11","LJ0144","2","20000","1","FJ0144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31" s="15"/>
      <c r="D1531" s="16" t="str">
        <f>"FJ0144"</f>
        <v>FJ0144</v>
      </c>
      <c r="E1531" s="16">
        <v>20000</v>
      </c>
      <c r="F1531" s="16" t="str">
        <f>"LJ0144"</f>
        <v>LJ0144</v>
      </c>
      <c r="G1531" s="17" t="str">
        <f>"LBL NAT N.COAST Grav Juice 8/48oz"</f>
        <v>LBL NAT N.COAST Grav Juice 8/48oz</v>
      </c>
      <c r="H1531" s="18" t="str">
        <f t="shared" si="170"/>
        <v>LABELS</v>
      </c>
      <c r="I1531" s="19">
        <v>8</v>
      </c>
      <c r="J1531" s="20">
        <v>8</v>
      </c>
    </row>
    <row r="1532" spans="1:10" ht="15.75" thickBot="1" x14ac:dyDescent="0.3">
      <c r="A1532" t="s">
        <v>31</v>
      </c>
      <c r="B1532" s="15" t="str">
        <f>"""Manzana NAV"",""MANZANA"",""99000772"",""44"","" "",""22"",""False"",""43"",""0.00000000000000000000"",""12"",""LBL NAT S&amp;W Sweet Blend Apple Sauce 12/25oz"",""50220"",""False"",""29"","""",""50210"",""False"",""18"","""",""11"",""LS0057"",""2"",""30000"",""1"",""FS0057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S&amp;W Sweet Blend Apple Sauce 12/25oz","50220","False","29","","50210","False","18","","11","LS0057","2","30000","1","FS0057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2" s="15"/>
      <c r="D1532" s="16" t="str">
        <f>"FS0057"</f>
        <v>FS0057</v>
      </c>
      <c r="E1532" s="16">
        <v>30000</v>
      </c>
      <c r="F1532" s="16" t="str">
        <f>"LS0057"</f>
        <v>LS0057</v>
      </c>
      <c r="G1532" s="17" t="str">
        <f>"LBL NAT S&amp;W Sweet Blend Apple Sauce 12/25oz"</f>
        <v>LBL NAT S&amp;W Sweet Blend Apple Sauce 12/25oz</v>
      </c>
      <c r="H1532" s="18" t="str">
        <f t="shared" si="170"/>
        <v>LABELS</v>
      </c>
      <c r="I1532" s="19">
        <v>12</v>
      </c>
      <c r="J1532" s="20">
        <v>12</v>
      </c>
    </row>
    <row r="1533" spans="1:10" ht="15.75" thickBot="1" x14ac:dyDescent="0.3">
      <c r="A1533" t="s">
        <v>31</v>
      </c>
      <c r="B1533" s="15" t="str">
        <f>"""Manzana NAV"",""MANZANA"",""99000772"",""44"","" "",""22"",""False"",""43"",""0.00000000000000000000"",""12"",""LBL NAT S&amp;W Sweet GRAV Apple Sauce 12/25oz"",""50220"",""False"",""29"","""",""50210"",""False"",""18"","""",""11"",""LS0058"",""2"",""30000"",""1"",""FS0058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S&amp;W Sweet GRAV Apple Sauce 12/25oz","50220","False","29","","50210","False","18","","11","LS0058","2","30000","1","FS0058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3" s="15"/>
      <c r="D1533" s="16" t="str">
        <f>"FS0058"</f>
        <v>FS0058</v>
      </c>
      <c r="E1533" s="16">
        <v>30000</v>
      </c>
      <c r="F1533" s="16" t="str">
        <f>"LS0058"</f>
        <v>LS0058</v>
      </c>
      <c r="G1533" s="17" t="str">
        <f>"LBL NAT S&amp;W Sweet GRAV Apple Sauce 12/25oz"</f>
        <v>LBL NAT S&amp;W Sweet GRAV Apple Sauce 12/25oz</v>
      </c>
      <c r="H1533" s="18" t="str">
        <f t="shared" si="170"/>
        <v>LABELS</v>
      </c>
      <c r="I1533" s="19">
        <v>12</v>
      </c>
      <c r="J1533" s="20">
        <v>12</v>
      </c>
    </row>
    <row r="1534" spans="1:10" ht="15.75" thickBot="1" x14ac:dyDescent="0.3">
      <c r="A1534" t="s">
        <v>31</v>
      </c>
      <c r="B1534" s="15" t="str">
        <f>"""Manzana NAV"",""MANZANA"",""99000772"",""44"","" "",""22"",""False"",""43"",""0.00000000000000000000"",""12"",""LBL NAT S.n.W Grav Apple Sauce 12/25oz"",""50220"",""False"",""29"","""",""50210"",""False"",""18"","""",""11"",""LS0116"",""2"",""30000"",""1"",""FS0116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Grav Apple Sauce 12/25oz","50220","False","29","","50210","False","18","","11","LS0116","2","30000","1","FS0116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4" s="15"/>
      <c r="D1534" s="16" t="str">
        <f>"FS0116"</f>
        <v>FS0116</v>
      </c>
      <c r="E1534" s="16">
        <v>30000</v>
      </c>
      <c r="F1534" s="16" t="str">
        <f>"LS0116"</f>
        <v>LS0116</v>
      </c>
      <c r="G1534" s="17" t="str">
        <f>"LBL NAT S.n.W Grav Apple Sauce 12/25oz"</f>
        <v>LBL NAT S.n.W Grav Apple Sauce 12/25oz</v>
      </c>
      <c r="H1534" s="18" t="str">
        <f t="shared" si="170"/>
        <v>LABELS</v>
      </c>
      <c r="I1534" s="19">
        <v>12</v>
      </c>
      <c r="J1534" s="20">
        <v>12</v>
      </c>
    </row>
    <row r="1535" spans="1:10" ht="15.75" thickBot="1" x14ac:dyDescent="0.3">
      <c r="A1535" t="s">
        <v>31</v>
      </c>
      <c r="B1535" s="15" t="str">
        <f>"""Manzana NAV"",""MANZANA"",""99000772"",""44"","" "",""22"",""False"",""43"",""0.00000000000000000000"",""12"",""LBL NAT S.n.W Pure de Manzana 680gr Swt Blend"",""50220"",""False"",""29"","""",""50210"",""False"",""18"","""",""11"",""LS0134"",""2"",""10000"",""1"",""FS0134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Pure de Manzana 680gr Swt Blend","50220","False","29","","50210","False","18","","11","LS0134","2","10000","1","FS0134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5" s="15"/>
      <c r="D1535" s="16" t="str">
        <f>"FS0134"</f>
        <v>FS0134</v>
      </c>
      <c r="E1535" s="16">
        <v>10000</v>
      </c>
      <c r="F1535" s="16" t="str">
        <f>"LS0134"</f>
        <v>LS0134</v>
      </c>
      <c r="G1535" s="17" t="str">
        <f>"LBL NAT S.n.W Pure de Manzana 680gr Swt Blend"</f>
        <v>LBL NAT S.n.W Pure de Manzana 680gr Swt Blend</v>
      </c>
      <c r="H1535" s="18" t="str">
        <f t="shared" si="170"/>
        <v>LABELS</v>
      </c>
      <c r="I1535" s="19">
        <v>12</v>
      </c>
      <c r="J1535" s="20">
        <v>12</v>
      </c>
    </row>
    <row r="1536" spans="1:10" ht="15.75" thickBot="1" x14ac:dyDescent="0.3">
      <c r="A1536" t="s">
        <v>31</v>
      </c>
      <c r="B1536" s="15" t="str">
        <f>"""Manzana NAV"",""MANZANA"",""99000772"",""44"","" "",""22"",""False"",""43"",""0.00000000000000000000"",""12"",""LBL NAT S.n.W Vinegar 12/16oz"",""50220"",""False"",""29"","""",""50210"",""False"",""18"","""",""11"",""LV0015"",""2"",""30000"",""1"",""FV0015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Vinegar 12/16oz","50220","False","29","","50210","False","18","","11","LV0015","2","30000","1","FV0015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6" s="15"/>
      <c r="D1536" s="16" t="str">
        <f>"FV0015"</f>
        <v>FV0015</v>
      </c>
      <c r="E1536" s="16">
        <v>30000</v>
      </c>
      <c r="F1536" s="16" t="str">
        <f>"LV0015"</f>
        <v>LV0015</v>
      </c>
      <c r="G1536" s="17" t="str">
        <f>"LBL NAT S.n.W Vinegar 12/16oz"</f>
        <v>LBL NAT S.n.W Vinegar 12/16oz</v>
      </c>
      <c r="H1536" s="18" t="str">
        <f t="shared" si="170"/>
        <v>LABELS</v>
      </c>
      <c r="I1536" s="19">
        <v>12</v>
      </c>
      <c r="J1536" s="20">
        <v>12</v>
      </c>
    </row>
    <row r="1537" spans="1:10" ht="15.75" thickBot="1" x14ac:dyDescent="0.3">
      <c r="A1537" t="s">
        <v>31</v>
      </c>
      <c r="B1537" s="15" t="str">
        <f>"""Manzana NAV"",""MANZANA"",""99000772"",""44"","" "",""22"",""False"",""43"",""0.00000000000000000000"",""12"",""LBL NAT S.n.W Vinegar 12/32oz"",""50220"",""False"",""29"","""",""50210"",""False"",""18"","""",""11"",""LV0022"",""2"",""20000"",""1"",""FV0022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Vinegar 12/32oz","50220","False","29","","50210","False","18","","11","LV0022","2","20000","1","FV0022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7" s="15"/>
      <c r="D1537" s="16" t="str">
        <f>"FV0022"</f>
        <v>FV0022</v>
      </c>
      <c r="E1537" s="16">
        <v>20000</v>
      </c>
      <c r="F1537" s="16" t="str">
        <f>"LV0022"</f>
        <v>LV0022</v>
      </c>
      <c r="G1537" s="17" t="str">
        <f>"LBL NAT S.n.W Vinegar 12/32oz"</f>
        <v>LBL NAT S.n.W Vinegar 12/32oz</v>
      </c>
      <c r="H1537" s="18" t="str">
        <f t="shared" si="170"/>
        <v>LABELS</v>
      </c>
      <c r="I1537" s="19">
        <v>12</v>
      </c>
      <c r="J1537" s="20">
        <v>12</v>
      </c>
    </row>
    <row r="1538" spans="1:10" ht="15.75" thickBot="1" x14ac:dyDescent="0.3">
      <c r="A1538" t="s">
        <v>31</v>
      </c>
      <c r="B1538" s="15" t="str">
        <f>"""Manzana NAV"",""MANZANA"",""99000772"",""44"","" "",""22"",""False"",""43"",""0.00000000000000000000"",""12"",""LBL NAT SFWY KITCHN Sweet GRAV Sauce 12/25oz"",""50220"",""False"",""29"","""",""50210"",""False"",""18"","""",""11"",""LS0059"",""2"",""30000"",""1"",""FS0059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SFWY KITCHN Sweet GRAV Sauce 12/25oz","50220","False","29","","50210","False","18","","11","LS0059","2","30000","1","FS0059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8" s="15"/>
      <c r="D1538" s="16" t="str">
        <f>"FS0059"</f>
        <v>FS0059</v>
      </c>
      <c r="E1538" s="16">
        <v>30000</v>
      </c>
      <c r="F1538" s="16" t="str">
        <f>"LS0059"</f>
        <v>LS0059</v>
      </c>
      <c r="G1538" s="17" t="str">
        <f>"LBL NAT SFWY KITCHN Sweet GRAV Sauce 12/25oz"</f>
        <v>LBL NAT SFWY KITCHN Sweet GRAV Sauce 12/25oz</v>
      </c>
      <c r="H1538" s="18" t="str">
        <f t="shared" si="170"/>
        <v>LABELS</v>
      </c>
      <c r="I1538" s="19">
        <v>12</v>
      </c>
      <c r="J1538" s="20">
        <v>12</v>
      </c>
    </row>
    <row r="1539" spans="1:10" ht="15.75" thickBot="1" x14ac:dyDescent="0.3">
      <c r="A1539" t="s">
        <v>31</v>
      </c>
      <c r="B1539" s="15" t="str">
        <f>"""Manzana NAV"",""MANZANA"",""99000772"",""44"","" "",""22"",""False"",""43"",""0.00000000000000000000"",""12"",""LBL NAT SPROUTS Blend Juice 4/128oz"",""50220"",""False"",""29"","""",""50210"",""False"",""18"","""",""11"",""LJ0102"",""2"",""30000"",""1"",""FJ0102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SPROUTS Blend Juice 4/128oz","50220","False","29","","50210","False","18","","11","LJ0102","2","30000","1","FJ0102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39" s="15"/>
      <c r="D1539" s="16" t="str">
        <f>"FJ0102"</f>
        <v>FJ0102</v>
      </c>
      <c r="E1539" s="16">
        <v>30000</v>
      </c>
      <c r="F1539" s="16" t="str">
        <f>"LJ0102"</f>
        <v>LJ0102</v>
      </c>
      <c r="G1539" s="17" t="str">
        <f>"LBL NAT SPROUTS Blend Juice 4/128oz"</f>
        <v>LBL NAT SPROUTS Blend Juice 4/128oz</v>
      </c>
      <c r="H1539" s="18" t="str">
        <f t="shared" si="170"/>
        <v>LABELS</v>
      </c>
      <c r="I1539" s="19">
        <v>4</v>
      </c>
      <c r="J1539" s="20">
        <v>4</v>
      </c>
    </row>
    <row r="1540" spans="1:10" ht="15.75" thickBot="1" x14ac:dyDescent="0.3">
      <c r="A1540" t="s">
        <v>31</v>
      </c>
      <c r="B1540" s="15" t="str">
        <f>"""Manzana NAV"",""MANZANA"",""99000772"",""44"","" "",""22"",""False"",""43"",""0.00000000000000000000"",""12"",""LBL NAT SPROUTS Blend Juice 8/64oz (PET)"",""50220"",""False"",""29"","""",""50210"",""False"",""18"","""",""11"",""LJ0072"",""2"",""30000"",""1"",""FJ0072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SPROUTS Blend Juice 8/64oz (PET)","50220","False","29","","50210","False","18","","11","LJ0072","2","30000","1","FJ0072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40" s="15"/>
      <c r="D1540" s="16" t="str">
        <f>"FJ0072"</f>
        <v>FJ0072</v>
      </c>
      <c r="E1540" s="16">
        <v>30000</v>
      </c>
      <c r="F1540" s="16" t="str">
        <f>"LJ0072"</f>
        <v>LJ0072</v>
      </c>
      <c r="G1540" s="17" t="str">
        <f>"LBL NAT SPROUTS Blend Juice 8/64oz (PET)"</f>
        <v>LBL NAT SPROUTS Blend Juice 8/64oz (PET)</v>
      </c>
      <c r="H1540" s="18" t="str">
        <f t="shared" si="170"/>
        <v>LABELS</v>
      </c>
      <c r="I1540" s="19">
        <v>8</v>
      </c>
      <c r="J1540" s="20">
        <v>8</v>
      </c>
    </row>
    <row r="1541" spans="1:10" ht="15.75" thickBot="1" x14ac:dyDescent="0.3">
      <c r="A1541" t="s">
        <v>31</v>
      </c>
      <c r="B1541" s="15" t="str">
        <f>"""Manzana NAV"",""MANZANA"",""99000772"",""44"","" "",""22"",""False"",""43"",""0.00000000000000000000"",""12"",""LBL NAT TJOES Blend Apple Sauce 12/24oz"",""50220"",""False"",""29"","""",""50210"",""False"",""18"","""",""11"",""LS0022"",""2"",""30000"",""1"",""FS0022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TJOES Blend Apple Sauce 12/24oz","50220","False","29","","50210","False","18","","11","LS0022","2","30000","1","FS0022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1" s="15"/>
      <c r="D1541" s="16" t="str">
        <f>"FS0022"</f>
        <v>FS0022</v>
      </c>
      <c r="E1541" s="16">
        <v>30000</v>
      </c>
      <c r="F1541" s="16" t="str">
        <f>"LS0022"</f>
        <v>LS0022</v>
      </c>
      <c r="G1541" s="17" t="str">
        <f>"LBL NAT TJOES Blend Apple Sauce 12/24oz"</f>
        <v>LBL NAT TJOES Blend Apple Sauce 12/24oz</v>
      </c>
      <c r="H1541" s="18" t="str">
        <f t="shared" si="170"/>
        <v>LABELS</v>
      </c>
      <c r="I1541" s="19">
        <v>12</v>
      </c>
      <c r="J1541" s="20">
        <v>12</v>
      </c>
    </row>
    <row r="1542" spans="1:10" ht="15.75" thickBot="1" x14ac:dyDescent="0.3">
      <c r="A1542" t="s">
        <v>31</v>
      </c>
      <c r="B1542" s="15" t="str">
        <f>"""Manzana NAV"",""MANZANA"",""99000772"",""44"","" "",""22"",""False"",""43"",""0.00000000000000000000"",""12"",""LBL NAT TJOES Grape Juice 8/64oz (PET)"",""50220"",""False"",""29"","""",""50210"",""False"",""18"","""",""11"",""LJ0076"",""2"",""30000"",""1"",""FJ0076"",""14"",""8.00000000000000000000"",""45"","&amp;"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TJOES Grape Juice 8/64oz (PET)","50220","False","29","","50210","False","18","","11","LJ0076","2","30000","1","FJ0076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42" s="15"/>
      <c r="D1542" s="16" t="str">
        <f>"FJ0076"</f>
        <v>FJ0076</v>
      </c>
      <c r="E1542" s="16">
        <v>30000</v>
      </c>
      <c r="F1542" s="16" t="str">
        <f>"LJ0076"</f>
        <v>LJ0076</v>
      </c>
      <c r="G1542" s="17" t="str">
        <f>"LBL NAT TJOES Grape Juice 8/64oz (PET)"</f>
        <v>LBL NAT TJOES Grape Juice 8/64oz (PET)</v>
      </c>
      <c r="H1542" s="18" t="str">
        <f t="shared" si="170"/>
        <v>LABELS</v>
      </c>
      <c r="I1542" s="19">
        <v>8</v>
      </c>
      <c r="J1542" s="20">
        <v>8</v>
      </c>
    </row>
    <row r="1543" spans="1:10" ht="15.75" thickBot="1" x14ac:dyDescent="0.3">
      <c r="A1543" t="s">
        <v>31</v>
      </c>
      <c r="B1543" s="15" t="str">
        <f>"""Manzana NAV"",""MANZANA"",""99000772"",""44"","" "",""22"",""False"",""43"",""0.00000000000000000000"",""12"",""LBL NAT TJOES Grav Apple Sauce 12/24oz"",""50220"",""False"",""29"","""",""50210"",""False"",""18"","""",""11"",""LS0023"",""2"",""30000"",""1"",""FS0023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TJOES Grav Apple Sauce 12/24oz","50220","False","29","","50210","False","18","","11","LS0023","2","30000","1","FS0023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3" s="15"/>
      <c r="D1543" s="16" t="str">
        <f>"FS0023"</f>
        <v>FS0023</v>
      </c>
      <c r="E1543" s="16">
        <v>30000</v>
      </c>
      <c r="F1543" s="16" t="str">
        <f>"LS0023"</f>
        <v>LS0023</v>
      </c>
      <c r="G1543" s="17" t="str">
        <f>"LBL NAT TJOES Grav Apple Sauce 12/24oz"</f>
        <v>LBL NAT TJOES Grav Apple Sauce 12/24oz</v>
      </c>
      <c r="H1543" s="18" t="str">
        <f t="shared" si="170"/>
        <v>LABELS</v>
      </c>
      <c r="I1543" s="19">
        <v>12</v>
      </c>
      <c r="J1543" s="20">
        <v>12</v>
      </c>
    </row>
    <row r="1544" spans="1:10" ht="15.75" thickBot="1" x14ac:dyDescent="0.3">
      <c r="A1544" t="s">
        <v>31</v>
      </c>
      <c r="B1544" s="15" t="str">
        <f>"""Manzana NAV"",""MANZANA"",""99000772"",""44"","" "",""22"",""False"",""43"",""0.00000000000000000000"",""12"",""LBL NAT.FOODS NAT Blend Apple Sauce 12/24oz"",""50220"",""False"",""29"","""",""50210"",""False"",""18"","""",""11"",""LS0055"",""2"",""20000"",""1"",""FS0055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NAT.FOODS NAT Blend Apple Sauce 12/24oz","50220","False","29","","50210","False","18","","11","LS0055","2","20000","1","FS0055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4" s="15"/>
      <c r="D1544" s="16" t="str">
        <f>"FS0055"</f>
        <v>FS0055</v>
      </c>
      <c r="E1544" s="16">
        <v>20000</v>
      </c>
      <c r="F1544" s="16" t="str">
        <f>"LS0055"</f>
        <v>LS0055</v>
      </c>
      <c r="G1544" s="17" t="str">
        <f>"LBL NAT.FOODS NAT Blend Apple Sauce 12/24oz"</f>
        <v>LBL NAT.FOODS NAT Blend Apple Sauce 12/24oz</v>
      </c>
      <c r="H1544" s="18" t="str">
        <f t="shared" si="170"/>
        <v>LABELS</v>
      </c>
      <c r="I1544" s="19">
        <v>12</v>
      </c>
      <c r="J1544" s="20">
        <v>12</v>
      </c>
    </row>
    <row r="1545" spans="1:10" ht="15.75" thickBot="1" x14ac:dyDescent="0.3">
      <c r="A1545" t="s">
        <v>31</v>
      </c>
      <c r="B1545" s="15" t="str">
        <f>"""Manzana NAV"",""MANZANA"",""99000772"",""44"","" "",""22"",""False"",""43"",""0.00000000000000000000"",""12"",""LBL NAT.FOODS ORG Blend AS 12/24oz"",""50220"",""False"",""29"","""",""50210"",""False"",""18"","""",""11"",""LS0054"",""2"",""20000"",""1"",""FS0054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NAT.FOODS ORG Blend AS 12/24oz","50220","False","29","","50210","False","18","","11","LS0054","2","20000","1","FS0054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5" s="15"/>
      <c r="D1545" s="16" t="str">
        <f>"FS0054"</f>
        <v>FS0054</v>
      </c>
      <c r="E1545" s="16">
        <v>20000</v>
      </c>
      <c r="F1545" s="16" t="str">
        <f>"LS0054"</f>
        <v>LS0054</v>
      </c>
      <c r="G1545" s="17" t="str">
        <f>"LBL NAT.FOODS ORG Blend AS 12/24oz"</f>
        <v>LBL NAT.FOODS ORG Blend AS 12/24oz</v>
      </c>
      <c r="H1545" s="18" t="str">
        <f t="shared" si="170"/>
        <v>LABELS</v>
      </c>
      <c r="I1545" s="19">
        <v>12</v>
      </c>
      <c r="J1545" s="20">
        <v>12</v>
      </c>
    </row>
    <row r="1546" spans="1:10" ht="15.75" thickBot="1" x14ac:dyDescent="0.3">
      <c r="A1546" t="s">
        <v>31</v>
      </c>
      <c r="B1546" s="15" t="str">
        <f>"""Manzana NAV"",""MANZANA"",""99000772"",""44"","" "",""22"",""False"",""43"",""0.00000000000000000000"",""12"",""LBL NATURAL.DIRECTION ORG Blend Juice 8/64oz PET"",""50220"",""False"",""29"","""",""50210"",""False"",""18"","""",""11"",""LJ0215"",""2"",""10000"",""1"",""FJ0215"",""14"",""8.00000000000000000"&amp;"000"",""45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NATURAL.DIRECTION ORG Blend Juice 8/64oz PET","50220","False","29","","50210","False","18","","11","LJ0215","2","10000","1","FJ0215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46" s="15"/>
      <c r="D1546" s="16" t="str">
        <f>"FJ0215"</f>
        <v>FJ0215</v>
      </c>
      <c r="E1546" s="16">
        <v>10000</v>
      </c>
      <c r="F1546" s="16" t="str">
        <f>"LJ0215"</f>
        <v>LJ0215</v>
      </c>
      <c r="G1546" s="17" t="str">
        <f>"LBL NATURAL.DIRECTION ORG Blend Juice 8/64oz PET"</f>
        <v>LBL NATURAL.DIRECTION ORG Blend Juice 8/64oz PET</v>
      </c>
      <c r="H1546" s="18" t="str">
        <f t="shared" si="170"/>
        <v>LABELS</v>
      </c>
      <c r="I1546" s="19">
        <v>8</v>
      </c>
      <c r="J1546" s="20">
        <v>8</v>
      </c>
    </row>
    <row r="1547" spans="1:10" ht="15.75" thickBot="1" x14ac:dyDescent="0.3">
      <c r="A1547" t="s">
        <v>31</v>
      </c>
      <c r="B1547" s="15" t="str">
        <f>"""Manzana NAV"",""MANZANA"",""99000772"",""44"","" "",""22"",""False"",""43"",""0.00000000000000000000"",""12"",""LBL NATURAL.DIRECTIONS ORG Blend Sauce 12/24oz"",""50220"",""False"",""29"","""",""50210"",""False"",""18"","""",""11"",""LS0166"",""2"",""10000"",""1"",""FS0166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NATURAL.DIRECTIONS ORG Blend Sauce 12/24oz","50220","False","29","","50210","False","18","","11","LS0166","2","10000","1","FS0166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7" s="15"/>
      <c r="D1547" s="16" t="str">
        <f>"FS0166"</f>
        <v>FS0166</v>
      </c>
      <c r="E1547" s="16">
        <v>10000</v>
      </c>
      <c r="F1547" s="16" t="str">
        <f>"LS0166"</f>
        <v>LS0166</v>
      </c>
      <c r="G1547" s="17" t="str">
        <f>"LBL NATURAL.DIRECTIONS ORG Blend Sauce 12/24oz"</f>
        <v>LBL NATURAL.DIRECTIONS ORG Blend Sauce 12/24oz</v>
      </c>
      <c r="H1547" s="18" t="str">
        <f t="shared" si="170"/>
        <v>LABELS</v>
      </c>
      <c r="I1547" s="19">
        <v>12</v>
      </c>
      <c r="J1547" s="20">
        <v>12</v>
      </c>
    </row>
    <row r="1548" spans="1:10" ht="15.75" thickBot="1" x14ac:dyDescent="0.3">
      <c r="A1548" t="s">
        <v>31</v>
      </c>
      <c r="B1548" s="15" t="str">
        <f>"""Manzana NAV"",""MANZANA"",""99000772"",""44"","" "",""22"",""False"",""43"",""0.00000000000000000000"",""12"",""LBL NATURAL.DIRECTIONS ORG Cinn Sauce 12/24oz"",""50220"",""False"",""29"","""",""50210"",""False"",""18"","""",""11"",""LS0167"",""2"",""20000"",""1"",""FS0167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NATURAL.DIRECTIONS ORG Cinn Sauce 12/24oz","50220","False","29","","50210","False","18","","11","LS0167","2","20000","1","FS0167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8" s="15"/>
      <c r="D1548" s="16" t="str">
        <f>"FS0167"</f>
        <v>FS0167</v>
      </c>
      <c r="E1548" s="16">
        <v>20000</v>
      </c>
      <c r="F1548" s="16" t="str">
        <f>"LS0167"</f>
        <v>LS0167</v>
      </c>
      <c r="G1548" s="17" t="str">
        <f>"LBL NATURAL.DIRECTIONS ORG Cinn Sauce 12/24oz"</f>
        <v>LBL NATURAL.DIRECTIONS ORG Cinn Sauce 12/24oz</v>
      </c>
      <c r="H1548" s="18" t="str">
        <f t="shared" si="170"/>
        <v>LABELS</v>
      </c>
      <c r="I1548" s="19">
        <v>12</v>
      </c>
      <c r="J1548" s="20">
        <v>12</v>
      </c>
    </row>
    <row r="1549" spans="1:10" ht="15.75" thickBot="1" x14ac:dyDescent="0.3">
      <c r="A1549" t="s">
        <v>31</v>
      </c>
      <c r="B1549" s="15" t="str">
        <f>"""Manzana NAV"",""MANZANA"",""99000772"",""44"","" "",""22"",""False"",""43"",""0.00000000000000000000"",""12"",""LBL NORTH.COAST ORG Blend AS 24oz -MAR16"",""50220"",""False"",""29"","""",""50210"",""False"",""18"","""",""11"",""LS0209"",""2"",""20000"",""1"",""FS0174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NORTH.COAST ORG Blend AS 24oz -MAR16","50220","False","29","","50210","False","18","","11","LS0209","2","20000","1","FS0174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49" s="15"/>
      <c r="D1549" s="16" t="str">
        <f>"FS0174"</f>
        <v>FS0174</v>
      </c>
      <c r="E1549" s="16">
        <v>20000</v>
      </c>
      <c r="F1549" s="16" t="str">
        <f>"LS0209"</f>
        <v>LS0209</v>
      </c>
      <c r="G1549" s="17" t="str">
        <f>"LBL NORTH.COAST ORG Blend AS 24oz -MAR16"</f>
        <v>LBL NORTH.COAST ORG Blend AS 24oz -MAR16</v>
      </c>
      <c r="H1549" s="18" t="str">
        <f t="shared" si="170"/>
        <v>LABELS</v>
      </c>
      <c r="I1549" s="19">
        <v>6</v>
      </c>
      <c r="J1549" s="20">
        <v>6</v>
      </c>
    </row>
    <row r="1550" spans="1:10" ht="15.75" thickBot="1" x14ac:dyDescent="0.3">
      <c r="A1550" t="s">
        <v>31</v>
      </c>
      <c r="B1550" s="15" t="str">
        <f>"""Manzana NAV"",""MANZANA"",""99000772"",""44"","" "",""22"",""False"",""43"",""0.00000000000000000000"",""12"",""LBL NORTH.COAST ORG Blend AS 24oz -MAR16"",""50220"",""False"",""29"","""",""50210"",""False"",""18"","""",""11"",""LS0209"",""2"",""30000"",""1"",""FS0008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NORTH.COAST ORG Blend AS 24oz -MAR16","50220","False","29","","50210","False","18","","11","LS0209","2","30000","1","FS0008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0" s="15"/>
      <c r="D1550" s="16" t="str">
        <f>"FS0008"</f>
        <v>FS0008</v>
      </c>
      <c r="E1550" s="16">
        <v>30000</v>
      </c>
      <c r="F1550" s="16" t="str">
        <f>"LS0209"</f>
        <v>LS0209</v>
      </c>
      <c r="G1550" s="17" t="str">
        <f>"LBL NORTH.COAST ORG Blend AS 24oz -MAR16"</f>
        <v>LBL NORTH.COAST ORG Blend AS 24oz -MAR16</v>
      </c>
      <c r="H1550" s="18" t="str">
        <f t="shared" si="170"/>
        <v>LABELS</v>
      </c>
      <c r="I1550" s="19">
        <v>12</v>
      </c>
      <c r="J1550" s="20">
        <v>12</v>
      </c>
    </row>
    <row r="1551" spans="1:10" ht="15.75" thickBot="1" x14ac:dyDescent="0.3">
      <c r="A1551" t="s">
        <v>31</v>
      </c>
      <c r="B1551" s="15" t="str">
        <f>"""Manzana NAV"",""MANZANA"",""99000772"",""44"","" "",""22"",""False"",""43"",""0.00000000000000000000"",""12"",""LBL NUTIVA ORG Apple Pie Spice Sauce 6/24oz"",""50220"",""False"",""29"","""",""50210"",""False"",""18"","""",""11"",""LS0157"",""2"",""10000"",""1"",""Z-FS0157"",""14"",""6.00000000000000000000"&amp;"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NUTIVA ORG Apple Pie Spice Sauce 6/24oz","50220","False","29","","50210","False","18","","11","LS0157","2","10000","1","Z-FS0157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51" s="15"/>
      <c r="D1551" s="16" t="str">
        <f>"Z-FS0157"</f>
        <v>Z-FS0157</v>
      </c>
      <c r="E1551" s="16">
        <v>10000</v>
      </c>
      <c r="F1551" s="16" t="str">
        <f>"LS0157"</f>
        <v>LS0157</v>
      </c>
      <c r="G1551" s="17" t="str">
        <f>"LBL NUTIVA ORG Apple Pie Spice Sauce 6/24oz"</f>
        <v>LBL NUTIVA ORG Apple Pie Spice Sauce 6/24oz</v>
      </c>
      <c r="H1551" s="18" t="str">
        <f t="shared" si="170"/>
        <v>LABELS</v>
      </c>
      <c r="I1551" s="19">
        <v>6</v>
      </c>
      <c r="J1551" s="20">
        <v>6</v>
      </c>
    </row>
    <row r="1552" spans="1:10" ht="15.75" thickBot="1" x14ac:dyDescent="0.3">
      <c r="A1552" t="s">
        <v>31</v>
      </c>
      <c r="B1552" s="15" t="str">
        <f>"""Manzana NAV"",""MANZANA"",""99000772"",""44"","" "",""22"",""False"",""43"",""0.00000000000000000000"",""12"",""LBL NUTIVA ORG Coconut Mango Sauce 6/24oz"",""50220"",""False"",""29"","""",""50210"",""False"",""18"","""",""11"",""LS0158"",""2"",""10000"",""1"",""Z-FS0158"",""14"",""6.00000000000000000000"","&amp;"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NUTIVA ORG Coconut Mango Sauce 6/24oz","50220","False","29","","50210","False","18","","11","LS0158","2","10000","1","Z-FS0158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52" s="15"/>
      <c r="D1552" s="16" t="str">
        <f>"Z-FS0158"</f>
        <v>Z-FS0158</v>
      </c>
      <c r="E1552" s="16">
        <v>10000</v>
      </c>
      <c r="F1552" s="16" t="str">
        <f>"LS0158"</f>
        <v>LS0158</v>
      </c>
      <c r="G1552" s="17" t="str">
        <f>"LBL NUTIVA ORG Coconut Mango Sauce 6/24oz"</f>
        <v>LBL NUTIVA ORG Coconut Mango Sauce 6/24oz</v>
      </c>
      <c r="H1552" s="18" t="str">
        <f t="shared" si="170"/>
        <v>LABELS</v>
      </c>
      <c r="I1552" s="19">
        <v>6</v>
      </c>
      <c r="J1552" s="20">
        <v>6</v>
      </c>
    </row>
    <row r="1553" spans="1:10" ht="15.75" thickBot="1" x14ac:dyDescent="0.3">
      <c r="A1553" t="s">
        <v>31</v>
      </c>
      <c r="B1553" s="15" t="str">
        <f>"""Manzana NAV"",""MANZANA"",""99000772"",""44"","" "",""22"",""False"",""43"",""0.00000000000000000000"",""12"",""LBL OLIVERS ORG GRAV Apple Sauce 12/24oz"",""50220"",""False"",""29"","""",""50210"",""False"",""18"","""",""11"",""LS0056"",""2"",""20000"",""1"",""FS0056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OLIVERS ORG GRAV Apple Sauce 12/24oz","50220","False","29","","50210","False","18","","11","LS0056","2","20000","1","FS0056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3" s="15"/>
      <c r="D1553" s="16" t="str">
        <f>"FS0056"</f>
        <v>FS0056</v>
      </c>
      <c r="E1553" s="16">
        <v>20000</v>
      </c>
      <c r="F1553" s="16" t="str">
        <f>"LS0056"</f>
        <v>LS0056</v>
      </c>
      <c r="G1553" s="17" t="str">
        <f>"LBL OLIVERS ORG GRAV Apple Sauce 12/24oz"</f>
        <v>LBL OLIVERS ORG GRAV Apple Sauce 12/24oz</v>
      </c>
      <c r="H1553" s="18" t="str">
        <f t="shared" si="170"/>
        <v>LABELS</v>
      </c>
      <c r="I1553" s="19">
        <v>12</v>
      </c>
      <c r="J1553" s="20">
        <v>12</v>
      </c>
    </row>
    <row r="1554" spans="1:10" ht="15.75" thickBot="1" x14ac:dyDescent="0.3">
      <c r="A1554" t="s">
        <v>31</v>
      </c>
      <c r="B1554" s="15" t="str">
        <f>"""Manzana NAV"",""MANZANA"",""99000772"",""44"","" "",""22"",""False"",""43"",""0.00000000000000000000"",""12"",""LBL ORD ALIDORO Vinegar 12/32oz"",""50220"",""False"",""29"","""",""50210"",""False"",""18"","""",""11"",""LV0001"",""2"",""20000"",""1"",""FV0001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ORD ALIDORO Vinegar 12/32oz","50220","False","29","","50210","False","18","","11","LV0001","2","20000","1","FV0001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4" s="15"/>
      <c r="D1554" s="16" t="str">
        <f>"FV0001"</f>
        <v>FV0001</v>
      </c>
      <c r="E1554" s="16">
        <v>20000</v>
      </c>
      <c r="F1554" s="16" t="str">
        <f>"LV0001"</f>
        <v>LV0001</v>
      </c>
      <c r="G1554" s="17" t="str">
        <f>"LBL ORD ALIDORO Vinegar 12/32oz"</f>
        <v>LBL ORD ALIDORO Vinegar 12/32oz</v>
      </c>
      <c r="H1554" s="18" t="str">
        <f t="shared" si="170"/>
        <v>LABELS</v>
      </c>
      <c r="I1554" s="19">
        <v>12</v>
      </c>
      <c r="J1554" s="20">
        <v>12</v>
      </c>
    </row>
    <row r="1555" spans="1:10" ht="15.75" thickBot="1" x14ac:dyDescent="0.3">
      <c r="A1555" t="s">
        <v>31</v>
      </c>
      <c r="B1555" s="15" t="str">
        <f>"""Manzana NAV"",""MANZANA"",""99000772"",""44"","" "",""22"",""False"",""43"",""0.00000000000000000000"",""12"",""LBL ORG ALIDORO Blend Apple Sauce 12/24oz"",""50220"",""False"",""29"","""",""50210"",""False"",""18"","""",""11"",""LS0029"",""2"",""30000"",""1"",""FS0029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Blend Apple Sauce 12/24oz","50220","False","29","","50210","False","18","","11","LS0029","2","30000","1","FS0029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5" s="15"/>
      <c r="D1555" s="16" t="str">
        <f>"FS0029"</f>
        <v>FS0029</v>
      </c>
      <c r="E1555" s="16">
        <v>30000</v>
      </c>
      <c r="F1555" s="16" t="str">
        <f>"LS0029"</f>
        <v>LS0029</v>
      </c>
      <c r="G1555" s="17" t="str">
        <f>"LBL ORG ALIDORO Blend Apple Sauce 12/24oz"</f>
        <v>LBL ORG ALIDORO Blend Apple Sauce 12/24oz</v>
      </c>
      <c r="H1555" s="18" t="str">
        <f t="shared" si="170"/>
        <v>LABELS</v>
      </c>
      <c r="I1555" s="19">
        <v>12</v>
      </c>
      <c r="J1555" s="20">
        <v>12</v>
      </c>
    </row>
    <row r="1556" spans="1:10" ht="15.75" thickBot="1" x14ac:dyDescent="0.3">
      <c r="A1556" t="s">
        <v>31</v>
      </c>
      <c r="B1556" s="15" t="str">
        <f>"""Manzana NAV"",""MANZANA"",""99000772"",""44"","" "",""22"",""False"",""43"",""0.00000000000000000000"",""12"",""LBL ORG ALIDORO Blend Juice 12/32oz"",""50220"",""False"",""29"","""",""50210"",""False"",""18"","""",""11"",""LJ0002"",""2"",""20000"",""1"",""FJ0002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Blend Juice 12/32oz","50220","False","29","","50210","False","18","","11","LJ0002","2","20000","1","FJ0002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6" s="15"/>
      <c r="D1556" s="16" t="str">
        <f>"FJ0002"</f>
        <v>FJ0002</v>
      </c>
      <c r="E1556" s="16">
        <v>20000</v>
      </c>
      <c r="F1556" s="16" t="str">
        <f>"LJ0002"</f>
        <v>LJ0002</v>
      </c>
      <c r="G1556" s="17" t="str">
        <f>"LBL ORG ALIDORO Blend Juice 12/32oz"</f>
        <v>LBL ORG ALIDORO Blend Juice 12/32oz</v>
      </c>
      <c r="H1556" s="18" t="str">
        <f t="shared" si="170"/>
        <v>LABELS</v>
      </c>
      <c r="I1556" s="19">
        <v>12</v>
      </c>
      <c r="J1556" s="20">
        <v>12</v>
      </c>
    </row>
    <row r="1557" spans="1:10" ht="15.75" thickBot="1" x14ac:dyDescent="0.3">
      <c r="A1557" t="s">
        <v>31</v>
      </c>
      <c r="B1557" s="15" t="str">
        <f>"""Manzana NAV"",""MANZANA"",""99000772"",""44"","" "",""22"",""False"",""43"",""0.00000000000000000000"",""12"",""LBL ORG ALIDORO Blend Juice 4/128oz"",""50220"",""False"",""29"","""",""50210"",""False"",""18"","""",""11"",""LJ0086"",""2"",""30000"",""1"",""FJ0086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Blend Juice 4/128oz","50220","False","29","","50210","False","18","","11","LJ0086","2","30000","1","FJ0086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57" s="15"/>
      <c r="D1557" s="16" t="str">
        <f>"FJ0086"</f>
        <v>FJ0086</v>
      </c>
      <c r="E1557" s="16">
        <v>30000</v>
      </c>
      <c r="F1557" s="16" t="str">
        <f>"LJ0086"</f>
        <v>LJ0086</v>
      </c>
      <c r="G1557" s="17" t="str">
        <f>"LBL ORG ALIDORO Blend Juice 4/128oz"</f>
        <v>LBL ORG ALIDORO Blend Juice 4/128oz</v>
      </c>
      <c r="H1557" s="18" t="str">
        <f t="shared" si="170"/>
        <v>LABELS</v>
      </c>
      <c r="I1557" s="19">
        <v>4</v>
      </c>
      <c r="J1557" s="20">
        <v>4</v>
      </c>
    </row>
    <row r="1558" spans="1:10" ht="15.75" thickBot="1" x14ac:dyDescent="0.3">
      <c r="A1558" t="s">
        <v>31</v>
      </c>
      <c r="B1558" s="15" t="str">
        <f>"""Manzana NAV"",""MANZANA"",""99000772"",""44"","" "",""22"",""False"",""43"",""0.00000000000000000000"",""12"",""LBL ORG ALIDORO Grape Juice 12/32oz"",""50220"",""False"",""29"","""",""50210"",""False"",""18"","""",""11"",""LJ0001"",""2"",""20000"",""1"",""FJ0001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Grape Juice 12/32oz","50220","False","29","","50210","False","18","","11","LJ0001","2","20000","1","FJ0001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8" s="15"/>
      <c r="D1558" s="16" t="str">
        <f>"FJ0001"</f>
        <v>FJ0001</v>
      </c>
      <c r="E1558" s="16">
        <v>20000</v>
      </c>
      <c r="F1558" s="16" t="str">
        <f>"LJ0001"</f>
        <v>LJ0001</v>
      </c>
      <c r="G1558" s="17" t="str">
        <f>"LBL ORG ALIDORO Grape Juice 12/32oz"</f>
        <v>LBL ORG ALIDORO Grape Juice 12/32oz</v>
      </c>
      <c r="H1558" s="18" t="str">
        <f t="shared" si="170"/>
        <v>LABELS</v>
      </c>
      <c r="I1558" s="19">
        <v>12</v>
      </c>
      <c r="J1558" s="20">
        <v>12</v>
      </c>
    </row>
    <row r="1559" spans="1:10" ht="15.75" thickBot="1" x14ac:dyDescent="0.3">
      <c r="A1559" t="s">
        <v>31</v>
      </c>
      <c r="B1559" s="15" t="str">
        <f>"""Manzana NAV"",""MANZANA"",""99000772"",""44"","" "",""22"",""False"",""43"",""0.00000000000000000000"",""12"",""LBL ORG ALIDORO HCrisp Juice 12/32oz"",""50220"",""False"",""29"","""",""50210"",""False"",""18"","""",""11"",""LJ0003"",""2"",""20000"",""1"",""FJ0003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HCrisp Juice 12/32oz","50220","False","29","","50210","False","18","","11","LJ0003","2","20000","1","FJ0003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9" s="15"/>
      <c r="D1559" s="16" t="str">
        <f>"FJ0003"</f>
        <v>FJ0003</v>
      </c>
      <c r="E1559" s="16">
        <v>20000</v>
      </c>
      <c r="F1559" s="16" t="str">
        <f>"LJ0003"</f>
        <v>LJ0003</v>
      </c>
      <c r="G1559" s="17" t="str">
        <f>"LBL ORG ALIDORO HCrisp Juice 12/32oz"</f>
        <v>LBL ORG ALIDORO HCrisp Juice 12/32oz</v>
      </c>
      <c r="H1559" s="18" t="str">
        <f t="shared" si="170"/>
        <v>LABELS</v>
      </c>
      <c r="I1559" s="19">
        <v>12</v>
      </c>
      <c r="J1559" s="20">
        <v>12</v>
      </c>
    </row>
    <row r="1560" spans="1:10" ht="15.75" thickBot="1" x14ac:dyDescent="0.3">
      <c r="A1560" t="s">
        <v>31</v>
      </c>
      <c r="B1560" s="15" t="str">
        <f>"""Manzana NAV"",""MANZANA"",""99000772"",""44"","" "",""22"",""False"",""43"",""0.00000000000000000000"",""12"",""LBL ORG ALIDORO Pear Juice 12/32oz"",""50220"",""False"",""29"","""",""50210"",""False"",""18"","""",""11"",""LJ0004"",""2"",""20000"",""1"",""FJ0004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Pear Juice 12/32oz","50220","False","29","","50210","False","18","","11","LJ0004","2","20000","1","FJ0004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0" s="15"/>
      <c r="D1560" s="16" t="str">
        <f>"FJ0004"</f>
        <v>FJ0004</v>
      </c>
      <c r="E1560" s="16">
        <v>20000</v>
      </c>
      <c r="F1560" s="16" t="str">
        <f>"LJ0004"</f>
        <v>LJ0004</v>
      </c>
      <c r="G1560" s="17" t="str">
        <f>"LBL ORG ALIDORO Pear Juice 12/32oz"</f>
        <v>LBL ORG ALIDORO Pear Juice 12/32oz</v>
      </c>
      <c r="H1560" s="18" t="str">
        <f t="shared" si="170"/>
        <v>LABELS</v>
      </c>
      <c r="I1560" s="19">
        <v>12</v>
      </c>
      <c r="J1560" s="20">
        <v>12</v>
      </c>
    </row>
    <row r="1561" spans="1:10" ht="15.75" thickBot="1" x14ac:dyDescent="0.3">
      <c r="A1561" t="s">
        <v>31</v>
      </c>
      <c r="B1561" s="15" t="str">
        <f>"""Manzana NAV"",""MANZANA"",""99000772"",""44"","" "",""22"",""False"",""43"",""0.00000000000000000000"",""12"",""LBL ORG ALIDORO Pomegr Juice 12/32oz"",""50220"",""False"",""29"","""",""50210"",""False"",""18"","""",""11"",""LJ0005"",""2"",""10000"",""1"",""FJ0005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Pomegr Juice 12/32oz","50220","False","29","","50210","False","18","","11","LJ0005","2","10000","1","FJ0005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1" s="15"/>
      <c r="D1561" s="16" t="str">
        <f>"FJ0005"</f>
        <v>FJ0005</v>
      </c>
      <c r="E1561" s="16">
        <v>10000</v>
      </c>
      <c r="F1561" s="16" t="str">
        <f>"LJ0005"</f>
        <v>LJ0005</v>
      </c>
      <c r="G1561" s="17" t="str">
        <f>"LBL ORG ALIDORO Pomegr Juice 12/32oz"</f>
        <v>LBL ORG ALIDORO Pomegr Juice 12/32oz</v>
      </c>
      <c r="H1561" s="18" t="str">
        <f t="shared" si="170"/>
        <v>LABELS</v>
      </c>
      <c r="I1561" s="19">
        <v>12</v>
      </c>
      <c r="J1561" s="20">
        <v>12</v>
      </c>
    </row>
    <row r="1562" spans="1:10" ht="15.75" thickBot="1" x14ac:dyDescent="0.3">
      <c r="A1562" t="s">
        <v>31</v>
      </c>
      <c r="B1562" s="15" t="str">
        <f>"""Manzana NAV"",""MANZANA"",""99000772"",""44"","" "",""22"",""False"",""43"",""0.00000000000000000000"",""12"",""LBL ORG ANDYS Grape Juice 12/32oz"",""50220"",""False"",""29"","""",""50210"",""False"",""18"","""",""11"",""LJ0079"",""2"",""30000"",""1"",""FJ0079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ANDYS Grape Juice 12/32oz","50220","False","29","","50210","False","18","","11","LJ0079","2","30000","1","FJ0079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2" s="15"/>
      <c r="D1562" s="16" t="str">
        <f>"FJ0079"</f>
        <v>FJ0079</v>
      </c>
      <c r="E1562" s="16">
        <v>30000</v>
      </c>
      <c r="F1562" s="16" t="str">
        <f>"LJ0079"</f>
        <v>LJ0079</v>
      </c>
      <c r="G1562" s="17" t="str">
        <f>"LBL ORG ANDYS Grape Juice 12/32oz"</f>
        <v>LBL ORG ANDYS Grape Juice 12/32oz</v>
      </c>
      <c r="H1562" s="18" t="str">
        <f t="shared" si="170"/>
        <v>LABELS</v>
      </c>
      <c r="I1562" s="19">
        <v>12</v>
      </c>
      <c r="J1562" s="20">
        <v>12</v>
      </c>
    </row>
    <row r="1563" spans="1:10" ht="15.75" thickBot="1" x14ac:dyDescent="0.3">
      <c r="A1563" t="s">
        <v>31</v>
      </c>
      <c r="B1563" s="15" t="str">
        <f>"""Manzana NAV"",""MANZANA"",""99000772"",""44"","" "",""22"",""False"",""43"",""0.00000000000000000000"",""12"",""LBL ORG ANDYS Grav Juice 8/48oz"",""50220"",""False"",""29"","""",""50210"",""False"",""18"","""",""11"",""LJ0007"",""2"",""10000"",""1"",""FJ0007"",""14"",""8.00000000000000000000"",""45"",""8.0000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ANDYS Grav Juice 8/48oz","50220","False","29","","50210","False","18","","11","LJ0007","2","10000","1","FJ0007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63" s="15"/>
      <c r="D1563" s="16" t="str">
        <f>"FJ0007"</f>
        <v>FJ0007</v>
      </c>
      <c r="E1563" s="16">
        <v>10000</v>
      </c>
      <c r="F1563" s="16" t="str">
        <f>"LJ0007"</f>
        <v>LJ0007</v>
      </c>
      <c r="G1563" s="17" t="str">
        <f>"LBL ORG ANDYS Grav Juice 8/48oz"</f>
        <v>LBL ORG ANDYS Grav Juice 8/48oz</v>
      </c>
      <c r="H1563" s="18" t="str">
        <f t="shared" si="170"/>
        <v>LABELS</v>
      </c>
      <c r="I1563" s="19">
        <v>8</v>
      </c>
      <c r="J1563" s="20">
        <v>8</v>
      </c>
    </row>
    <row r="1564" spans="1:10" ht="15.75" thickBot="1" x14ac:dyDescent="0.3">
      <c r="A1564" t="s">
        <v>31</v>
      </c>
      <c r="B1564" s="15" t="str">
        <f>"""Manzana NAV"",""MANZANA"",""99000772"",""44"","" "",""22"",""False"",""43"",""0.00000000000000000000"",""12"",""LBL ORG ANDYS Vinegar 12/32oz"",""50220"",""False"",""29"","""",""50210"",""False"",""18"","""",""11"",""LV0002"",""2"",""20000"",""1"",""FV0002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ANDYS Vinegar 12/32oz","50220","False","29","","50210","False","18","","11","LV0002","2","20000","1","FV0002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4" s="15"/>
      <c r="D1564" s="16" t="str">
        <f>"FV0002"</f>
        <v>FV0002</v>
      </c>
      <c r="E1564" s="16">
        <v>20000</v>
      </c>
      <c r="F1564" s="16" t="str">
        <f>"LV0002"</f>
        <v>LV0002</v>
      </c>
      <c r="G1564" s="17" t="str">
        <f>"LBL ORG ANDYS Vinegar 12/32oz"</f>
        <v>LBL ORG ANDYS Vinegar 12/32oz</v>
      </c>
      <c r="H1564" s="18" t="str">
        <f t="shared" si="170"/>
        <v>LABELS</v>
      </c>
      <c r="I1564" s="19">
        <v>12</v>
      </c>
      <c r="J1564" s="20">
        <v>12</v>
      </c>
    </row>
    <row r="1565" spans="1:10" ht="15.75" thickBot="1" x14ac:dyDescent="0.3">
      <c r="A1565" t="s">
        <v>31</v>
      </c>
      <c r="B1565" s="15" t="str">
        <f>"""Manzana NAV"",""MANZANA"",""99000772"",""44"","" "",""22"",""False"",""43"",""0.00000000000000000000"",""12"",""LBL ORG BATES&amp;SCHMITT Blend Juice 6/64oz"",""50220"",""False"",""29"","""",""50210"",""False"",""18"","""",""11"",""LJ0009"",""2"",""30000"",""1"",""FJ0009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BATES&amp;SCHMITT Blend Juice 6/64oz","50220","False","29","","50210","False","18","","11","LJ0009","2","30000","1","FJ0009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65" s="15"/>
      <c r="D1565" s="16" t="str">
        <f>"FJ0009"</f>
        <v>FJ0009</v>
      </c>
      <c r="E1565" s="16">
        <v>30000</v>
      </c>
      <c r="F1565" s="16" t="str">
        <f>"LJ0009"</f>
        <v>LJ0009</v>
      </c>
      <c r="G1565" s="17" t="str">
        <f>"LBL ORG BATES&amp;SCHMITT Blend Juice 6/64oz"</f>
        <v>LBL ORG BATES&amp;SCHMITT Blend Juice 6/64oz</v>
      </c>
      <c r="H1565" s="18" t="str">
        <f t="shared" si="170"/>
        <v>LABELS</v>
      </c>
      <c r="I1565" s="19">
        <v>6</v>
      </c>
      <c r="J1565" s="20">
        <v>6</v>
      </c>
    </row>
    <row r="1566" spans="1:10" ht="15.75" thickBot="1" x14ac:dyDescent="0.3">
      <c r="A1566" t="s">
        <v>31</v>
      </c>
      <c r="B1566" s="15" t="str">
        <f>"""Manzana NAV"",""MANZANA"",""99000772"",""44"","" "",""22"",""False"",""43"",""0.00000000000000000000"",""12"",""LBL ORG BATES.SCHMITT Blend Juice 24/10oz"",""50220"",""False"",""29"","""",""50210"",""False"",""18"","""",""11"",""LJ0116"",""2"",""50000"",""1"",""FJ0116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BATES.SCHMITT Blend Juice 24/10oz","50220","False","29","","50210","False","18","","11","LJ0116","2","50000","1","FJ0116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66" s="15"/>
      <c r="D1566" s="16" t="str">
        <f>"FJ0116"</f>
        <v>FJ0116</v>
      </c>
      <c r="E1566" s="16">
        <v>50000</v>
      </c>
      <c r="F1566" s="16" t="str">
        <f>"LJ0116"</f>
        <v>LJ0116</v>
      </c>
      <c r="G1566" s="17" t="str">
        <f>"LBL ORG BATES.SCHMITT Blend Juice 24/10oz"</f>
        <v>LBL ORG BATES.SCHMITT Blend Juice 24/10oz</v>
      </c>
      <c r="H1566" s="18" t="str">
        <f t="shared" si="170"/>
        <v>LABELS</v>
      </c>
      <c r="I1566" s="19">
        <v>4</v>
      </c>
      <c r="J1566" s="20">
        <v>4</v>
      </c>
    </row>
    <row r="1567" spans="1:10" ht="15.75" thickBot="1" x14ac:dyDescent="0.3">
      <c r="A1567" t="s">
        <v>31</v>
      </c>
      <c r="B1567" s="15" t="str">
        <f>"""Manzana NAV"",""MANZANA"",""99000772"",""44"","" "",""22"",""False"",""43"",""0.00000000000000000000"",""12"",""LBL ORG BERKELEY BOWL Grav Apple Sauce 12/24oz"",""50220"",""False"",""29"","""",""50210"",""False"",""18"","""",""11"",""LS0117"",""2"",""30000"",""1"",""FS0117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BERKELEY BOWL Grav Apple Sauce 12/24oz","50220","False","29","","50210","False","18","","11","LS0117","2","30000","1","FS0117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7" s="15"/>
      <c r="D1567" s="16" t="str">
        <f>"FS0117"</f>
        <v>FS0117</v>
      </c>
      <c r="E1567" s="16">
        <v>30000</v>
      </c>
      <c r="F1567" s="16" t="str">
        <f>"LS0117"</f>
        <v>LS0117</v>
      </c>
      <c r="G1567" s="17" t="str">
        <f>"LBL ORG BERKELEY BOWL Grav Apple Sauce 12/24oz"</f>
        <v>LBL ORG BERKELEY BOWL Grav Apple Sauce 12/24oz</v>
      </c>
      <c r="H1567" s="18" t="str">
        <f t="shared" si="170"/>
        <v>LABELS</v>
      </c>
      <c r="I1567" s="19">
        <v>12</v>
      </c>
      <c r="J1567" s="20">
        <v>12</v>
      </c>
    </row>
    <row r="1568" spans="1:10" ht="15.75" thickBot="1" x14ac:dyDescent="0.3">
      <c r="A1568" t="s">
        <v>31</v>
      </c>
      <c r="B1568" s="15" t="str">
        <f>"""Manzana NAV"",""MANZANA"",""99000772"",""44"","" "",""22"",""False"",""43"",""0.00000000000000000000"",""12"",""LBL ORG BERNIES BEST Autumn Blend 24/10oz"",""50220"",""False"",""29"","""",""50210"",""False"",""18"","""",""11"",""LJ0161"",""2"",""10000"",""1"",""FJ0161"",""14"",""24.00000000000000000000"","""&amp;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Autumn Blend 24/10oz","50220","False","29","","50210","False","18","","11","LJ0161","2","10000","1","FJ0161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68" s="15"/>
      <c r="D1568" s="16" t="str">
        <f>"FJ0161"</f>
        <v>FJ0161</v>
      </c>
      <c r="E1568" s="16">
        <v>10000</v>
      </c>
      <c r="F1568" s="16" t="str">
        <f>"LJ0161"</f>
        <v>LJ0161</v>
      </c>
      <c r="G1568" s="17" t="str">
        <f>"LBL ORG BERNIES BEST Autumn Blend 24/10oz"</f>
        <v>LBL ORG BERNIES BEST Autumn Blend 24/10oz</v>
      </c>
      <c r="H1568" s="18" t="str">
        <f t="shared" si="170"/>
        <v>LABELS</v>
      </c>
      <c r="I1568" s="19">
        <v>24</v>
      </c>
      <c r="J1568" s="20">
        <v>24</v>
      </c>
    </row>
    <row r="1569" spans="1:10" ht="15.75" thickBot="1" x14ac:dyDescent="0.3">
      <c r="A1569" t="s">
        <v>31</v>
      </c>
      <c r="B1569" s="15" t="str">
        <f>"""Manzana NAV"",""MANZANA"",""99000772"",""44"","" "",""22"",""False"",""43"",""0.00000000000000000000"",""12"",""LBL ORG BERNIES BEST Autumn Blend 24/10oz"",""50220"",""False"",""29"","""",""50210"",""False"",""18"","""",""11"",""LJ0161"",""2"",""10000"",""1"",""FJ0161B"",""14"",""24.00000000000000000000"","&amp;""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Autumn Blend 24/10oz","50220","False","29","","50210","False","18","","11","LJ0161","2","10000","1","FJ0161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69" s="15"/>
      <c r="D1569" s="16" t="str">
        <f>"FJ0161B"</f>
        <v>FJ0161B</v>
      </c>
      <c r="E1569" s="16">
        <v>10000</v>
      </c>
      <c r="F1569" s="16" t="str">
        <f>"LJ0161"</f>
        <v>LJ0161</v>
      </c>
      <c r="G1569" s="17" t="str">
        <f>"LBL ORG BERNIES BEST Autumn Blend 24/10oz"</f>
        <v>LBL ORG BERNIES BEST Autumn Blend 24/10oz</v>
      </c>
      <c r="H1569" s="18" t="str">
        <f t="shared" si="170"/>
        <v>LABELS</v>
      </c>
      <c r="I1569" s="19">
        <v>24</v>
      </c>
      <c r="J1569" s="20">
        <v>24</v>
      </c>
    </row>
    <row r="1570" spans="1:10" ht="15.75" thickBot="1" x14ac:dyDescent="0.3">
      <c r="A1570" t="s">
        <v>31</v>
      </c>
      <c r="B1570" s="15" t="str">
        <f>"""Manzana NAV"",""MANZANA"",""99000772"",""44"","" "",""22"",""False"",""43"",""0.00000000000000000000"",""12"",""LBL ORG BERNIES BEST Blend Cider 4/128oz"",""50220"",""False"",""29"","""",""50210"",""False"",""18"","""",""11"",""LJ0117"",""2"",""30000"",""1"",""FJ0117"",""14"",""4.00000000000000000000"",""45"&amp;"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4/128oz","50220","False","29","","50210","False","18","","11","LJ0117","2","30000","1","FJ0117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70" s="15"/>
      <c r="D1570" s="16" t="str">
        <f>"FJ0117"</f>
        <v>FJ0117</v>
      </c>
      <c r="E1570" s="16">
        <v>30000</v>
      </c>
      <c r="F1570" s="16" t="str">
        <f>"LJ0117"</f>
        <v>LJ0117</v>
      </c>
      <c r="G1570" s="17" t="str">
        <f>"LBL ORG BERNIES BEST Blend Cider 4/128oz"</f>
        <v>LBL ORG BERNIES BEST Blend Cider 4/128oz</v>
      </c>
      <c r="H1570" s="18" t="str">
        <f t="shared" si="170"/>
        <v>LABELS</v>
      </c>
      <c r="I1570" s="19">
        <v>4</v>
      </c>
      <c r="J1570" s="20">
        <v>4</v>
      </c>
    </row>
    <row r="1571" spans="1:10" ht="15.75" thickBot="1" x14ac:dyDescent="0.3">
      <c r="A1571" t="s">
        <v>31</v>
      </c>
      <c r="B1571" s="15" t="str">
        <f>"""Manzana NAV"",""MANZANA"",""99000772"",""44"","" "",""22"",""False"",""43"",""0.00000000000000000000"",""12"",""LBL ORG BERNIES BEST Blend Cider 4/128oz"",""50220"",""False"",""29"","""",""50210"",""False"",""18"","""",""11"",""LJ0117"",""2"",""30000"",""1"",""FJ0117B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4/128oz","50220","False","29","","50210","False","18","","11","LJ0117","2","30000","1","FJ0117B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71" s="15"/>
      <c r="D1571" s="16" t="str">
        <f>"FJ0117B"</f>
        <v>FJ0117B</v>
      </c>
      <c r="E1571" s="16">
        <v>30000</v>
      </c>
      <c r="F1571" s="16" t="str">
        <f>"LJ0117"</f>
        <v>LJ0117</v>
      </c>
      <c r="G1571" s="17" t="str">
        <f>"LBL ORG BERNIES BEST Blend Cider 4/128oz"</f>
        <v>LBL ORG BERNIES BEST Blend Cider 4/128oz</v>
      </c>
      <c r="H1571" s="18" t="str">
        <f t="shared" si="170"/>
        <v>LABELS</v>
      </c>
      <c r="I1571" s="19">
        <v>4</v>
      </c>
      <c r="J1571" s="20">
        <v>4</v>
      </c>
    </row>
    <row r="1572" spans="1:10" ht="15.75" thickBot="1" x14ac:dyDescent="0.3">
      <c r="A1572" t="s">
        <v>31</v>
      </c>
      <c r="B1572" s="15" t="str">
        <f>"""Manzana NAV"",""MANZANA"",""99000772"",""44"","" "",""22"",""False"",""43"",""0.00000000000000000000"",""12"",""LBL ORG BERNIES BEST Blend Cider 6/64oz"",""50220"",""False"",""29"","""",""50210"",""False"",""18"","""",""11"",""LJ0118"",""2"",""30000"",""1"",""FJ0118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6/64oz","50220","False","29","","50210","False","18","","11","LJ0118","2","30000","1","FJ0118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72" s="15"/>
      <c r="D1572" s="16" t="str">
        <f>"FJ0118"</f>
        <v>FJ0118</v>
      </c>
      <c r="E1572" s="16">
        <v>30000</v>
      </c>
      <c r="F1572" s="16" t="str">
        <f>"LJ0118"</f>
        <v>LJ0118</v>
      </c>
      <c r="G1572" s="17" t="str">
        <f>"LBL ORG BERNIES BEST Blend Cider 6/64oz"</f>
        <v>LBL ORG BERNIES BEST Blend Cider 6/64oz</v>
      </c>
      <c r="H1572" s="18" t="str">
        <f t="shared" si="170"/>
        <v>LABELS</v>
      </c>
      <c r="I1572" s="19">
        <v>6</v>
      </c>
      <c r="J1572" s="20">
        <v>6</v>
      </c>
    </row>
    <row r="1573" spans="1:10" ht="15.75" thickBot="1" x14ac:dyDescent="0.3">
      <c r="A1573" t="s">
        <v>31</v>
      </c>
      <c r="B1573" s="15" t="str">
        <f>"""Manzana NAV"",""MANZANA"",""99000772"",""44"","" "",""22"",""False"",""43"",""0.00000000000000000000"",""12"",""LBL ORG BERNIES BEST Blend Cider 6/64oz"",""50220"",""False"",""29"","""",""50210"",""False"",""18"","""",""11"",""LJ0118"",""2"",""30000"",""1"",""FJ0118B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6/64oz","50220","False","29","","50210","False","18","","11","LJ0118","2","30000","1","FJ0118B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73" s="15"/>
      <c r="D1573" s="16" t="str">
        <f>"FJ0118B"</f>
        <v>FJ0118B</v>
      </c>
      <c r="E1573" s="16">
        <v>30000</v>
      </c>
      <c r="F1573" s="16" t="str">
        <f>"LJ0118"</f>
        <v>LJ0118</v>
      </c>
      <c r="G1573" s="17" t="str">
        <f>"LBL ORG BERNIES BEST Blend Cider 6/64oz"</f>
        <v>LBL ORG BERNIES BEST Blend Cider 6/64oz</v>
      </c>
      <c r="H1573" s="18" t="str">
        <f t="shared" si="170"/>
        <v>LABELS</v>
      </c>
      <c r="I1573" s="19">
        <v>6</v>
      </c>
      <c r="J1573" s="20">
        <v>6</v>
      </c>
    </row>
    <row r="1574" spans="1:10" ht="15.75" thickBot="1" x14ac:dyDescent="0.3">
      <c r="A1574" t="s">
        <v>31</v>
      </c>
      <c r="B1574" s="15" t="str">
        <f>"""Manzana NAV"",""MANZANA"",""99000772"",""44"","" "",""22"",""False"",""43"",""0.00000000000000000000"",""12"",""LBL ORG BERNIES BEST Blend Cider 8/48oz"",""50220"",""False"",""29"","""",""50210"",""False"",""18"","""",""11"",""LJ0119"",""2"",""30000"",""1"",""FJ0119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8/48oz","50220","False","29","","50210","False","18","","11","LJ0119","2","30000","1","FJ0119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74" s="15"/>
      <c r="D1574" s="16" t="str">
        <f>"FJ0119"</f>
        <v>FJ0119</v>
      </c>
      <c r="E1574" s="16">
        <v>30000</v>
      </c>
      <c r="F1574" s="16" t="str">
        <f>"LJ0119"</f>
        <v>LJ0119</v>
      </c>
      <c r="G1574" s="17" t="str">
        <f>"LBL ORG BERNIES BEST Blend Cider 8/48oz"</f>
        <v>LBL ORG BERNIES BEST Blend Cider 8/48oz</v>
      </c>
      <c r="H1574" s="18" t="str">
        <f t="shared" ref="H1574:H1637" si="171">"LABELS"</f>
        <v>LABELS</v>
      </c>
      <c r="I1574" s="19">
        <v>8</v>
      </c>
      <c r="J1574" s="20">
        <v>8</v>
      </c>
    </row>
    <row r="1575" spans="1:10" ht="15.75" thickBot="1" x14ac:dyDescent="0.3">
      <c r="A1575" t="s">
        <v>31</v>
      </c>
      <c r="B1575" s="15" t="str">
        <f>"""Manzana NAV"",""MANZANA"",""99000772"",""44"","" "",""22"",""False"",""43"",""0.00000000000000000000"",""12"",""LBL ORG BERNIES BEST Blend Cider 8/48oz"",""50220"",""False"",""29"","""",""50210"",""False"",""18"","""",""11"",""LJ0119"",""2"",""30000"",""1"",""FJ0119B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8/48oz","50220","False","29","","50210","False","18","","11","LJ0119","2","30000","1","FJ0119B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75" s="15"/>
      <c r="D1575" s="16" t="str">
        <f>"FJ0119B"</f>
        <v>FJ0119B</v>
      </c>
      <c r="E1575" s="16">
        <v>30000</v>
      </c>
      <c r="F1575" s="16" t="str">
        <f>"LJ0119"</f>
        <v>LJ0119</v>
      </c>
      <c r="G1575" s="17" t="str">
        <f>"LBL ORG BERNIES BEST Blend Cider 8/48oz"</f>
        <v>LBL ORG BERNIES BEST Blend Cider 8/48oz</v>
      </c>
      <c r="H1575" s="18" t="str">
        <f t="shared" si="171"/>
        <v>LABELS</v>
      </c>
      <c r="I1575" s="19">
        <v>8</v>
      </c>
      <c r="J1575" s="20">
        <v>8</v>
      </c>
    </row>
    <row r="1576" spans="1:10" ht="15.75" thickBot="1" x14ac:dyDescent="0.3">
      <c r="A1576" t="s">
        <v>31</v>
      </c>
      <c r="B1576" s="15" t="str">
        <f>"""Manzana NAV"",""MANZANA"",""99000772"",""44"","" "",""22"",""False"",""43"",""0.00000000000000000000"",""12"",""LBL ORG BERNIES BEST Blend Juice 12/32oz"",""50220"",""False"",""29"","""",""50210"",""False"",""18"","""",""11"",""LJ0121"",""2"",""20000"",""1"",""FJ0010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Juice 12/32oz","50220","False","29","","50210","False","18","","11","LJ0121","2","20000","1","FJ0010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76" s="15"/>
      <c r="D1576" s="16" t="str">
        <f>"FJ0010"</f>
        <v>FJ0010</v>
      </c>
      <c r="E1576" s="16">
        <v>20000</v>
      </c>
      <c r="F1576" s="16" t="str">
        <f>"LJ0121"</f>
        <v>LJ0121</v>
      </c>
      <c r="G1576" s="17" t="str">
        <f>"LBL ORG BERNIES BEST Blend Juice 12/32oz"</f>
        <v>LBL ORG BERNIES BEST Blend Juice 12/32oz</v>
      </c>
      <c r="H1576" s="18" t="str">
        <f t="shared" si="171"/>
        <v>LABELS</v>
      </c>
      <c r="I1576" s="19">
        <v>12</v>
      </c>
      <c r="J1576" s="20">
        <v>12</v>
      </c>
    </row>
    <row r="1577" spans="1:10" ht="15.75" thickBot="1" x14ac:dyDescent="0.3">
      <c r="A1577" t="s">
        <v>31</v>
      </c>
      <c r="B1577" s="15" t="str">
        <f>"""Manzana NAV"",""MANZANA"",""99000772"",""44"","" "",""22"",""False"",""43"",""0.00000000000000000000"",""12"",""LBL ORG BERNIES BEST Blend Juice 12/32oz"",""50220"",""False"",""29"","""",""50210"",""False"",""18"","""",""11"",""LJ0121"",""2"",""20000"",""1"",""FJ0010B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Juice 12/32oz","50220","False","29","","50210","False","18","","11","LJ0121","2","20000","1","FJ0010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77" s="15"/>
      <c r="D1577" s="16" t="str">
        <f>"FJ0010B"</f>
        <v>FJ0010B</v>
      </c>
      <c r="E1577" s="16">
        <v>20000</v>
      </c>
      <c r="F1577" s="16" t="str">
        <f>"LJ0121"</f>
        <v>LJ0121</v>
      </c>
      <c r="G1577" s="17" t="str">
        <f>"LBL ORG BERNIES BEST Blend Juice 12/32oz"</f>
        <v>LBL ORG BERNIES BEST Blend Juice 12/32oz</v>
      </c>
      <c r="H1577" s="18" t="str">
        <f t="shared" si="171"/>
        <v>LABELS</v>
      </c>
      <c r="I1577" s="19">
        <v>12</v>
      </c>
      <c r="J1577" s="20">
        <v>12</v>
      </c>
    </row>
    <row r="1578" spans="1:10" ht="15.75" thickBot="1" x14ac:dyDescent="0.3">
      <c r="A1578" t="s">
        <v>31</v>
      </c>
      <c r="B1578" s="15" t="str">
        <f>"""Manzana NAV"",""MANZANA"",""99000772"",""44"","" "",""22"",""False"",""43"",""0.00000000000000000000"",""12"",""LBL ORG BERNIES BEST Grav Cider 12/32oz"",""50220"",""False"",""29"","""",""50210"",""False"",""18"","""",""11"",""LJ0010"",""2"",""30000"",""1"",""FJ0121B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12/32oz","50220","False","29","","50210","False","18","","11","LJ0010","2","30000","1","FJ0121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78" s="15"/>
      <c r="D1578" s="16" t="str">
        <f>"FJ0121B"</f>
        <v>FJ0121B</v>
      </c>
      <c r="E1578" s="16">
        <v>30000</v>
      </c>
      <c r="F1578" s="16" t="str">
        <f>"LJ0010"</f>
        <v>LJ0010</v>
      </c>
      <c r="G1578" s="17" t="str">
        <f>"LBL ORG BERNIES BEST Grav Cider 12/32oz"</f>
        <v>LBL ORG BERNIES BEST Grav Cider 12/32oz</v>
      </c>
      <c r="H1578" s="18" t="str">
        <f t="shared" si="171"/>
        <v>LABELS</v>
      </c>
      <c r="I1578" s="19">
        <v>12</v>
      </c>
      <c r="J1578" s="20">
        <v>12</v>
      </c>
    </row>
    <row r="1579" spans="1:10" ht="15.75" thickBot="1" x14ac:dyDescent="0.3">
      <c r="A1579" t="s">
        <v>31</v>
      </c>
      <c r="B1579" s="15" t="str">
        <f>"""Manzana NAV"",""MANZANA"",""99000772"",""44"","" "",""22"",""False"",""43"",""0.00000000000000000000"",""12"",""LBL ORG BERNIES BEST Grav Cider 24/10oz"",""50220"",""False"",""29"","""",""50210"",""False"",""18"","""",""11"",""LJ0122"",""2"",""30000"",""1"",""FJ0122"",""14"",""24.00000000000000000000"",""45"&amp;"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24/10oz","50220","False","29","","50210","False","18","","11","LJ0122","2","30000","1","FJ0122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79" s="15"/>
      <c r="D1579" s="16" t="str">
        <f>"FJ0122"</f>
        <v>FJ0122</v>
      </c>
      <c r="E1579" s="16">
        <v>30000</v>
      </c>
      <c r="F1579" s="16" t="str">
        <f>"LJ0122"</f>
        <v>LJ0122</v>
      </c>
      <c r="G1579" s="17" t="str">
        <f>"LBL ORG BERNIES BEST Grav Cider 24/10oz"</f>
        <v>LBL ORG BERNIES BEST Grav Cider 24/10oz</v>
      </c>
      <c r="H1579" s="18" t="str">
        <f t="shared" si="171"/>
        <v>LABELS</v>
      </c>
      <c r="I1579" s="19">
        <v>24</v>
      </c>
      <c r="J1579" s="20">
        <v>24</v>
      </c>
    </row>
    <row r="1580" spans="1:10" ht="15.75" thickBot="1" x14ac:dyDescent="0.3">
      <c r="A1580" t="s">
        <v>31</v>
      </c>
      <c r="B1580" s="15" t="str">
        <f>"""Manzana NAV"",""MANZANA"",""99000772"",""44"","" "",""22"",""False"",""43"",""0.00000000000000000000"",""12"",""LBL ORG BERNIES BEST Grav Cider 24/10oz"",""50220"",""False"",""29"","""",""50210"",""False"",""18"","""",""11"",""LJ0122"",""2"",""30000"",""1"",""FJ0122B"",""14"",""24.00000000000000000000"",""4"&amp;"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24/10oz","50220","False","29","","50210","False","18","","11","LJ0122","2","30000","1","FJ0122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80" s="15"/>
      <c r="D1580" s="16" t="str">
        <f>"FJ0122B"</f>
        <v>FJ0122B</v>
      </c>
      <c r="E1580" s="16">
        <v>30000</v>
      </c>
      <c r="F1580" s="16" t="str">
        <f>"LJ0122"</f>
        <v>LJ0122</v>
      </c>
      <c r="G1580" s="17" t="str">
        <f>"LBL ORG BERNIES BEST Grav Cider 24/10oz"</f>
        <v>LBL ORG BERNIES BEST Grav Cider 24/10oz</v>
      </c>
      <c r="H1580" s="18" t="str">
        <f t="shared" si="171"/>
        <v>LABELS</v>
      </c>
      <c r="I1580" s="19">
        <v>24</v>
      </c>
      <c r="J1580" s="20">
        <v>24</v>
      </c>
    </row>
    <row r="1581" spans="1:10" ht="15.75" thickBot="1" x14ac:dyDescent="0.3">
      <c r="A1581" t="s">
        <v>31</v>
      </c>
      <c r="B1581" s="15" t="str">
        <f>"""Manzana NAV"",""MANZANA"",""99000772"",""44"","" "",""22"",""False"",""43"",""0.00000000000000000000"",""12"",""LBL ORG BERNIES BEST Grav Cider 6/64oz"",""50220"",""False"",""29"","""",""50210"",""False"",""18"","""",""11"",""LJ0012"",""2"",""30000"",""1"",""FJ0012"",""14"",""6.00000000000000000000"",""45"","&amp;"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6/64oz","50220","False","29","","50210","False","18","","11","LJ0012","2","30000","1","FJ0012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81" s="15"/>
      <c r="D1581" s="16" t="str">
        <f>"FJ0012"</f>
        <v>FJ0012</v>
      </c>
      <c r="E1581" s="16">
        <v>30000</v>
      </c>
      <c r="F1581" s="16" t="str">
        <f>"LJ0012"</f>
        <v>LJ0012</v>
      </c>
      <c r="G1581" s="17" t="str">
        <f>"LBL ORG BERNIES BEST Grav Cider 6/64oz"</f>
        <v>LBL ORG BERNIES BEST Grav Cider 6/64oz</v>
      </c>
      <c r="H1581" s="18" t="str">
        <f t="shared" si="171"/>
        <v>LABELS</v>
      </c>
      <c r="I1581" s="19">
        <v>6</v>
      </c>
      <c r="J1581" s="20">
        <v>6</v>
      </c>
    </row>
    <row r="1582" spans="1:10" ht="15.75" thickBot="1" x14ac:dyDescent="0.3">
      <c r="A1582" t="s">
        <v>31</v>
      </c>
      <c r="B1582" s="15" t="str">
        <f>"""Manzana NAV"",""MANZANA"",""99000772"",""44"","" "",""22"",""False"",""43"",""0.00000000000000000000"",""12"",""LBL ORG BERNIES BEST Grav Cider 6/64oz"",""50220"",""False"",""29"","""",""50210"",""False"",""18"","""",""11"",""LJ0012"",""2"",""30000"",""1"",""FJ0012B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6/64oz","50220","False","29","","50210","False","18","","11","LJ0012","2","30000","1","FJ0012B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82" s="15"/>
      <c r="D1582" s="16" t="str">
        <f>"FJ0012B"</f>
        <v>FJ0012B</v>
      </c>
      <c r="E1582" s="16">
        <v>30000</v>
      </c>
      <c r="F1582" s="16" t="str">
        <f>"LJ0012"</f>
        <v>LJ0012</v>
      </c>
      <c r="G1582" s="17" t="str">
        <f>"LBL ORG BERNIES BEST Grav Cider 6/64oz"</f>
        <v>LBL ORG BERNIES BEST Grav Cider 6/64oz</v>
      </c>
      <c r="H1582" s="18" t="str">
        <f t="shared" si="171"/>
        <v>LABELS</v>
      </c>
      <c r="I1582" s="19">
        <v>6</v>
      </c>
      <c r="J1582" s="20">
        <v>6</v>
      </c>
    </row>
    <row r="1583" spans="1:10" ht="15.75" thickBot="1" x14ac:dyDescent="0.3">
      <c r="A1583" t="s">
        <v>31</v>
      </c>
      <c r="B1583" s="15" t="str">
        <f>"""Manzana NAV"",""MANZANA"",""99000772"",""44"","" "",""22"",""False"",""43"",""0.00000000000000000000"",""12"",""LBL ORG BERNIES BEST Grav Cider 8/48oz"",""50220"",""False"",""29"","""",""50210"",""False"",""18"","""",""11"",""LJ0120"",""2"",""30000"",""1"",""FJ0120"",""14"",""8.00000000000000000000"",""45"","&amp;"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8/48oz","50220","False","29","","50210","False","18","","11","LJ0120","2","30000","1","FJ0120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83" s="15"/>
      <c r="D1583" s="16" t="str">
        <f>"FJ0120"</f>
        <v>FJ0120</v>
      </c>
      <c r="E1583" s="16">
        <v>30000</v>
      </c>
      <c r="F1583" s="16" t="str">
        <f>"LJ0120"</f>
        <v>LJ0120</v>
      </c>
      <c r="G1583" s="17" t="str">
        <f>"LBL ORG BERNIES BEST Grav Cider 8/48oz"</f>
        <v>LBL ORG BERNIES BEST Grav Cider 8/48oz</v>
      </c>
      <c r="H1583" s="18" t="str">
        <f t="shared" si="171"/>
        <v>LABELS</v>
      </c>
      <c r="I1583" s="19">
        <v>8</v>
      </c>
      <c r="J1583" s="20">
        <v>8</v>
      </c>
    </row>
    <row r="1584" spans="1:10" ht="15.75" thickBot="1" x14ac:dyDescent="0.3">
      <c r="A1584" t="s">
        <v>31</v>
      </c>
      <c r="B1584" s="15" t="str">
        <f>"""Manzana NAV"",""MANZANA"",""99000772"",""44"","" "",""22"",""False"",""43"",""0.00000000000000000000"",""12"",""LBL ORG BERNIES BEST Grav Cider 8/48oz"",""50220"",""False"",""29"","""",""50210"",""False"",""18"","""",""11"",""LJ0120"",""2"",""30000"",""1"",""FJ0120B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8/48oz","50220","False","29","","50210","False","18","","11","LJ0120","2","30000","1","FJ0120B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84" s="15"/>
      <c r="D1584" s="16" t="str">
        <f>"FJ0120B"</f>
        <v>FJ0120B</v>
      </c>
      <c r="E1584" s="16">
        <v>30000</v>
      </c>
      <c r="F1584" s="16" t="str">
        <f>"LJ0120"</f>
        <v>LJ0120</v>
      </c>
      <c r="G1584" s="17" t="str">
        <f>"LBL ORG BERNIES BEST Grav Cider 8/48oz"</f>
        <v>LBL ORG BERNIES BEST Grav Cider 8/48oz</v>
      </c>
      <c r="H1584" s="18" t="str">
        <f t="shared" si="171"/>
        <v>LABELS</v>
      </c>
      <c r="I1584" s="19">
        <v>8</v>
      </c>
      <c r="J1584" s="20">
        <v>8</v>
      </c>
    </row>
    <row r="1585" spans="1:10" ht="15.75" thickBot="1" x14ac:dyDescent="0.3">
      <c r="A1585" t="s">
        <v>31</v>
      </c>
      <c r="B1585" s="15" t="str">
        <f>"""Manzana NAV"",""MANZANA"",""99000772"",""44"","" "",""22"",""False"",""43"",""0.00000000000000000000"",""12"",""LBL ORG BERNIES BEST GRAV Juice 4/128oz"",""50220"",""False"",""29"","""",""50210"",""False"",""18"","""",""11"",""LJ0011"",""2"",""20000"",""1"",""FJ0011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Juice 4/128oz","50220","False","29","","50210","False","18","","11","LJ0011","2","20000","1","FJ0011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85" s="15"/>
      <c r="D1585" s="16" t="str">
        <f>"FJ0011"</f>
        <v>FJ0011</v>
      </c>
      <c r="E1585" s="16">
        <v>20000</v>
      </c>
      <c r="F1585" s="16" t="str">
        <f>"LJ0011"</f>
        <v>LJ0011</v>
      </c>
      <c r="G1585" s="17" t="str">
        <f>"LBL ORG BERNIES BEST GRAV Juice 4/128oz"</f>
        <v>LBL ORG BERNIES BEST GRAV Juice 4/128oz</v>
      </c>
      <c r="H1585" s="18" t="str">
        <f t="shared" si="171"/>
        <v>LABELS</v>
      </c>
      <c r="I1585" s="19">
        <v>4</v>
      </c>
      <c r="J1585" s="20">
        <v>4</v>
      </c>
    </row>
    <row r="1586" spans="1:10" ht="15.75" thickBot="1" x14ac:dyDescent="0.3">
      <c r="A1586" t="s">
        <v>31</v>
      </c>
      <c r="B1586" s="15" t="str">
        <f>"""Manzana NAV"",""MANZANA"",""99000772"",""44"","" "",""22"",""False"",""43"",""0.00000000000000000000"",""12"",""LBL ORG BERNIES BEST GRAV Juice 4/128oz"",""50220"",""False"",""29"","""",""50210"",""False"",""18"","""",""11"",""LJ0011"",""2"",""20000"",""1"",""FJ0011B"",""14"",""4.00000000000000000000"",""45"&amp;"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Juice 4/128oz","50220","False","29","","50210","False","18","","11","LJ0011","2","20000","1","FJ0011B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86" s="15"/>
      <c r="D1586" s="16" t="str">
        <f>"FJ0011B"</f>
        <v>FJ0011B</v>
      </c>
      <c r="E1586" s="16">
        <v>20000</v>
      </c>
      <c r="F1586" s="16" t="str">
        <f>"LJ0011"</f>
        <v>LJ0011</v>
      </c>
      <c r="G1586" s="17" t="str">
        <f>"LBL ORG BERNIES BEST GRAV Juice 4/128oz"</f>
        <v>LBL ORG BERNIES BEST GRAV Juice 4/128oz</v>
      </c>
      <c r="H1586" s="18" t="str">
        <f t="shared" si="171"/>
        <v>LABELS</v>
      </c>
      <c r="I1586" s="19">
        <v>4</v>
      </c>
      <c r="J1586" s="20">
        <v>4</v>
      </c>
    </row>
    <row r="1587" spans="1:10" ht="15.75" thickBot="1" x14ac:dyDescent="0.3">
      <c r="A1587" t="s">
        <v>31</v>
      </c>
      <c r="B1587" s="15" t="str">
        <f>"""Manzana NAV"",""MANZANA"",""99000772"",""44"","" "",""22"",""False"",""43"",""0.00000000000000000000"",""12"",""LBL ORG CADIA Blend Apple Sauce 12/24oz"",""50220"",""False"",""29"","""",""50210"",""False"",""18"","""",""11"",""LS0031"",""2"",""30000"",""1"",""FS0031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Blend Apple Sauce 12/24oz","50220","False","29","","50210","False","18","","11","LS0031","2","30000","1","FS0031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87" s="15"/>
      <c r="D1587" s="16" t="str">
        <f>"FS0031"</f>
        <v>FS0031</v>
      </c>
      <c r="E1587" s="16">
        <v>30000</v>
      </c>
      <c r="F1587" s="16" t="str">
        <f>"LS0031"</f>
        <v>LS0031</v>
      </c>
      <c r="G1587" s="17" t="str">
        <f>"LBL ORG CADIA Blend Apple Sauce 12/24oz"</f>
        <v>LBL ORG CADIA Blend Apple Sauce 12/24oz</v>
      </c>
      <c r="H1587" s="18" t="str">
        <f t="shared" si="171"/>
        <v>LABELS</v>
      </c>
      <c r="I1587" s="19">
        <v>12</v>
      </c>
      <c r="J1587" s="20">
        <v>12</v>
      </c>
    </row>
    <row r="1588" spans="1:10" ht="15.75" thickBot="1" x14ac:dyDescent="0.3">
      <c r="A1588" t="s">
        <v>31</v>
      </c>
      <c r="B1588" s="15" t="str">
        <f>"""Manzana NAV"",""MANZANA"",""99000772"",""44"","" "",""22"",""False"",""43"",""0.00000000000000000000"",""12"",""LBL ORG CADIA Blend Juice 6/64oz"",""50220"",""False"",""29"","""",""50210"",""False"",""18"","""",""11"",""LJ0105"",""2"",""30000"",""1"",""FJ0105"",""14"",""6.00000000000000000000"",""45"",""6.000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Blend Juice 6/64oz","50220","False","29","","50210","False","18","","11","LJ0105","2","30000","1","FJ0105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88" s="15"/>
      <c r="D1588" s="16" t="str">
        <f>"FJ0105"</f>
        <v>FJ0105</v>
      </c>
      <c r="E1588" s="16">
        <v>30000</v>
      </c>
      <c r="F1588" s="16" t="str">
        <f>"LJ0105"</f>
        <v>LJ0105</v>
      </c>
      <c r="G1588" s="17" t="str">
        <f>"LBL ORG CADIA Blend Juice 6/64oz"</f>
        <v>LBL ORG CADIA Blend Juice 6/64oz</v>
      </c>
      <c r="H1588" s="18" t="str">
        <f t="shared" si="171"/>
        <v>LABELS</v>
      </c>
      <c r="I1588" s="19">
        <v>6</v>
      </c>
      <c r="J1588" s="20">
        <v>6</v>
      </c>
    </row>
    <row r="1589" spans="1:10" ht="15.75" thickBot="1" x14ac:dyDescent="0.3">
      <c r="A1589" t="s">
        <v>31</v>
      </c>
      <c r="B1589" s="15" t="str">
        <f>"""Manzana NAV"",""MANZANA"",""99000772"",""44"","" "",""22"",""False"",""43"",""0.00000000000000000000"",""12"",""LBL ORG CADIA Cran Apple Juice 12/32oz"",""50220"",""False"",""29"","""",""50210"",""False"",""18"","""",""11"",""LJ0023"",""2"",""20000"",""1"",""FJ0023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Cran Apple Juice 12/32oz","50220","False","29","","50210","False","18","","11","LJ0023","2","20000","1","FJ0023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89" s="15"/>
      <c r="D1589" s="16" t="str">
        <f>"FJ0023"</f>
        <v>FJ0023</v>
      </c>
      <c r="E1589" s="16">
        <v>20000</v>
      </c>
      <c r="F1589" s="16" t="str">
        <f>"LJ0023"</f>
        <v>LJ0023</v>
      </c>
      <c r="G1589" s="17" t="str">
        <f>"LBL ORG CADIA Cran Apple Juice 12/32oz"</f>
        <v>LBL ORG CADIA Cran Apple Juice 12/32oz</v>
      </c>
      <c r="H1589" s="18" t="str">
        <f t="shared" si="171"/>
        <v>LABELS</v>
      </c>
      <c r="I1589" s="19">
        <v>12</v>
      </c>
      <c r="J1589" s="20">
        <v>12</v>
      </c>
    </row>
    <row r="1590" spans="1:10" ht="15.75" thickBot="1" x14ac:dyDescent="0.3">
      <c r="A1590" t="s">
        <v>31</v>
      </c>
      <c r="B1590" s="15" t="str">
        <f>"""Manzana NAV"",""MANZANA"",""99000772"",""44"","" "",""22"",""False"",""43"",""0.00000000000000000000"",""12"",""LBL ORG CADIA Grape Juice 12/32oz"",""50220"",""False"",""29"","""",""50210"",""False"",""18"","""",""11"",""LJ0024"",""2"",""20000"",""1"",""FJ0024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Grape Juice 12/32oz","50220","False","29","","50210","False","18","","11","LJ0024","2","20000","1","FJ0024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0" s="15"/>
      <c r="D1590" s="16" t="str">
        <f>"FJ0024"</f>
        <v>FJ0024</v>
      </c>
      <c r="E1590" s="16">
        <v>20000</v>
      </c>
      <c r="F1590" s="16" t="str">
        <f>"LJ0024"</f>
        <v>LJ0024</v>
      </c>
      <c r="G1590" s="17" t="str">
        <f>"LBL ORG CADIA Grape Juice 12/32oz"</f>
        <v>LBL ORG CADIA Grape Juice 12/32oz</v>
      </c>
      <c r="H1590" s="18" t="str">
        <f t="shared" si="171"/>
        <v>LABELS</v>
      </c>
      <c r="I1590" s="19">
        <v>12</v>
      </c>
      <c r="J1590" s="20">
        <v>12</v>
      </c>
    </row>
    <row r="1591" spans="1:10" ht="15.75" thickBot="1" x14ac:dyDescent="0.3">
      <c r="A1591" t="s">
        <v>31</v>
      </c>
      <c r="B1591" s="15" t="str">
        <f>"""Manzana NAV"",""MANZANA"",""99000772"",""44"","" "",""22"",""False"",""43"",""0.00000000000000000000"",""12"",""LBL ORG CADIA GRAV Juice 12/32oz"",""50220"",""False"",""29"","""",""50210"",""False"",""18"","""",""11"",""LJ0030"",""2"",""20000"",""1"",""FJ0030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GRAV Juice 12/32oz","50220","False","29","","50210","False","18","","11","LJ0030","2","20000","1","FJ0030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1" s="15"/>
      <c r="D1591" s="16" t="str">
        <f>"FJ0030"</f>
        <v>FJ0030</v>
      </c>
      <c r="E1591" s="16">
        <v>20000</v>
      </c>
      <c r="F1591" s="16" t="str">
        <f>"LJ0030"</f>
        <v>LJ0030</v>
      </c>
      <c r="G1591" s="17" t="str">
        <f>"LBL ORG CADIA GRAV Juice 12/32oz"</f>
        <v>LBL ORG CADIA GRAV Juice 12/32oz</v>
      </c>
      <c r="H1591" s="18" t="str">
        <f t="shared" si="171"/>
        <v>LABELS</v>
      </c>
      <c r="I1591" s="19">
        <v>12</v>
      </c>
      <c r="J1591" s="20">
        <v>12</v>
      </c>
    </row>
    <row r="1592" spans="1:10" ht="15.75" thickBot="1" x14ac:dyDescent="0.3">
      <c r="A1592" t="s">
        <v>31</v>
      </c>
      <c r="B1592" s="15" t="str">
        <f>"""Manzana NAV"",""MANZANA"",""99000772"",""44"","" "",""22"",""False"",""43"",""0.00000000000000000000"",""12"",""LBL ORG CADIA Grav Juice 4/128oz"",""50220"",""False"",""29"","""",""50210"",""False"",""18"","""",""11"",""LJ0107"",""2"",""30000"",""1"",""FJ0107"",""14"",""4.00000000000000000000"",""45"",""4.000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Grav Juice 4/128oz","50220","False","29","","50210","False","18","","11","LJ0107","2","30000","1","FJ0107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92" s="15"/>
      <c r="D1592" s="16" t="str">
        <f>"FJ0107"</f>
        <v>FJ0107</v>
      </c>
      <c r="E1592" s="16">
        <v>30000</v>
      </c>
      <c r="F1592" s="16" t="str">
        <f>"LJ0107"</f>
        <v>LJ0107</v>
      </c>
      <c r="G1592" s="17" t="str">
        <f>"LBL ORG CADIA Grav Juice 4/128oz"</f>
        <v>LBL ORG CADIA Grav Juice 4/128oz</v>
      </c>
      <c r="H1592" s="18" t="str">
        <f t="shared" si="171"/>
        <v>LABELS</v>
      </c>
      <c r="I1592" s="19">
        <v>4</v>
      </c>
      <c r="J1592" s="20">
        <v>4</v>
      </c>
    </row>
    <row r="1593" spans="1:10" ht="15.75" thickBot="1" x14ac:dyDescent="0.3">
      <c r="A1593" t="s">
        <v>31</v>
      </c>
      <c r="B1593" s="15" t="str">
        <f>"""Manzana NAV"",""MANZANA"",""99000772"",""44"","" "",""22"",""False"",""43"",""0.00000000000000000000"",""12"",""LBL ORG CADIA Grav Juice 6/64oz"",""50220"",""False"",""29"","""",""50210"",""False"",""18"","""",""11"",""LJ0108"",""2"",""30000"",""1"",""FJ0108"",""14"",""6.00000000000000000000"",""45"",""6.0000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Grav Juice 6/64oz","50220","False","29","","50210","False","18","","11","LJ0108","2","30000","1","FJ0108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93" s="15"/>
      <c r="D1593" s="16" t="str">
        <f>"FJ0108"</f>
        <v>FJ0108</v>
      </c>
      <c r="E1593" s="16">
        <v>30000</v>
      </c>
      <c r="F1593" s="16" t="str">
        <f>"LJ0108"</f>
        <v>LJ0108</v>
      </c>
      <c r="G1593" s="17" t="str">
        <f>"LBL ORG CADIA Grav Juice 6/64oz"</f>
        <v>LBL ORG CADIA Grav Juice 6/64oz</v>
      </c>
      <c r="H1593" s="18" t="str">
        <f t="shared" si="171"/>
        <v>LABELS</v>
      </c>
      <c r="I1593" s="19">
        <v>6</v>
      </c>
      <c r="J1593" s="20">
        <v>6</v>
      </c>
    </row>
    <row r="1594" spans="1:10" ht="15.75" thickBot="1" x14ac:dyDescent="0.3">
      <c r="A1594" t="s">
        <v>31</v>
      </c>
      <c r="B1594" s="15" t="str">
        <f>"""Manzana NAV"",""MANZANA"",""99000772"",""44"","" "",""22"",""False"",""43"",""0.00000000000000000000"",""12"",""LBL ORG CADIA HCrisp Juice 6/64oz"",""50220"",""False"",""29"","""",""50210"",""False"",""18"","""",""11"",""LJ0104"",""2"",""30000"",""1"",""FJ0104"",""14"",""6.00000000000000000000"",""45"",""6.00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HCrisp Juice 6/64oz","50220","False","29","","50210","False","18","","11","LJ0104","2","30000","1","FJ0104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94" s="15"/>
      <c r="D1594" s="16" t="str">
        <f>"FJ0104"</f>
        <v>FJ0104</v>
      </c>
      <c r="E1594" s="16">
        <v>30000</v>
      </c>
      <c r="F1594" s="16" t="str">
        <f>"LJ0104"</f>
        <v>LJ0104</v>
      </c>
      <c r="G1594" s="17" t="str">
        <f>"LBL ORG CADIA HCrisp Juice 6/64oz"</f>
        <v>LBL ORG CADIA HCrisp Juice 6/64oz</v>
      </c>
      <c r="H1594" s="18" t="str">
        <f t="shared" si="171"/>
        <v>LABELS</v>
      </c>
      <c r="I1594" s="19">
        <v>6</v>
      </c>
      <c r="J1594" s="20">
        <v>6</v>
      </c>
    </row>
    <row r="1595" spans="1:10" ht="15.75" thickBot="1" x14ac:dyDescent="0.3">
      <c r="A1595" t="s">
        <v>31</v>
      </c>
      <c r="B1595" s="15" t="str">
        <f>"""Manzana NAV"",""MANZANA"",""99000772"",""44"","" "",""22"",""False"",""43"",""0.00000000000000000000"",""12"",""LBL ORG CADIA Pear Juice 12/32oz"",""50220"",""False"",""29"","""",""50210"",""False"",""18"","""",""11"",""LJ0025"",""2"",""30000"",""1"",""FJ0025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Pear Juice 12/32oz","50220","False","29","","50210","False","18","","11","LJ0025","2","30000","1","FJ0025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5" s="15"/>
      <c r="D1595" s="16" t="str">
        <f>"FJ0025"</f>
        <v>FJ0025</v>
      </c>
      <c r="E1595" s="16">
        <v>30000</v>
      </c>
      <c r="F1595" s="16" t="str">
        <f>"LJ0025"</f>
        <v>LJ0025</v>
      </c>
      <c r="G1595" s="17" t="str">
        <f>"LBL ORG CADIA Pear Juice 12/32oz"</f>
        <v>LBL ORG CADIA Pear Juice 12/32oz</v>
      </c>
      <c r="H1595" s="18" t="str">
        <f t="shared" si="171"/>
        <v>LABELS</v>
      </c>
      <c r="I1595" s="19">
        <v>12</v>
      </c>
      <c r="J1595" s="20">
        <v>12</v>
      </c>
    </row>
    <row r="1596" spans="1:10" ht="15.75" thickBot="1" x14ac:dyDescent="0.3">
      <c r="A1596" t="s">
        <v>31</v>
      </c>
      <c r="B1596" s="15" t="str">
        <f>"""Manzana NAV"",""MANZANA"",""99000772"",""44"","" "",""22"",""False"",""43"",""0.00000000000000000000"",""12"",""LBL ORG CADIA Pomegr Juice 12/32oz"",""50220"",""False"",""29"","""",""50210"",""False"",""18"","""",""11"",""LJ0026"",""2"",""10000"",""1"",""FJ0026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Pomegr Juice 12/32oz","50220","False","29","","50210","False","18","","11","LJ0026","2","10000","1","FJ0026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6" s="15"/>
      <c r="D1596" s="16" t="str">
        <f>"FJ0026"</f>
        <v>FJ0026</v>
      </c>
      <c r="E1596" s="16">
        <v>10000</v>
      </c>
      <c r="F1596" s="16" t="str">
        <f>"LJ0026"</f>
        <v>LJ0026</v>
      </c>
      <c r="G1596" s="17" t="str">
        <f>"LBL ORG CADIA Pomegr Juice 12/32oz"</f>
        <v>LBL ORG CADIA Pomegr Juice 12/32oz</v>
      </c>
      <c r="H1596" s="18" t="str">
        <f t="shared" si="171"/>
        <v>LABELS</v>
      </c>
      <c r="I1596" s="19">
        <v>12</v>
      </c>
      <c r="J1596" s="20">
        <v>12</v>
      </c>
    </row>
    <row r="1597" spans="1:10" ht="15.75" thickBot="1" x14ac:dyDescent="0.3">
      <c r="A1597" t="s">
        <v>31</v>
      </c>
      <c r="B1597" s="15" t="str">
        <f>"""Manzana NAV"",""MANZANA"",""99000772"",""44"","" "",""22"",""False"",""43"",""0.00000000000000000000"",""12"",""LBL ORG CADIA Spiced Cider 12/32oz"",""50220"",""False"",""29"","""",""50210"",""False"",""18"","""",""11"",""LJ0027"",""2"",""10000"",""1"",""FJ0027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Spiced Cider 12/32oz","50220","False","29","","50210","False","18","","11","LJ0027","2","10000","1","FJ0027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7" s="15"/>
      <c r="D1597" s="16" t="str">
        <f>"FJ0027"</f>
        <v>FJ0027</v>
      </c>
      <c r="E1597" s="16">
        <v>10000</v>
      </c>
      <c r="F1597" s="16" t="str">
        <f>"LJ0027"</f>
        <v>LJ0027</v>
      </c>
      <c r="G1597" s="17" t="str">
        <f>"LBL ORG CADIA Spiced Cider 12/32oz"</f>
        <v>LBL ORG CADIA Spiced Cider 12/32oz</v>
      </c>
      <c r="H1597" s="18" t="str">
        <f t="shared" si="171"/>
        <v>LABELS</v>
      </c>
      <c r="I1597" s="19">
        <v>12</v>
      </c>
      <c r="J1597" s="20">
        <v>12</v>
      </c>
    </row>
    <row r="1598" spans="1:10" ht="15.75" thickBot="1" x14ac:dyDescent="0.3">
      <c r="A1598" t="s">
        <v>31</v>
      </c>
      <c r="B1598" s="15" t="str">
        <f>"""Manzana NAV"",""MANZANA"",""99000772"",""44"","" "",""22"",""False"",""43"",""0.00000000000000000000"",""12"",""LBL ORG CADIA Vinegar 12/32oz"",""50220"",""False"",""29"","""",""50210"",""False"",""18"","""",""11"",""LV0006"",""2"",""20000"",""1"",""FV0006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Vinegar 12/32oz","50220","False","29","","50210","False","18","","11","LV0006","2","20000","1","FV0006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8" s="15"/>
      <c r="D1598" s="16" t="str">
        <f>"FV0006"</f>
        <v>FV0006</v>
      </c>
      <c r="E1598" s="16">
        <v>20000</v>
      </c>
      <c r="F1598" s="16" t="str">
        <f>"LV0006"</f>
        <v>LV0006</v>
      </c>
      <c r="G1598" s="17" t="str">
        <f>"LBL ORG CADIA Vinegar 12/32oz"</f>
        <v>LBL ORG CADIA Vinegar 12/32oz</v>
      </c>
      <c r="H1598" s="18" t="str">
        <f t="shared" si="171"/>
        <v>LABELS</v>
      </c>
      <c r="I1598" s="19">
        <v>12</v>
      </c>
      <c r="J1598" s="20">
        <v>12</v>
      </c>
    </row>
    <row r="1599" spans="1:10" ht="15.75" thickBot="1" x14ac:dyDescent="0.3">
      <c r="A1599" t="s">
        <v>31</v>
      </c>
      <c r="B1599" s="15" t="str">
        <f>"""Manzana NAV"",""MANZANA"",""99000772"",""44"","" "",""22"",""False"",""43"",""0.00000000000000000000"",""12"",""LBL ORG CENTRAL MKT Blend Apple Sauce 6/24oz"",""50220"",""False"",""29"","""",""50210"",""False"",""18"","""",""11"",""LS0036"",""2"",""30000"",""1"",""FS0036"",""14"",""6.00000000000000000000"""&amp;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Blend Apple Sauce 6/24oz","50220","False","29","","50210","False","18","","11","LS0036","2","30000","1","FS0036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99" s="15"/>
      <c r="D1599" s="16" t="str">
        <f>"FS0036"</f>
        <v>FS0036</v>
      </c>
      <c r="E1599" s="16">
        <v>30000</v>
      </c>
      <c r="F1599" s="16" t="str">
        <f>"LS0036"</f>
        <v>LS0036</v>
      </c>
      <c r="G1599" s="17" t="str">
        <f>"LBL ORG CENTRAL MKT Blend Apple Sauce 6/24oz"</f>
        <v>LBL ORG CENTRAL MKT Blend Apple Sauce 6/24oz</v>
      </c>
      <c r="H1599" s="18" t="str">
        <f t="shared" si="171"/>
        <v>LABELS</v>
      </c>
      <c r="I1599" s="19">
        <v>6</v>
      </c>
      <c r="J1599" s="20">
        <v>6</v>
      </c>
    </row>
    <row r="1600" spans="1:10" ht="15.75" thickBot="1" x14ac:dyDescent="0.3">
      <c r="A1600" t="s">
        <v>31</v>
      </c>
      <c r="B1600" s="15" t="str">
        <f>"""Manzana NAV"",""MANZANA"",""99000772"",""44"","" "",""22"",""False"",""43"",""0.00000000000000000000"",""12"",""LBL ORG CENTRAL MKT Blend Juice 6/64oz"",""50220"",""False"",""29"","""",""50210"",""False"",""18"","""",""11"",""LJ0111"",""2"",""30000"",""1"",""FJ0111"",""14"",""6.00000000000000000000"",""45"","&amp;"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Blend Juice 6/64oz","50220","False","29","","50210","False","18","","11","LJ0111","2","30000","1","FJ0111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0" s="15"/>
      <c r="D1600" s="16" t="str">
        <f>"FJ0111"</f>
        <v>FJ0111</v>
      </c>
      <c r="E1600" s="16">
        <v>30000</v>
      </c>
      <c r="F1600" s="16" t="str">
        <f>"LJ0111"</f>
        <v>LJ0111</v>
      </c>
      <c r="G1600" s="17" t="str">
        <f>"LBL ORG CENTRAL MKT Blend Juice 6/64oz"</f>
        <v>LBL ORG CENTRAL MKT Blend Juice 6/64oz</v>
      </c>
      <c r="H1600" s="18" t="str">
        <f t="shared" si="171"/>
        <v>LABELS</v>
      </c>
      <c r="I1600" s="19">
        <v>6</v>
      </c>
      <c r="J1600" s="20">
        <v>6</v>
      </c>
    </row>
    <row r="1601" spans="1:10" ht="15.75" thickBot="1" x14ac:dyDescent="0.3">
      <c r="A1601" t="s">
        <v>31</v>
      </c>
      <c r="B1601" s="15" t="str">
        <f>"""Manzana NAV"",""MANZANA"",""99000772"",""44"","" "",""22"",""False"",""43"",""0.00000000000000000000"",""12"",""LBL ORG CENTRAL MKT Pear Juice 12/32oz"",""50220"",""False"",""29"","""",""50210"",""False"",""18"","""",""11"",""LJ0110"",""2"",""30000"",""1"",""FJ0110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Pear Juice 12/32oz","50220","False","29","","50210","False","18","","11","LJ0110","2","30000","1","FJ0110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1" s="15"/>
      <c r="D1601" s="16" t="str">
        <f>"FJ0110"</f>
        <v>FJ0110</v>
      </c>
      <c r="E1601" s="16">
        <v>30000</v>
      </c>
      <c r="F1601" s="16" t="str">
        <f>"LJ0110"</f>
        <v>LJ0110</v>
      </c>
      <c r="G1601" s="17" t="str">
        <f>"LBL ORG CENTRAL MKT Pear Juice 12/32oz"</f>
        <v>LBL ORG CENTRAL MKT Pear Juice 12/32oz</v>
      </c>
      <c r="H1601" s="18" t="str">
        <f t="shared" si="171"/>
        <v>LABELS</v>
      </c>
      <c r="I1601" s="19">
        <v>12</v>
      </c>
      <c r="J1601" s="20">
        <v>12</v>
      </c>
    </row>
    <row r="1602" spans="1:10" ht="15.75" thickBot="1" x14ac:dyDescent="0.3">
      <c r="A1602" t="s">
        <v>31</v>
      </c>
      <c r="B1602" s="15" t="str">
        <f>"""Manzana NAV"",""MANZANA"",""99000772"",""44"","" "",""22"",""False"",""43"",""0.00000000000000000000"",""12"",""LBL ORG CENTRAL MKT Sweet Blend Sauce 6/24oz"",""50220"",""False"",""29"","""",""50210"",""False"",""18"","""",""11"",""LS0112"",""2"",""30000"",""1"",""FS0112"",""14"",""6.00000000000000000000"""&amp;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Sweet Blend Sauce 6/24oz","50220","False","29","","50210","False","18","","11","LS0112","2","30000","1","FS0112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2" s="15"/>
      <c r="D1602" s="16" t="str">
        <f>"FS0112"</f>
        <v>FS0112</v>
      </c>
      <c r="E1602" s="16">
        <v>30000</v>
      </c>
      <c r="F1602" s="16" t="str">
        <f>"LS0112"</f>
        <v>LS0112</v>
      </c>
      <c r="G1602" s="17" t="str">
        <f>"LBL ORG CENTRAL MKT Sweet Blend Sauce 6/24oz"</f>
        <v>LBL ORG CENTRAL MKT Sweet Blend Sauce 6/24oz</v>
      </c>
      <c r="H1602" s="18" t="str">
        <f t="shared" si="171"/>
        <v>LABELS</v>
      </c>
      <c r="I1602" s="19">
        <v>6</v>
      </c>
      <c r="J1602" s="20">
        <v>6</v>
      </c>
    </row>
    <row r="1603" spans="1:10" ht="15.75" thickBot="1" x14ac:dyDescent="0.3">
      <c r="A1603" t="s">
        <v>31</v>
      </c>
      <c r="B1603" s="15" t="str">
        <f>"""Manzana NAV"",""MANZANA"",""99000772"",""44"","" "",""22"",""False"",""43"",""0.00000000000000000000"",""12"",""LBL ORG CENTRAL MKT Vinegar 12/16oz"",""50220"",""False"",""29"","""",""50210"",""False"",""18"","""",""11"",""LV0007"",""2"",""30000"",""1"",""FV0007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Vinegar 12/16oz","50220","False","29","","50210","False","18","","11","LV0007","2","30000","1","FV0007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3" s="15"/>
      <c r="D1603" s="16" t="str">
        <f>"FV0007"</f>
        <v>FV0007</v>
      </c>
      <c r="E1603" s="16">
        <v>30000</v>
      </c>
      <c r="F1603" s="16" t="str">
        <f>"LV0007"</f>
        <v>LV0007</v>
      </c>
      <c r="G1603" s="17" t="str">
        <f>"LBL ORG CENTRAL MKT Vinegar 12/16oz"</f>
        <v>LBL ORG CENTRAL MKT Vinegar 12/16oz</v>
      </c>
      <c r="H1603" s="18" t="str">
        <f t="shared" si="171"/>
        <v>LABELS</v>
      </c>
      <c r="I1603" s="19">
        <v>12</v>
      </c>
      <c r="J1603" s="20">
        <v>12</v>
      </c>
    </row>
    <row r="1604" spans="1:10" ht="15.75" thickBot="1" x14ac:dyDescent="0.3">
      <c r="A1604" t="s">
        <v>31</v>
      </c>
      <c r="B1604" s="15" t="str">
        <f>"""Manzana NAV"",""MANZANA"",""99000772"",""44"","" "",""22"",""False"",""43"",""0.00000000000000000000"",""12"",""LBL ORG CTL MKT Cinn Apple Sauce 6/24oz"",""50220"",""False"",""29"","""",""50210"",""False"",""18"","""",""11"",""LS0111"",""2"",""30000"",""1"",""FS0111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CTL MKT Cinn Apple Sauce 6/24oz","50220","False","29","","50210","False","18","","11","LS0111","2","30000","1","FS0111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4" s="15"/>
      <c r="D1604" s="16" t="str">
        <f>"FS0111"</f>
        <v>FS0111</v>
      </c>
      <c r="E1604" s="16">
        <v>30000</v>
      </c>
      <c r="F1604" s="16" t="str">
        <f>"LS0111"</f>
        <v>LS0111</v>
      </c>
      <c r="G1604" s="17" t="str">
        <f>"LBL ORG CTL MKT Cinn Apple Sauce 6/24oz"</f>
        <v>LBL ORG CTL MKT Cinn Apple Sauce 6/24oz</v>
      </c>
      <c r="H1604" s="18" t="str">
        <f t="shared" si="171"/>
        <v>LABELS</v>
      </c>
      <c r="I1604" s="19">
        <v>6</v>
      </c>
      <c r="J1604" s="20">
        <v>6</v>
      </c>
    </row>
    <row r="1605" spans="1:10" ht="15.75" thickBot="1" x14ac:dyDescent="0.3">
      <c r="A1605" t="s">
        <v>31</v>
      </c>
      <c r="B1605" s="15" t="str">
        <f>"""Manzana NAV"",""MANZANA"",""99000772"",""44"","" "",""22"",""False"",""43"",""0.00000000000000000000"",""12"",""LBL ORG CUYAMA Blend Juice 12/32oz"",""50220"",""False"",""29"","""",""50210"",""False"",""18"","""",""11"",""LJ0129"",""2"",""30000"",""1"",""FJ0129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CUYAMA Blend Juice 12/32oz","50220","False","29","","50210","False","18","","11","LJ0129","2","30000","1","FJ0129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5" s="15"/>
      <c r="D1605" s="16" t="str">
        <f>"FJ0129"</f>
        <v>FJ0129</v>
      </c>
      <c r="E1605" s="16">
        <v>30000</v>
      </c>
      <c r="F1605" s="16" t="str">
        <f>"LJ0129"</f>
        <v>LJ0129</v>
      </c>
      <c r="G1605" s="17" t="str">
        <f>"LBL ORG CUYAMA Blend Juice 12/32oz"</f>
        <v>LBL ORG CUYAMA Blend Juice 12/32oz</v>
      </c>
      <c r="H1605" s="18" t="str">
        <f t="shared" si="171"/>
        <v>LABELS</v>
      </c>
      <c r="I1605" s="19">
        <v>12</v>
      </c>
      <c r="J1605" s="20">
        <v>12</v>
      </c>
    </row>
    <row r="1606" spans="1:10" ht="15.75" thickBot="1" x14ac:dyDescent="0.3">
      <c r="A1606" t="s">
        <v>31</v>
      </c>
      <c r="B1606" s="15" t="str">
        <f>"""Manzana NAV"",""MANZANA"",""99000772"",""44"","" "",""22"",""False"",""43"",""0.00000000000000000000"",""12"",""LBL ORG EARTH FARE Blend Juice 6/64oz"",""50220"",""False"",""29"","""",""50210"",""False"",""18"","""",""11"",""LJ0031"",""2"",""30000"",""1"",""FJ0031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EARTH FARE Blend Juice 6/64oz","50220","False","29","","50210","False","18","","11","LJ0031","2","30000","1","FJ0031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6" s="15"/>
      <c r="D1606" s="16" t="str">
        <f>"FJ0031"</f>
        <v>FJ0031</v>
      </c>
      <c r="E1606" s="16">
        <v>30000</v>
      </c>
      <c r="F1606" s="16" t="str">
        <f>"LJ0031"</f>
        <v>LJ0031</v>
      </c>
      <c r="G1606" s="17" t="str">
        <f>"LBL ORG EARTH FARE Blend Juice 6/64oz"</f>
        <v>LBL ORG EARTH FARE Blend Juice 6/64oz</v>
      </c>
      <c r="H1606" s="18" t="str">
        <f t="shared" si="171"/>
        <v>LABELS</v>
      </c>
      <c r="I1606" s="19">
        <v>6</v>
      </c>
      <c r="J1606" s="20">
        <v>6</v>
      </c>
    </row>
    <row r="1607" spans="1:10" ht="15.75" thickBot="1" x14ac:dyDescent="0.3">
      <c r="A1607" t="s">
        <v>31</v>
      </c>
      <c r="B1607" s="15" t="str">
        <f>"""Manzana NAV"",""MANZANA"",""99000772"",""44"","" "",""22"",""False"",""43"",""0.00000000000000000000"",""12"",""LBL ORG EARTH FARE Grape Juice 12/32oz"",""50220"",""False"",""29"","""",""50210"",""False"",""18"","""",""11"",""LJ0032"",""2"",""30000"",""1"",""FJ0032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EARTH FARE Grape Juice 12/32oz","50220","False","29","","50210","False","18","","11","LJ0032","2","30000","1","FJ0032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7" s="15"/>
      <c r="D1607" s="16" t="str">
        <f>"FJ0032"</f>
        <v>FJ0032</v>
      </c>
      <c r="E1607" s="16">
        <v>30000</v>
      </c>
      <c r="F1607" s="16" t="str">
        <f>"LJ0032"</f>
        <v>LJ0032</v>
      </c>
      <c r="G1607" s="17" t="str">
        <f>"LBL ORG EARTH FARE Grape Juice 12/32oz"</f>
        <v>LBL ORG EARTH FARE Grape Juice 12/32oz</v>
      </c>
      <c r="H1607" s="18" t="str">
        <f t="shared" si="171"/>
        <v>LABELS</v>
      </c>
      <c r="I1607" s="19">
        <v>12</v>
      </c>
      <c r="J1607" s="20">
        <v>12</v>
      </c>
    </row>
    <row r="1608" spans="1:10" ht="15.75" thickBot="1" x14ac:dyDescent="0.3">
      <c r="A1608" t="s">
        <v>31</v>
      </c>
      <c r="B1608" s="15" t="str">
        <f>"""Manzana NAV"",""MANZANA"",""99000772"",""44"","" "",""22"",""False"",""43"",""0.00000000000000000000"",""12"",""LBL ORG EARTH FARE Vinegar 12/16oz"",""50220"",""False"",""29"","""",""50210"",""False"",""18"","""",""11"",""LV0008"",""2"",""30000"",""1"",""FV0008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EARTH FARE Vinegar 12/16oz","50220","False","29","","50210","False","18","","11","LV0008","2","30000","1","FV0008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8" s="15"/>
      <c r="D1608" s="16" t="str">
        <f>"FV0008"</f>
        <v>FV0008</v>
      </c>
      <c r="E1608" s="16">
        <v>30000</v>
      </c>
      <c r="F1608" s="16" t="str">
        <f>"LV0008"</f>
        <v>LV0008</v>
      </c>
      <c r="G1608" s="17" t="str">
        <f>"LBL ORG EARTH FARE Vinegar 12/16oz"</f>
        <v>LBL ORG EARTH FARE Vinegar 12/16oz</v>
      </c>
      <c r="H1608" s="18" t="str">
        <f t="shared" si="171"/>
        <v>LABELS</v>
      </c>
      <c r="I1608" s="19">
        <v>12</v>
      </c>
      <c r="J1608" s="20">
        <v>12</v>
      </c>
    </row>
    <row r="1609" spans="1:10" ht="15.75" thickBot="1" x14ac:dyDescent="0.3">
      <c r="A1609" t="s">
        <v>31</v>
      </c>
      <c r="B1609" s="15" t="str">
        <f>"""Manzana NAV"",""MANZANA"",""99000772"",""44"","" "",""22"",""False"",""43"",""0.00000000000000000000"",""12"",""LBL ORG FIELD DAY Vinegar 12/32oz"",""50220"",""False"",""29"","""",""50210"",""False"",""18"","""",""11"",""LV0009"",""2"",""20000"",""1"",""FV0009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FIELD DAY Vinegar 12/32oz","50220","False","29","","50210","False","18","","11","LV0009","2","20000","1","FV0009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9" s="15"/>
      <c r="D1609" s="16" t="str">
        <f>"FV0009"</f>
        <v>FV0009</v>
      </c>
      <c r="E1609" s="16">
        <v>20000</v>
      </c>
      <c r="F1609" s="16" t="str">
        <f>"LV0009"</f>
        <v>LV0009</v>
      </c>
      <c r="G1609" s="17" t="str">
        <f>"LBL ORG FIELD DAY Vinegar 12/32oz"</f>
        <v>LBL ORG FIELD DAY Vinegar 12/32oz</v>
      </c>
      <c r="H1609" s="18" t="str">
        <f t="shared" si="171"/>
        <v>LABELS</v>
      </c>
      <c r="I1609" s="19">
        <v>12</v>
      </c>
      <c r="J1609" s="20">
        <v>12</v>
      </c>
    </row>
    <row r="1610" spans="1:10" ht="15.75" thickBot="1" x14ac:dyDescent="0.3">
      <c r="A1610" t="s">
        <v>31</v>
      </c>
      <c r="B1610" s="15" t="str">
        <f>"""Manzana NAV"",""MANZANA"",""99000772"",""44"","" "",""22"",""False"",""43"",""0.00000000000000000000"",""12"",""LBL ORG FRAZIER FARMS Blend Apple Juice 4/128oz"",""50220"",""False"",""29"","""",""50210"",""False"",""18"","""",""11"",""LJ0160"",""2"",""10000"",""1"",""FJ0160"",""14"",""4.000000000000000000"&amp;"00"",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FRAZIER FARMS Blend Apple Juice 4/128oz","50220","False","29","","50210","False","18","","11","LJ0160","2","10000","1","FJ0160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10" s="15"/>
      <c r="D1610" s="16" t="str">
        <f>"FJ0160"</f>
        <v>FJ0160</v>
      </c>
      <c r="E1610" s="16">
        <v>10000</v>
      </c>
      <c r="F1610" s="16" t="str">
        <f>"LJ0160"</f>
        <v>LJ0160</v>
      </c>
      <c r="G1610" s="17" t="str">
        <f>"LBL ORG FRAZIER FARMS Blend Apple Juice 4/128oz"</f>
        <v>LBL ORG FRAZIER FARMS Blend Apple Juice 4/128oz</v>
      </c>
      <c r="H1610" s="18" t="str">
        <f t="shared" si="171"/>
        <v>LABELS</v>
      </c>
      <c r="I1610" s="19">
        <v>4</v>
      </c>
      <c r="J1610" s="20">
        <v>4</v>
      </c>
    </row>
    <row r="1611" spans="1:10" ht="15.75" thickBot="1" x14ac:dyDescent="0.3">
      <c r="A1611" t="s">
        <v>31</v>
      </c>
      <c r="B1611" s="15" t="str">
        <f>"""Manzana NAV"",""MANZANA"",""99000772"",""44"","" "",""22"",""False"",""43"",""0.00000000000000000000"",""12"",""LBL ORG GOODSOME.ORG Blend Juice 24/10oz"",""50220"",""False"",""29"","""",""50210"",""False"",""18"","""",""11"",""LJ0037"",""2"",""30000"",""1"",""FJ0037"",""14"",""24.00000000000000000000"",""4"&amp;"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GOODSOME.ORG Blend Juice 24/10oz","50220","False","29","","50210","False","18","","11","LJ0037","2","30000","1","FJ0037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11" s="15"/>
      <c r="D1611" s="16" t="str">
        <f>"FJ0037"</f>
        <v>FJ0037</v>
      </c>
      <c r="E1611" s="16">
        <v>30000</v>
      </c>
      <c r="F1611" s="16" t="str">
        <f>"LJ0037"</f>
        <v>LJ0037</v>
      </c>
      <c r="G1611" s="17" t="str">
        <f>"LBL ORG GOODSOME.ORG Blend Juice 24/10oz"</f>
        <v>LBL ORG GOODSOME.ORG Blend Juice 24/10oz</v>
      </c>
      <c r="H1611" s="18" t="str">
        <f t="shared" si="171"/>
        <v>LABELS</v>
      </c>
      <c r="I1611" s="19">
        <v>24</v>
      </c>
      <c r="J1611" s="20">
        <v>24</v>
      </c>
    </row>
    <row r="1612" spans="1:10" ht="15.75" thickBot="1" x14ac:dyDescent="0.3">
      <c r="A1612" t="s">
        <v>31</v>
      </c>
      <c r="B1612" s="15" t="str">
        <f>"""Manzana NAV"",""MANZANA"",""99000772"",""44"","" "",""22"",""False"",""43"",""0.00000000000000000000"",""12"",""LBL ORG HARRIS TEETER Apple Cider 6/64oz"",""50220"",""False"",""29"","""",""50210"",""False"",""18"","""",""11"",""LJ0153"",""2"",""10000"",""1"",""FJ0153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Apple Cider 6/64oz","50220","False","29","","50210","False","18","","11","LJ0153","2","10000","1","FJ0153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12" s="15"/>
      <c r="D1612" s="16" t="str">
        <f>"FJ0153"</f>
        <v>FJ0153</v>
      </c>
      <c r="E1612" s="16">
        <v>10000</v>
      </c>
      <c r="F1612" s="16" t="str">
        <f>"LJ0153"</f>
        <v>LJ0153</v>
      </c>
      <c r="G1612" s="17" t="str">
        <f>"LBL ORG HARRIS TEETER Apple Cider 6/64oz"</f>
        <v>LBL ORG HARRIS TEETER Apple Cider 6/64oz</v>
      </c>
      <c r="H1612" s="18" t="str">
        <f t="shared" si="171"/>
        <v>LABELS</v>
      </c>
      <c r="I1612" s="19">
        <v>6</v>
      </c>
      <c r="J1612" s="20">
        <v>6</v>
      </c>
    </row>
    <row r="1613" spans="1:10" ht="15.75" thickBot="1" x14ac:dyDescent="0.3">
      <c r="A1613" t="s">
        <v>31</v>
      </c>
      <c r="B1613" s="15" t="str">
        <f>"""Manzana NAV"",""MANZANA"",""99000772"",""44"","" "",""22"",""False"",""43"",""0.00000000000000000000"",""12"",""LBL ORG HARRIS TEETER Gala Juice 12/32oz"",""50220"",""False"",""29"","""",""50210"",""False"",""18"","""",""11"",""LJ0155"",""2"",""10000"",""1"",""FJ0155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Gala Juice 12/32oz","50220","False","29","","50210","False","18","","11","LJ0155","2","10000","1","FJ0155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3" s="15"/>
      <c r="D1613" s="16" t="str">
        <f>"FJ0155"</f>
        <v>FJ0155</v>
      </c>
      <c r="E1613" s="16">
        <v>10000</v>
      </c>
      <c r="F1613" s="16" t="str">
        <f>"LJ0155"</f>
        <v>LJ0155</v>
      </c>
      <c r="G1613" s="17" t="str">
        <f>"LBL ORG HARRIS TEETER Gala Juice 12/32oz"</f>
        <v>LBL ORG HARRIS TEETER Gala Juice 12/32oz</v>
      </c>
      <c r="H1613" s="18" t="str">
        <f t="shared" si="171"/>
        <v>LABELS</v>
      </c>
      <c r="I1613" s="19">
        <v>12</v>
      </c>
      <c r="J1613" s="20">
        <v>12</v>
      </c>
    </row>
    <row r="1614" spans="1:10" ht="15.75" thickBot="1" x14ac:dyDescent="0.3">
      <c r="A1614" t="s">
        <v>31</v>
      </c>
      <c r="B1614" s="15" t="str">
        <f>"""Manzana NAV"",""MANZANA"",""99000772"",""44"","" "",""22"",""False"",""43"",""0.00000000000000000000"",""12"",""LBL ORG HARRIS TEETER GRAV Juice 12/32oz"",""50220"",""False"",""29"","""",""50210"",""False"",""18"","""",""11"",""LJ0156"",""2"",""10000"",""1"",""FJ0156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GRAV Juice 12/32oz","50220","False","29","","50210","False","18","","11","LJ0156","2","10000","1","FJ0156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4" s="15"/>
      <c r="D1614" s="16" t="str">
        <f>"FJ0156"</f>
        <v>FJ0156</v>
      </c>
      <c r="E1614" s="16">
        <v>10000</v>
      </c>
      <c r="F1614" s="16" t="str">
        <f>"LJ0156"</f>
        <v>LJ0156</v>
      </c>
      <c r="G1614" s="17" t="str">
        <f>"LBL ORG HARRIS TEETER GRAV Juice 12/32oz"</f>
        <v>LBL ORG HARRIS TEETER GRAV Juice 12/32oz</v>
      </c>
      <c r="H1614" s="18" t="str">
        <f t="shared" si="171"/>
        <v>LABELS</v>
      </c>
      <c r="I1614" s="19">
        <v>12</v>
      </c>
      <c r="J1614" s="20">
        <v>12</v>
      </c>
    </row>
    <row r="1615" spans="1:10" ht="15.75" thickBot="1" x14ac:dyDescent="0.3">
      <c r="A1615" t="s">
        <v>31</v>
      </c>
      <c r="B1615" s="15" t="str">
        <f>"""Manzana NAV"",""MANZANA"",""99000772"",""44"","" "",""22"",""False"",""43"",""0.00000000000000000000"",""12"",""LBL ORG HARRIS TEETER HCrisp Juice 12/32oz"",""50220"",""False"",""29"","""",""50210"",""False"",""18"","""",""11"",""LJ0154"",""2"",""10000"",""1"",""FJ0154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HCrisp Juice 12/32oz","50220","False","29","","50210","False","18","","11","LJ0154","2","10000","1","FJ0154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5" s="15"/>
      <c r="D1615" s="16" t="str">
        <f>"FJ0154"</f>
        <v>FJ0154</v>
      </c>
      <c r="E1615" s="16">
        <v>10000</v>
      </c>
      <c r="F1615" s="16" t="str">
        <f>"LJ0154"</f>
        <v>LJ0154</v>
      </c>
      <c r="G1615" s="17" t="str">
        <f>"LBL ORG HARRIS TEETER HCrisp Juice 12/32oz"</f>
        <v>LBL ORG HARRIS TEETER HCrisp Juice 12/32oz</v>
      </c>
      <c r="H1615" s="18" t="str">
        <f t="shared" si="171"/>
        <v>LABELS</v>
      </c>
      <c r="I1615" s="19">
        <v>12</v>
      </c>
      <c r="J1615" s="20">
        <v>12</v>
      </c>
    </row>
    <row r="1616" spans="1:10" ht="15.75" thickBot="1" x14ac:dyDescent="0.3">
      <c r="A1616" t="s">
        <v>31</v>
      </c>
      <c r="B1616" s="15" t="str">
        <f>"""Manzana NAV"",""MANZANA"",""99000772"",""44"","" "",""22"",""False"",""43"",""0.00000000000000000000"",""12"",""LBL ORG KINGS Blend Juice 12/32oz"",""50220"",""False"",""29"","""",""50210"",""False"",""18"","""",""11"",""LJ0157"",""2"",""10000"",""1"",""FJ0157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Blend Juice 12/32oz","50220","False","29","","50210","False","18","","11","LJ0157","2","10000","1","FJ0157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6" s="15"/>
      <c r="D1616" s="16" t="str">
        <f>"FJ0157"</f>
        <v>FJ0157</v>
      </c>
      <c r="E1616" s="16">
        <v>10000</v>
      </c>
      <c r="F1616" s="16" t="str">
        <f>"LJ0157"</f>
        <v>LJ0157</v>
      </c>
      <c r="G1616" s="17" t="str">
        <f>"LBL ORG KINGS Blend Juice 12/32oz"</f>
        <v>LBL ORG KINGS Blend Juice 12/32oz</v>
      </c>
      <c r="H1616" s="18" t="str">
        <f t="shared" si="171"/>
        <v>LABELS</v>
      </c>
      <c r="I1616" s="19">
        <v>12</v>
      </c>
      <c r="J1616" s="20">
        <v>12</v>
      </c>
    </row>
    <row r="1617" spans="1:10" ht="15.75" thickBot="1" x14ac:dyDescent="0.3">
      <c r="A1617" t="s">
        <v>31</v>
      </c>
      <c r="B1617" s="15" t="str">
        <f>"""Manzana NAV"",""MANZANA"",""99000772"",""44"","" "",""22"",""False"",""43"",""0.00000000000000000000"",""12"",""LBL ORG KINGS Cinnamon Apple Sauce 12/24oz"",""50220"",""False"",""29"","""",""50210"",""False"",""18"","""",""11"",""LS0144"",""2"",""10000"",""1"",""FS0144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Cinnamon Apple Sauce 12/24oz","50220","False","29","","50210","False","18","","11","LS0144","2","10000","1","FS0144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7" s="15"/>
      <c r="D1617" s="16" t="str">
        <f>"FS0144"</f>
        <v>FS0144</v>
      </c>
      <c r="E1617" s="16">
        <v>10000</v>
      </c>
      <c r="F1617" s="16" t="str">
        <f>"LS0144"</f>
        <v>LS0144</v>
      </c>
      <c r="G1617" s="17" t="str">
        <f>"LBL ORG KINGS Cinnamon Apple Sauce 12/24oz"</f>
        <v>LBL ORG KINGS Cinnamon Apple Sauce 12/24oz</v>
      </c>
      <c r="H1617" s="18" t="str">
        <f t="shared" si="171"/>
        <v>LABELS</v>
      </c>
      <c r="I1617" s="19">
        <v>12</v>
      </c>
      <c r="J1617" s="20">
        <v>12</v>
      </c>
    </row>
    <row r="1618" spans="1:10" ht="15.75" thickBot="1" x14ac:dyDescent="0.3">
      <c r="A1618" t="s">
        <v>31</v>
      </c>
      <c r="B1618" s="15" t="str">
        <f>"""Manzana NAV"",""MANZANA"",""99000772"",""44"","" "",""22"",""False"",""43"",""0.00000000000000000000"",""12"",""LBL ORG KINGS GRAV Juice 12/32oz"",""50220"",""False"",""29"","""",""50210"",""False"",""18"","""",""11"",""LJ0158"",""2"",""10000"",""1"",""FJ0158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GRAV Juice 12/32oz","50220","False","29","","50210","False","18","","11","LJ0158","2","10000","1","FJ0158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8" s="15"/>
      <c r="D1618" s="16" t="str">
        <f>"FJ0158"</f>
        <v>FJ0158</v>
      </c>
      <c r="E1618" s="16">
        <v>10000</v>
      </c>
      <c r="F1618" s="16" t="str">
        <f>"LJ0158"</f>
        <v>LJ0158</v>
      </c>
      <c r="G1618" s="17" t="str">
        <f>"LBL ORG KINGS GRAV Juice 12/32oz"</f>
        <v>LBL ORG KINGS GRAV Juice 12/32oz</v>
      </c>
      <c r="H1618" s="18" t="str">
        <f t="shared" si="171"/>
        <v>LABELS</v>
      </c>
      <c r="I1618" s="19">
        <v>12</v>
      </c>
      <c r="J1618" s="20">
        <v>12</v>
      </c>
    </row>
    <row r="1619" spans="1:10" ht="15.75" thickBot="1" x14ac:dyDescent="0.3">
      <c r="A1619" t="s">
        <v>31</v>
      </c>
      <c r="B1619" s="15" t="str">
        <f>"""Manzana NAV"",""MANZANA"",""99000772"",""44"","" "",""22"",""False"",""43"",""0.00000000000000000000"",""12"",""LBL ORG KINGS HCrisp Juice 12/32oz"",""50220"",""False"",""29"","""",""50210"",""False"",""18"","""",""11"",""LJ0159"",""2"",""10000"",""1"",""FJ0159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HCrisp Juice 12/32oz","50220","False","29","","50210","False","18","","11","LJ0159","2","10000","1","FJ0159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9" s="15"/>
      <c r="D1619" s="16" t="str">
        <f>"FJ0159"</f>
        <v>FJ0159</v>
      </c>
      <c r="E1619" s="16">
        <v>10000</v>
      </c>
      <c r="F1619" s="16" t="str">
        <f>"LJ0159"</f>
        <v>LJ0159</v>
      </c>
      <c r="G1619" s="17" t="str">
        <f>"LBL ORG KINGS HCrisp Juice 12/32oz"</f>
        <v>LBL ORG KINGS HCrisp Juice 12/32oz</v>
      </c>
      <c r="H1619" s="18" t="str">
        <f t="shared" si="171"/>
        <v>LABELS</v>
      </c>
      <c r="I1619" s="19">
        <v>12</v>
      </c>
      <c r="J1619" s="20">
        <v>12</v>
      </c>
    </row>
    <row r="1620" spans="1:10" ht="15.75" thickBot="1" x14ac:dyDescent="0.3">
      <c r="A1620" t="s">
        <v>31</v>
      </c>
      <c r="B1620" s="15" t="str">
        <f>"""Manzana NAV"",""MANZANA"",""99000772"",""44"","" "",""22"",""False"",""43"",""0.00000000000000000000"",""12"",""LBL ORG KINGS Mixed Berry Apple Sauce 12/24oz"",""50220"",""False"",""29"","""",""50210"",""False"",""18"","""",""11"",""LS0145"",""2"",""10000"",""1"",""FS0145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Mixed Berry Apple Sauce 12/24oz","50220","False","29","","50210","False","18","","11","LS0145","2","10000","1","FS0145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0" s="15"/>
      <c r="D1620" s="16" t="str">
        <f>"FS0145"</f>
        <v>FS0145</v>
      </c>
      <c r="E1620" s="16">
        <v>10000</v>
      </c>
      <c r="F1620" s="16" t="str">
        <f>"LS0145"</f>
        <v>LS0145</v>
      </c>
      <c r="G1620" s="17" t="str">
        <f>"LBL ORG KINGS Mixed Berry Apple Sauce 12/24oz"</f>
        <v>LBL ORG KINGS Mixed Berry Apple Sauce 12/24oz</v>
      </c>
      <c r="H1620" s="18" t="str">
        <f t="shared" si="171"/>
        <v>LABELS</v>
      </c>
      <c r="I1620" s="19">
        <v>12</v>
      </c>
      <c r="J1620" s="20">
        <v>12</v>
      </c>
    </row>
    <row r="1621" spans="1:10" ht="15.75" thickBot="1" x14ac:dyDescent="0.3">
      <c r="A1621" t="s">
        <v>31</v>
      </c>
      <c r="B1621" s="15" t="str">
        <f>"""Manzana NAV"",""MANZANA"",""99000772"",""44"","" "",""22"",""False"",""43"",""0.00000000000000000000"",""12"",""LBL ORG KINGS Unsweetened Blend Sauce 12/24oz"",""50220"",""False"",""29"","""",""50210"",""False"",""18"","""",""11"",""LS0143"",""2"",""10000"",""1"",""FS0143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Unsweetened Blend Sauce 12/24oz","50220","False","29","","50210","False","18","","11","LS0143","2","10000","1","FS0143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1" s="15"/>
      <c r="D1621" s="16" t="str">
        <f>"FS0143"</f>
        <v>FS0143</v>
      </c>
      <c r="E1621" s="16">
        <v>10000</v>
      </c>
      <c r="F1621" s="16" t="str">
        <f>"LS0143"</f>
        <v>LS0143</v>
      </c>
      <c r="G1621" s="17" t="str">
        <f>"LBL ORG KINGS Unsweetened Blend Sauce 12/24oz"</f>
        <v>LBL ORG KINGS Unsweetened Blend Sauce 12/24oz</v>
      </c>
      <c r="H1621" s="18" t="str">
        <f t="shared" si="171"/>
        <v>LABELS</v>
      </c>
      <c r="I1621" s="19">
        <v>12</v>
      </c>
      <c r="J1621" s="20">
        <v>12</v>
      </c>
    </row>
    <row r="1622" spans="1:10" ht="15.75" thickBot="1" x14ac:dyDescent="0.3">
      <c r="A1622" t="s">
        <v>31</v>
      </c>
      <c r="B1622" s="15" t="str">
        <f>"""Manzana NAV"",""MANZANA"",""99000772"",""44"","" "",""22"",""False"",""43"",""0.00000000000000000000"",""12"",""LBL ORG MOLLIE STONES Blend Juice 4/128oz"",""50220"",""False"",""29"","""",""50210"",""False"",""18"","""",""11"",""LJ0042"",""2"",""30000"",""1"",""FJ0042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Blend Juice 4/128oz","50220","False","29","","50210","False","18","","11","LJ0042","2","30000","1","FJ0042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22" s="15"/>
      <c r="D1622" s="16" t="str">
        <f>"FJ0042"</f>
        <v>FJ0042</v>
      </c>
      <c r="E1622" s="16">
        <v>30000</v>
      </c>
      <c r="F1622" s="16" t="str">
        <f>"LJ0042"</f>
        <v>LJ0042</v>
      </c>
      <c r="G1622" s="17" t="str">
        <f>"LBL ORG MOLLIE STONES Blend Juice 4/128oz"</f>
        <v>LBL ORG MOLLIE STONES Blend Juice 4/128oz</v>
      </c>
      <c r="H1622" s="18" t="str">
        <f t="shared" si="171"/>
        <v>LABELS</v>
      </c>
      <c r="I1622" s="19">
        <v>4</v>
      </c>
      <c r="J1622" s="20">
        <v>4</v>
      </c>
    </row>
    <row r="1623" spans="1:10" ht="15.75" thickBot="1" x14ac:dyDescent="0.3">
      <c r="A1623" t="s">
        <v>31</v>
      </c>
      <c r="B1623" s="15" t="str">
        <f>"""Manzana NAV"",""MANZANA"",""99000772"",""44"","" "",""22"",""False"",""43"",""0.00000000000000000000"",""12"",""LBL ORG MOLLIE STONES Cinn Apple Sauce 12/24oz"",""50220"",""False"",""29"","""",""50210"",""False"",""18"","""",""11"",""LS0114"",""2"",""30000"",""1"",""FS0114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Cinn Apple Sauce 12/24oz","50220","False","29","","50210","False","18","","11","LS0114","2","30000","1","FS0114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3" s="15"/>
      <c r="D1623" s="16" t="str">
        <f>"FS0114"</f>
        <v>FS0114</v>
      </c>
      <c r="E1623" s="16">
        <v>30000</v>
      </c>
      <c r="F1623" s="16" t="str">
        <f>"LS0114"</f>
        <v>LS0114</v>
      </c>
      <c r="G1623" s="17" t="str">
        <f>"LBL ORG MOLLIE STONES Cinn Apple Sauce 12/24oz"</f>
        <v>LBL ORG MOLLIE STONES Cinn Apple Sauce 12/24oz</v>
      </c>
      <c r="H1623" s="18" t="str">
        <f t="shared" si="171"/>
        <v>LABELS</v>
      </c>
      <c r="I1623" s="19">
        <v>12</v>
      </c>
      <c r="J1623" s="20">
        <v>12</v>
      </c>
    </row>
    <row r="1624" spans="1:10" ht="15.75" thickBot="1" x14ac:dyDescent="0.3">
      <c r="A1624" t="s">
        <v>31</v>
      </c>
      <c r="B1624" s="15" t="str">
        <f>"""Manzana NAV"",""MANZANA"",""99000772"",""44"","" "",""22"",""False"",""43"",""0.00000000000000000000"",""12"",""LBL ORG MOLLIE STONES Filt. Juice 6/64oz"",""50220"",""False"",""29"","""",""50210"",""False"",""18"","""",""11"",""LJ0125"",""2"",""30000"",""1"",""FJ0125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Filt. Juice 6/64oz","50220","False","29","","50210","False","18","","11","LJ0125","2","30000","1","FJ0125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24" s="15"/>
      <c r="D1624" s="16" t="str">
        <f>"FJ0125"</f>
        <v>FJ0125</v>
      </c>
      <c r="E1624" s="16">
        <v>30000</v>
      </c>
      <c r="F1624" s="16" t="str">
        <f>"LJ0125"</f>
        <v>LJ0125</v>
      </c>
      <c r="G1624" s="17" t="str">
        <f>"LBL ORG MOLLIE STONES Filt. Juice 6/64oz"</f>
        <v>LBL ORG MOLLIE STONES Filt. Juice 6/64oz</v>
      </c>
      <c r="H1624" s="18" t="str">
        <f t="shared" si="171"/>
        <v>LABELS</v>
      </c>
      <c r="I1624" s="19">
        <v>6</v>
      </c>
      <c r="J1624" s="20">
        <v>6</v>
      </c>
    </row>
    <row r="1625" spans="1:10" ht="15.75" thickBot="1" x14ac:dyDescent="0.3">
      <c r="A1625" t="s">
        <v>31</v>
      </c>
      <c r="B1625" s="15" t="str">
        <f>"""Manzana NAV"",""MANZANA"",""99000772"",""44"","" "",""22"",""False"",""43"",""0.00000000000000000000"",""12"",""LBL ORG MOLLIE STONES Grape Juice 12/32oz"",""50220"",""False"",""29"","""",""50210"",""False"",""18"","""",""11"",""LJ0039"",""2"",""30000"",""1"",""FJ0039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Grape Juice 12/32oz","50220","False","29","","50210","False","18","","11","LJ0039","2","30000","1","FJ0039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5" s="15"/>
      <c r="D1625" s="16" t="str">
        <f>"FJ0039"</f>
        <v>FJ0039</v>
      </c>
      <c r="E1625" s="16">
        <v>30000</v>
      </c>
      <c r="F1625" s="16" t="str">
        <f>"LJ0039"</f>
        <v>LJ0039</v>
      </c>
      <c r="G1625" s="17" t="str">
        <f>"LBL ORG MOLLIE STONES Grape Juice 12/32oz"</f>
        <v>LBL ORG MOLLIE STONES Grape Juice 12/32oz</v>
      </c>
      <c r="H1625" s="18" t="str">
        <f t="shared" si="171"/>
        <v>LABELS</v>
      </c>
      <c r="I1625" s="19">
        <v>12</v>
      </c>
      <c r="J1625" s="20">
        <v>12</v>
      </c>
    </row>
    <row r="1626" spans="1:10" ht="15.75" thickBot="1" x14ac:dyDescent="0.3">
      <c r="A1626" t="s">
        <v>31</v>
      </c>
      <c r="B1626" s="15" t="str">
        <f>"""Manzana NAV"",""MANZANA"",""99000772"",""44"","" "",""22"",""False"",""43"",""0.00000000000000000000"",""12"",""LBL ORG MOLLIE STONES Grav Juice 8/48oz"",""50220"",""False"",""29"","""",""50210"",""False"",""18"","""",""11"",""LJ0123"",""2"",""30000"",""1"",""FJ0123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Grav Juice 8/48oz","50220","False","29","","50210","False","18","","11","LJ0123","2","30000","1","FJ0123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626" s="15"/>
      <c r="D1626" s="16" t="str">
        <f>"FJ0123"</f>
        <v>FJ0123</v>
      </c>
      <c r="E1626" s="16">
        <v>30000</v>
      </c>
      <c r="F1626" s="16" t="str">
        <f>"LJ0123"</f>
        <v>LJ0123</v>
      </c>
      <c r="G1626" s="17" t="str">
        <f>"LBL ORG MOLLIE STONES Grav Juice 8/48oz"</f>
        <v>LBL ORG MOLLIE STONES Grav Juice 8/48oz</v>
      </c>
      <c r="H1626" s="18" t="str">
        <f t="shared" si="171"/>
        <v>LABELS</v>
      </c>
      <c r="I1626" s="19">
        <v>8</v>
      </c>
      <c r="J1626" s="20">
        <v>8</v>
      </c>
    </row>
    <row r="1627" spans="1:10" ht="15.75" thickBot="1" x14ac:dyDescent="0.3">
      <c r="A1627" t="s">
        <v>31</v>
      </c>
      <c r="B1627" s="15" t="str">
        <f>"""Manzana NAV"",""MANZANA"",""99000772"",""44"","" "",""22"",""False"",""43"",""0.00000000000000000000"",""12"",""LBL ORG MOLLIE STONES Vinegar 12/16oz"",""50220"",""False"",""29"","""",""50210"",""False"",""18"","""",""11"",""LV0010"",""2"",""30000"",""1"",""FV0010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Vinegar 12/16oz","50220","False","29","","50210","False","18","","11","LV0010","2","30000","1","FV0010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7" s="15"/>
      <c r="D1627" s="16" t="str">
        <f>"FV0010"</f>
        <v>FV0010</v>
      </c>
      <c r="E1627" s="16">
        <v>30000</v>
      </c>
      <c r="F1627" s="16" t="str">
        <f>"LV0010"</f>
        <v>LV0010</v>
      </c>
      <c r="G1627" s="17" t="str">
        <f>"LBL ORG MOLLIE STONES Vinegar 12/16oz"</f>
        <v>LBL ORG MOLLIE STONES Vinegar 12/16oz</v>
      </c>
      <c r="H1627" s="18" t="str">
        <f t="shared" si="171"/>
        <v>LABELS</v>
      </c>
      <c r="I1627" s="19">
        <v>12</v>
      </c>
      <c r="J1627" s="20">
        <v>12</v>
      </c>
    </row>
    <row r="1628" spans="1:10" ht="15.75" thickBot="1" x14ac:dyDescent="0.3">
      <c r="A1628" t="s">
        <v>31</v>
      </c>
      <c r="B1628" s="15" t="str">
        <f>"""Manzana NAV"",""MANZANA"",""99000772"",""44"","" "",""22"",""False"",""43"",""0.00000000000000000000"",""12"",""LBL ORG N.COAST Berry Apple Sauce 12/24oz"",""50220"",""False"",""29"","""",""50210"",""False"",""18"","""",""11"",""LS0121"",""2"",""30000"",""1"",""FS0121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Berry Apple Sauce 12/24oz","50220","False","29","","50210","False","18","","11","LS0121","2","30000","1","FS0121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8" s="15"/>
      <c r="D1628" s="16" t="str">
        <f>"FS0121"</f>
        <v>FS0121</v>
      </c>
      <c r="E1628" s="16">
        <v>30000</v>
      </c>
      <c r="F1628" s="16" t="str">
        <f>"LS0121"</f>
        <v>LS0121</v>
      </c>
      <c r="G1628" s="17" t="str">
        <f>"LBL ORG N.COAST Berry Apple Sauce 12/24oz"</f>
        <v>LBL ORG N.COAST Berry Apple Sauce 12/24oz</v>
      </c>
      <c r="H1628" s="18" t="str">
        <f t="shared" si="171"/>
        <v>LABELS</v>
      </c>
      <c r="I1628" s="19">
        <v>12</v>
      </c>
      <c r="J1628" s="20">
        <v>12</v>
      </c>
    </row>
    <row r="1629" spans="1:10" ht="15.75" thickBot="1" x14ac:dyDescent="0.3">
      <c r="A1629" t="s">
        <v>31</v>
      </c>
      <c r="B1629" s="15" t="str">
        <f>"""Manzana NAV"",""MANZANA"",""99000772"",""44"","" "",""22"",""False"",""43"",""0.00000000000000000000"",""12"",""LBL ORG N.COAST Blend Juice 24/10oz"",""50220"",""False"",""29"","""",""50210"",""False"",""18"","""",""11"",""LJ0082"",""2"",""30000"",""1"",""FJ0082"",""14"",""24.00000000000000000000"",""45"",""2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Blend Juice 24/10oz","50220","False","29","","50210","False","18","","11","LJ0082","2","30000","1","FJ0082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29" s="15"/>
      <c r="D1629" s="16" t="str">
        <f>"FJ0082"</f>
        <v>FJ0082</v>
      </c>
      <c r="E1629" s="16">
        <v>30000</v>
      </c>
      <c r="F1629" s="16" t="str">
        <f>"LJ0082"</f>
        <v>LJ0082</v>
      </c>
      <c r="G1629" s="17" t="str">
        <f>"LBL ORG N.COAST Blend Juice 24/10oz"</f>
        <v>LBL ORG N.COAST Blend Juice 24/10oz</v>
      </c>
      <c r="H1629" s="18" t="str">
        <f t="shared" si="171"/>
        <v>LABELS</v>
      </c>
      <c r="I1629" s="19">
        <v>24</v>
      </c>
      <c r="J1629" s="20">
        <v>24</v>
      </c>
    </row>
    <row r="1630" spans="1:10" ht="15.75" thickBot="1" x14ac:dyDescent="0.3">
      <c r="A1630" t="s">
        <v>31</v>
      </c>
      <c r="B1630" s="15" t="str">
        <f>"""Manzana NAV"",""MANZANA"",""99000772"",""44"","" "",""22"",""False"",""43"",""0.00000000000000000000"",""12"",""LBL ORG N.COAST Blend Juice 4/128oz"",""50220"",""False"",""29"","""",""50210"",""False"",""18"","""",""11"",""LJ0127"",""2"",""30000"",""1"",""FJ0127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Blend Juice 4/128oz","50220","False","29","","50210","False","18","","11","LJ0127","2","30000","1","FJ0127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30" s="15"/>
      <c r="D1630" s="16" t="str">
        <f>"FJ0127"</f>
        <v>FJ0127</v>
      </c>
      <c r="E1630" s="16">
        <v>30000</v>
      </c>
      <c r="F1630" s="16" t="str">
        <f>"LJ0127"</f>
        <v>LJ0127</v>
      </c>
      <c r="G1630" s="17" t="str">
        <f>"LBL ORG N.COAST Blend Juice 4/128oz"</f>
        <v>LBL ORG N.COAST Blend Juice 4/128oz</v>
      </c>
      <c r="H1630" s="18" t="str">
        <f t="shared" si="171"/>
        <v>LABELS</v>
      </c>
      <c r="I1630" s="19">
        <v>4</v>
      </c>
      <c r="J1630" s="20">
        <v>4</v>
      </c>
    </row>
    <row r="1631" spans="1:10" ht="15.75" thickBot="1" x14ac:dyDescent="0.3">
      <c r="A1631" t="s">
        <v>31</v>
      </c>
      <c r="B1631" s="15" t="str">
        <f>"""Manzana NAV"",""MANZANA"",""99000772"",""44"","" "",""22"",""False"",""43"",""0.00000000000000000000"",""12"",""LBL ORG N.COAST Blend Juice 6/64oz"",""50220"",""False"",""29"","""",""50210"",""False"",""18"","""",""11"",""LJ0045"",""2"",""30000"",""1"",""FJ0045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Blend Juice 6/64oz","50220","False","29","","50210","False","18","","11","LJ0045","2","30000","1","FJ0045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31" s="15"/>
      <c r="D1631" s="16" t="str">
        <f>"FJ0045"</f>
        <v>FJ0045</v>
      </c>
      <c r="E1631" s="16">
        <v>30000</v>
      </c>
      <c r="F1631" s="16" t="str">
        <f>"LJ0045"</f>
        <v>LJ0045</v>
      </c>
      <c r="G1631" s="17" t="str">
        <f>"LBL ORG N.COAST Blend Juice 6/64oz"</f>
        <v>LBL ORG N.COAST Blend Juice 6/64oz</v>
      </c>
      <c r="H1631" s="18" t="str">
        <f t="shared" si="171"/>
        <v>LABELS</v>
      </c>
      <c r="I1631" s="19">
        <v>6</v>
      </c>
      <c r="J1631" s="20">
        <v>6</v>
      </c>
    </row>
    <row r="1632" spans="1:10" ht="15.75" thickBot="1" x14ac:dyDescent="0.3">
      <c r="A1632" t="s">
        <v>31</v>
      </c>
      <c r="B1632" s="15" t="str">
        <f>"""Manzana NAV"",""MANZANA"",""99000772"",""44"","" "",""22"",""False"",""43"",""0.00000000000000000000"",""12"",""LBL ORG N.COAST Cider 6/64oz"",""50220"",""False"",""29"","""",""50210"",""False"",""18"","""",""11"",""LJ0047"",""2"",""30000"",""1"",""FJ0047"",""14"",""6.00000000000000000000"",""45"",""6.0000000"&amp;"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Cider 6/64oz","50220","False","29","","50210","False","18","","11","LJ0047","2","30000","1","FJ0047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32" s="15"/>
      <c r="D1632" s="16" t="str">
        <f>"FJ0047"</f>
        <v>FJ0047</v>
      </c>
      <c r="E1632" s="16">
        <v>30000</v>
      </c>
      <c r="F1632" s="16" t="str">
        <f>"LJ0047"</f>
        <v>LJ0047</v>
      </c>
      <c r="G1632" s="17" t="str">
        <f>"LBL ORG N.COAST Cider 6/64oz"</f>
        <v>LBL ORG N.COAST Cider 6/64oz</v>
      </c>
      <c r="H1632" s="18" t="str">
        <f t="shared" si="171"/>
        <v>LABELS</v>
      </c>
      <c r="I1632" s="19">
        <v>6</v>
      </c>
      <c r="J1632" s="20">
        <v>6</v>
      </c>
    </row>
    <row r="1633" spans="1:10" ht="15.75" thickBot="1" x14ac:dyDescent="0.3">
      <c r="A1633" t="s">
        <v>31</v>
      </c>
      <c r="B1633" s="15" t="str">
        <f>"""Manzana NAV"",""MANZANA"",""99000772"",""44"","" "",""22"",""False"",""43"",""0.00000000000000000000"",""12"",""LBL ORG N.COAST Cinn Apple Sauce 12/24oz"",""50220"",""False"",""29"","""",""50210"",""False"",""18"","""",""11"",""LS0118"",""2"",""30000"",""1"",""FS0118"",""14"",""0.00000000000000000000"",""45"&amp;""",""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Cinn Apple Sauce 12/24oz","50220","False","29","","50210","False","18","","11","LS0118","2","30000","1","FS0118","14","0.00000000000000000000","45","0.00000000000000000000","19","","20","0.00000000000000000000","50000","0.00000000000000000000","50230","False","28","","10","Item","13","LABELS","21","","3","","42","0.00000000000000000000","50200","False","41","0.00000000000000000000"</v>
      </c>
      <c r="C1633" s="15"/>
      <c r="D1633" s="16" t="str">
        <f>"FS0118"</f>
        <v>FS0118</v>
      </c>
      <c r="E1633" s="16">
        <v>30000</v>
      </c>
      <c r="F1633" s="16" t="str">
        <f>"LS0118"</f>
        <v>LS0118</v>
      </c>
      <c r="G1633" s="17" t="str">
        <f>"LBL ORG N.COAST Cinn Apple Sauce 12/24oz"</f>
        <v>LBL ORG N.COAST Cinn Apple Sauce 12/24oz</v>
      </c>
      <c r="H1633" s="18" t="str">
        <f t="shared" si="171"/>
        <v>LABELS</v>
      </c>
      <c r="I1633" s="19">
        <v>0</v>
      </c>
      <c r="J1633" s="20">
        <v>0</v>
      </c>
    </row>
    <row r="1634" spans="1:10" ht="15.75" thickBot="1" x14ac:dyDescent="0.3">
      <c r="A1634" t="s">
        <v>31</v>
      </c>
      <c r="B1634" s="15" t="str">
        <f>"""Manzana NAV"",""MANZANA"",""99000772"",""44"","" "",""22"",""False"",""43"",""0.00000000000000000000"",""12"",""LBL ORG N.COAST Gala Juice 12/32oz"",""50220"",""False"",""29"","""",""50210"",""False"",""18"","""",""11"",""LJ0133"",""2"",""30000"",""1"",""FJ0133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Gala Juice 12/32oz","50220","False","29","","50210","False","18","","11","LJ0133","2","30000","1","FJ0133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4" s="15"/>
      <c r="D1634" s="16" t="str">
        <f>"FJ0133"</f>
        <v>FJ0133</v>
      </c>
      <c r="E1634" s="16">
        <v>30000</v>
      </c>
      <c r="F1634" s="16" t="str">
        <f>"LJ0133"</f>
        <v>LJ0133</v>
      </c>
      <c r="G1634" s="17" t="str">
        <f>"LBL ORG N.COAST Gala Juice 12/32oz"</f>
        <v>LBL ORG N.COAST Gala Juice 12/32oz</v>
      </c>
      <c r="H1634" s="18" t="str">
        <f t="shared" si="171"/>
        <v>LABELS</v>
      </c>
      <c r="I1634" s="19">
        <v>12</v>
      </c>
      <c r="J1634" s="20">
        <v>12</v>
      </c>
    </row>
    <row r="1635" spans="1:10" ht="15.75" thickBot="1" x14ac:dyDescent="0.3">
      <c r="A1635" t="s">
        <v>31</v>
      </c>
      <c r="B1635" s="15" t="str">
        <f>"""Manzana NAV"",""MANZANA"",""99000772"",""44"","" "",""22"",""False"",""43"",""0.00000000000000000000"",""12"",""LBL ORG N.COAST Grape Juice 12/32oz"",""50220"",""False"",""29"","""",""50210"",""False"",""18"","""",""11"",""LJ0083"",""2"",""30000"",""1"",""FJ0083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Grape Juice 12/32oz","50220","False","29","","50210","False","18","","11","LJ0083","2","30000","1","FJ0083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5" s="15"/>
      <c r="D1635" s="16" t="str">
        <f>"FJ0083"</f>
        <v>FJ0083</v>
      </c>
      <c r="E1635" s="16">
        <v>30000</v>
      </c>
      <c r="F1635" s="16" t="str">
        <f>"LJ0083"</f>
        <v>LJ0083</v>
      </c>
      <c r="G1635" s="17" t="str">
        <f>"LBL ORG N.COAST Grape Juice 12/32oz"</f>
        <v>LBL ORG N.COAST Grape Juice 12/32oz</v>
      </c>
      <c r="H1635" s="18" t="str">
        <f t="shared" si="171"/>
        <v>LABELS</v>
      </c>
      <c r="I1635" s="19">
        <v>12</v>
      </c>
      <c r="J1635" s="20">
        <v>12</v>
      </c>
    </row>
    <row r="1636" spans="1:10" ht="15.75" thickBot="1" x14ac:dyDescent="0.3">
      <c r="A1636" t="s">
        <v>31</v>
      </c>
      <c r="B1636" s="15" t="str">
        <f>"""Manzana NAV"",""MANZANA"",""99000772"",""44"","" "",""22"",""False"",""43"",""0.00000000000000000000"",""12"",""LBL ORG N.COAST Grav Apple Sauce 12/24oz"",""50220"",""False"",""29"","""",""50210"",""False"",""18"","""",""11"",""LS0012"",""2"",""30000"",""1"",""FS0012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Grav Apple Sauce 12/24oz","50220","False","29","","50210","False","18","","11","LS0012","2","30000","1","FS0012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6" s="15"/>
      <c r="D1636" s="16" t="str">
        <f>"FS0012"</f>
        <v>FS0012</v>
      </c>
      <c r="E1636" s="16">
        <v>30000</v>
      </c>
      <c r="F1636" s="16" t="str">
        <f>"LS0012"</f>
        <v>LS0012</v>
      </c>
      <c r="G1636" s="17" t="str">
        <f>"LBL ORG N.COAST Grav Apple Sauce 12/24oz"</f>
        <v>LBL ORG N.COAST Grav Apple Sauce 12/24oz</v>
      </c>
      <c r="H1636" s="18" t="str">
        <f t="shared" si="171"/>
        <v>LABELS</v>
      </c>
      <c r="I1636" s="19">
        <v>12</v>
      </c>
      <c r="J1636" s="20">
        <v>12</v>
      </c>
    </row>
    <row r="1637" spans="1:10" ht="15.75" thickBot="1" x14ac:dyDescent="0.3">
      <c r="A1637" t="s">
        <v>31</v>
      </c>
      <c r="B1637" s="15" t="str">
        <f>"""Manzana NAV"",""MANZANA"",""99000772"",""44"","" "",""22"",""False"",""43"",""0.00000000000000000000"",""12"",""LBL ORG N.COAST Grav Juice 12/32oz"",""50220"",""False"",""29"","""",""50210"",""False"",""18"","""",""11"",""LJ0131"",""2"",""30000"",""1"",""FJ0131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Grav Juice 12/32oz","50220","False","29","","50210","False","18","","11","LJ0131","2","30000","1","FJ0131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7" s="15"/>
      <c r="D1637" s="16" t="str">
        <f>"FJ0131"</f>
        <v>FJ0131</v>
      </c>
      <c r="E1637" s="16">
        <v>30000</v>
      </c>
      <c r="F1637" s="16" t="str">
        <f>"LJ0131"</f>
        <v>LJ0131</v>
      </c>
      <c r="G1637" s="17" t="str">
        <f>"LBL ORG N.COAST Grav Juice 12/32oz"</f>
        <v>LBL ORG N.COAST Grav Juice 12/32oz</v>
      </c>
      <c r="H1637" s="18" t="str">
        <f t="shared" si="171"/>
        <v>LABELS</v>
      </c>
      <c r="I1637" s="19">
        <v>12</v>
      </c>
      <c r="J1637" s="20">
        <v>12</v>
      </c>
    </row>
    <row r="1638" spans="1:10" ht="15.75" thickBot="1" x14ac:dyDescent="0.3">
      <c r="A1638" t="s">
        <v>31</v>
      </c>
      <c r="B1638" s="15" t="str">
        <f>"""Manzana NAV"",""MANZANA"",""99000772"",""44"","" "",""22"",""False"",""43"",""0.00000000000000000000"",""12"",""LBL ORG N.COAST Pear Juice 12/32oz"",""50220"",""False"",""29"","""",""50210"",""False"",""18"","""",""11"",""LJ0132"",""2"",""30000"",""1"",""FJ0132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Pear Juice 12/32oz","50220","False","29","","50210","False","18","","11","LJ0132","2","30000","1","FJ0132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8" s="15"/>
      <c r="D1638" s="16" t="str">
        <f>"FJ0132"</f>
        <v>FJ0132</v>
      </c>
      <c r="E1638" s="16">
        <v>30000</v>
      </c>
      <c r="F1638" s="16" t="str">
        <f>"LJ0132"</f>
        <v>LJ0132</v>
      </c>
      <c r="G1638" s="17" t="str">
        <f>"LBL ORG N.COAST Pear Juice 12/32oz"</f>
        <v>LBL ORG N.COAST Pear Juice 12/32oz</v>
      </c>
      <c r="H1638" s="18" t="str">
        <f t="shared" ref="H1638:H1701" si="172">"LABELS"</f>
        <v>LABELS</v>
      </c>
      <c r="I1638" s="19">
        <v>12</v>
      </c>
      <c r="J1638" s="20">
        <v>12</v>
      </c>
    </row>
    <row r="1639" spans="1:10" ht="15.75" thickBot="1" x14ac:dyDescent="0.3">
      <c r="A1639" t="s">
        <v>31</v>
      </c>
      <c r="B1639" s="15" t="str">
        <f>"""Manzana NAV"",""MANZANA"",""99000772"",""44"","" "",""22"",""False"",""43"",""0.00000000000000000000"",""12"",""LBL ORG N.COAST Spiced Cider 12/32oz"",""50220"",""False"",""29"","""",""50210"",""False"",""18"","""",""11"",""LJ0145"",""2"",""5000"",""1"",""FJ0145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Spiced Cider 12/32oz","50220","False","29","","50210","False","18","","11","LJ0145","2","5000","1","FJ0145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9" s="15"/>
      <c r="D1639" s="16" t="str">
        <f>"FJ0145"</f>
        <v>FJ0145</v>
      </c>
      <c r="E1639" s="16">
        <v>5000</v>
      </c>
      <c r="F1639" s="16" t="str">
        <f>"LJ0145"</f>
        <v>LJ0145</v>
      </c>
      <c r="G1639" s="17" t="str">
        <f>"LBL ORG N.COAST Spiced Cider 12/32oz"</f>
        <v>LBL ORG N.COAST Spiced Cider 12/32oz</v>
      </c>
      <c r="H1639" s="18" t="str">
        <f t="shared" si="172"/>
        <v>LABELS</v>
      </c>
      <c r="I1639" s="19">
        <v>12</v>
      </c>
      <c r="J1639" s="20">
        <v>12</v>
      </c>
    </row>
    <row r="1640" spans="1:10" ht="15.75" thickBot="1" x14ac:dyDescent="0.3">
      <c r="A1640" t="s">
        <v>31</v>
      </c>
      <c r="B1640" s="15" t="str">
        <f>"""Manzana NAV"",""MANZANA"",""99000772"",""44"","" "",""22"",""False"",""43"",""0.00000000000000000000"",""12"",""LBL ORG N.COAST Spiced Cider 6/64oz"",""50220"",""False"",""29"","""",""50210"",""False"",""18"","""",""11"",""LJ0081"",""2"",""30000"",""1"",""FJ0081"",""14"",""6.00000000000000000000"",""45"",""6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Spiced Cider 6/64oz","50220","False","29","","50210","False","18","","11","LJ0081","2","30000","1","FJ0081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40" s="15"/>
      <c r="D1640" s="16" t="str">
        <f>"FJ0081"</f>
        <v>FJ0081</v>
      </c>
      <c r="E1640" s="16">
        <v>30000</v>
      </c>
      <c r="F1640" s="16" t="str">
        <f>"LJ0081"</f>
        <v>LJ0081</v>
      </c>
      <c r="G1640" s="17" t="str">
        <f>"LBL ORG N.COAST Spiced Cider 6/64oz"</f>
        <v>LBL ORG N.COAST Spiced Cider 6/64oz</v>
      </c>
      <c r="H1640" s="18" t="str">
        <f t="shared" si="172"/>
        <v>LABELS</v>
      </c>
      <c r="I1640" s="19">
        <v>6</v>
      </c>
      <c r="J1640" s="20">
        <v>6</v>
      </c>
    </row>
    <row r="1641" spans="1:10" ht="15.75" thickBot="1" x14ac:dyDescent="0.3">
      <c r="A1641" t="s">
        <v>31</v>
      </c>
      <c r="B1641" s="15" t="str">
        <f>"""Manzana NAV"",""MANZANA"",""99000772"",""44"","" "",""22"",""False"",""43"",""0.00000000000000000000"",""12"",""LBL ORG N.COAST Vinegar 12/32oz"",""50220"",""False"",""29"","""",""50210"",""False"",""18"","""",""11"",""LV0011"",""2"",""20000"",""1"",""FV0011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Vinegar 12/32oz","50220","False","29","","50210","False","18","","11","LV0011","2","20000","1","FV0011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1" s="15"/>
      <c r="D1641" s="16" t="str">
        <f>"FV0011"</f>
        <v>FV0011</v>
      </c>
      <c r="E1641" s="16">
        <v>20000</v>
      </c>
      <c r="F1641" s="16" t="str">
        <f>"LV0011"</f>
        <v>LV0011</v>
      </c>
      <c r="G1641" s="17" t="str">
        <f>"LBL ORG N.COAST Vinegar 12/32oz"</f>
        <v>LBL ORG N.COAST Vinegar 12/32oz</v>
      </c>
      <c r="H1641" s="18" t="str">
        <f t="shared" si="172"/>
        <v>LABELS</v>
      </c>
      <c r="I1641" s="19">
        <v>12</v>
      </c>
      <c r="J1641" s="20">
        <v>12</v>
      </c>
    </row>
    <row r="1642" spans="1:10" ht="15.75" thickBot="1" x14ac:dyDescent="0.3">
      <c r="A1642" t="s">
        <v>31</v>
      </c>
      <c r="B1642" s="15" t="str">
        <f>"""Manzana NAV"",""MANZANA"",""99000772"",""44"","" "",""22"",""False"",""43"",""0.00000000000000000000"",""12"",""LBL ORG NANA MAES Blackberry Apple Sauce 12/24oz"",""50220"",""False"",""29"","""",""50210"",""False"",""18"","""",""11"",""LS0113"",""2"",""30000"",""1"",""FS0113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Blackberry Apple Sauce 12/24oz","50220","False","29","","50210","False","18","","11","LS0113","2","30000","1","FS0113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2" s="15"/>
      <c r="D1642" s="16" t="str">
        <f>"FS0113"</f>
        <v>FS0113</v>
      </c>
      <c r="E1642" s="16">
        <v>30000</v>
      </c>
      <c r="F1642" s="16" t="str">
        <f>"LS0113"</f>
        <v>LS0113</v>
      </c>
      <c r="G1642" s="17" t="str">
        <f>"LBL ORG NANA MAES Blackberry Apple Sauce 12/24oz"</f>
        <v>LBL ORG NANA MAES Blackberry Apple Sauce 12/24oz</v>
      </c>
      <c r="H1642" s="18" t="str">
        <f t="shared" si="172"/>
        <v>LABELS</v>
      </c>
      <c r="I1642" s="19">
        <v>12</v>
      </c>
      <c r="J1642" s="20">
        <v>12</v>
      </c>
    </row>
    <row r="1643" spans="1:10" ht="15.75" thickBot="1" x14ac:dyDescent="0.3">
      <c r="A1643" t="s">
        <v>31</v>
      </c>
      <c r="B1643" s="15" t="str">
        <f>"""Manzana NAV"",""MANZANA"",""99000772"",""44"","" "",""22"",""False"",""43"",""0.00000000000000000000"",""12"",""LBL ORG NANA MAES Blackberry Apple Sauce 12/24oz"",""50220"",""False"",""29"","""",""50210"",""False"",""18"","""",""11"",""LS0113"",""2"",""30000"",""1"",""FS0113B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Blackberry Apple Sauce 12/24oz","50220","False","29","","50210","False","18","","11","LS0113","2","30000","1","FS0113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3" s="15"/>
      <c r="D1643" s="16" t="str">
        <f>"FS0113B"</f>
        <v>FS0113B</v>
      </c>
      <c r="E1643" s="16">
        <v>30000</v>
      </c>
      <c r="F1643" s="16" t="str">
        <f>"LS0113"</f>
        <v>LS0113</v>
      </c>
      <c r="G1643" s="17" t="str">
        <f>"LBL ORG NANA MAES Blackberry Apple Sauce 12/24oz"</f>
        <v>LBL ORG NANA MAES Blackberry Apple Sauce 12/24oz</v>
      </c>
      <c r="H1643" s="18" t="str">
        <f t="shared" si="172"/>
        <v>LABELS</v>
      </c>
      <c r="I1643" s="19">
        <v>12</v>
      </c>
      <c r="J1643" s="20">
        <v>12</v>
      </c>
    </row>
    <row r="1644" spans="1:10" ht="15.75" thickBot="1" x14ac:dyDescent="0.3">
      <c r="A1644" t="s">
        <v>31</v>
      </c>
      <c r="B1644" s="15" t="str">
        <f>"""Manzana NAV"",""MANZANA"",""99000772"",""44"","" "",""22"",""False"",""43"",""0.00000000000000000000"",""12"",""LBL ORG NANA MAES Blend Juice 12/32oz"",""50220"",""False"",""29"","""",""50210"",""False"",""18"","""",""11"",""LJ0051"",""2"",""30000"",""1"",""FJ0050B"",""14"",""24.00000000000000000000"",""45"""&amp;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12/32oz","50220","False","29","","50210","False","18","","11","LJ0051","2","30000","1","FJ0050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44" s="15"/>
      <c r="D1644" s="16" t="str">
        <f>"FJ0050B"</f>
        <v>FJ0050B</v>
      </c>
      <c r="E1644" s="16">
        <v>30000</v>
      </c>
      <c r="F1644" s="16" t="str">
        <f>"LJ0051"</f>
        <v>LJ0051</v>
      </c>
      <c r="G1644" s="17" t="str">
        <f>"LBL ORG NANA MAES Blend Juice 12/32oz"</f>
        <v>LBL ORG NANA MAES Blend Juice 12/32oz</v>
      </c>
      <c r="H1644" s="18" t="str">
        <f t="shared" si="172"/>
        <v>LABELS</v>
      </c>
      <c r="I1644" s="19">
        <v>24</v>
      </c>
      <c r="J1644" s="20">
        <v>24</v>
      </c>
    </row>
    <row r="1645" spans="1:10" ht="15.75" thickBot="1" x14ac:dyDescent="0.3">
      <c r="A1645" t="s">
        <v>31</v>
      </c>
      <c r="B1645" s="15" t="str">
        <f>"""Manzana NAV"",""MANZANA"",""99000772"",""44"","" "",""22"",""False"",""43"",""0.00000000000000000000"",""12"",""LBL ORG NANA MAES Blend Juice 4/128oz"",""50220"",""False"",""29"","""",""50210"",""False"",""18"","""",""11"",""LJ0115"",""2"",""30000"",""1"",""FJ0115"",""14"",""4.00000000000000000000"",""45"",""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4/128oz","50220","False","29","","50210","False","18","","11","LJ0115","2","30000","1","FJ0115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45" s="15"/>
      <c r="D1645" s="16" t="str">
        <f>"FJ0115"</f>
        <v>FJ0115</v>
      </c>
      <c r="E1645" s="16">
        <v>30000</v>
      </c>
      <c r="F1645" s="16" t="str">
        <f>"LJ0115"</f>
        <v>LJ0115</v>
      </c>
      <c r="G1645" s="17" t="str">
        <f>"LBL ORG NANA MAES Blend Juice 4/128oz"</f>
        <v>LBL ORG NANA MAES Blend Juice 4/128oz</v>
      </c>
      <c r="H1645" s="18" t="str">
        <f t="shared" si="172"/>
        <v>LABELS</v>
      </c>
      <c r="I1645" s="19">
        <v>4</v>
      </c>
      <c r="J1645" s="20">
        <v>4</v>
      </c>
    </row>
    <row r="1646" spans="1:10" ht="15.75" thickBot="1" x14ac:dyDescent="0.3">
      <c r="A1646" t="s">
        <v>31</v>
      </c>
      <c r="B1646" s="15" t="str">
        <f>"""Manzana NAV"",""MANZANA"",""99000772"",""44"","" "",""22"",""False"",""43"",""0.00000000000000000000"",""12"",""LBL ORG NANA MAES Blend Juice 4/128oz"",""50220"",""False"",""29"","""",""50210"",""False"",""18"","""",""11"",""LJ0115"",""2"",""30000"",""1"",""FJ0115B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4/128oz","50220","False","29","","50210","False","18","","11","LJ0115","2","30000","1","FJ0115B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46" s="15"/>
      <c r="D1646" s="16" t="str">
        <f>"FJ0115B"</f>
        <v>FJ0115B</v>
      </c>
      <c r="E1646" s="16">
        <v>30000</v>
      </c>
      <c r="F1646" s="16" t="str">
        <f>"LJ0115"</f>
        <v>LJ0115</v>
      </c>
      <c r="G1646" s="17" t="str">
        <f>"LBL ORG NANA MAES Blend Juice 4/128oz"</f>
        <v>LBL ORG NANA MAES Blend Juice 4/128oz</v>
      </c>
      <c r="H1646" s="18" t="str">
        <f t="shared" si="172"/>
        <v>LABELS</v>
      </c>
      <c r="I1646" s="19">
        <v>4</v>
      </c>
      <c r="J1646" s="20">
        <v>4</v>
      </c>
    </row>
    <row r="1647" spans="1:10" ht="15.75" thickBot="1" x14ac:dyDescent="0.3">
      <c r="A1647" t="s">
        <v>31</v>
      </c>
      <c r="B1647" s="15" t="str">
        <f>"""Manzana NAV"",""MANZANA"",""99000772"",""44"","" "",""22"",""False"",""43"",""0.00000000000000000000"",""12"",""LBL ORG NANA MAES Blend Juice 6/64oz"",""50220"",""False"",""29"","""",""50210"",""False"",""18"","""",""11"",""LJ0114"",""2"",""30000"",""1"",""FJ0114"",""14"",""6.00000000000000000000"",""45"",""6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6/64oz","50220","False","29","","50210","False","18","","11","LJ0114","2","30000","1","FJ0114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47" s="15"/>
      <c r="D1647" s="16" t="str">
        <f>"FJ0114"</f>
        <v>FJ0114</v>
      </c>
      <c r="E1647" s="16">
        <v>30000</v>
      </c>
      <c r="F1647" s="16" t="str">
        <f>"LJ0114"</f>
        <v>LJ0114</v>
      </c>
      <c r="G1647" s="17" t="str">
        <f>"LBL ORG NANA MAES Blend Juice 6/64oz"</f>
        <v>LBL ORG NANA MAES Blend Juice 6/64oz</v>
      </c>
      <c r="H1647" s="18" t="str">
        <f t="shared" si="172"/>
        <v>LABELS</v>
      </c>
      <c r="I1647" s="19">
        <v>6</v>
      </c>
      <c r="J1647" s="20">
        <v>6</v>
      </c>
    </row>
    <row r="1648" spans="1:10" ht="15.75" thickBot="1" x14ac:dyDescent="0.3">
      <c r="A1648" t="s">
        <v>31</v>
      </c>
      <c r="B1648" s="15" t="str">
        <f>"""Manzana NAV"",""MANZANA"",""99000772"",""44"","" "",""22"",""False"",""43"",""0.00000000000000000000"",""12"",""LBL ORG NANA MAES Blend Juice 6/64oz"",""50220"",""False"",""29"","""",""50210"",""False"",""18"","""",""11"",""LJ0114"",""2"",""30000"",""1"",""FJ0114B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6/64oz","50220","False","29","","50210","False","18","","11","LJ0114","2","30000","1","FJ0114B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48" s="15"/>
      <c r="D1648" s="16" t="str">
        <f>"FJ0114B"</f>
        <v>FJ0114B</v>
      </c>
      <c r="E1648" s="16">
        <v>30000</v>
      </c>
      <c r="F1648" s="16" t="str">
        <f>"LJ0114"</f>
        <v>LJ0114</v>
      </c>
      <c r="G1648" s="17" t="str">
        <f>"LBL ORG NANA MAES Blend Juice 6/64oz"</f>
        <v>LBL ORG NANA MAES Blend Juice 6/64oz</v>
      </c>
      <c r="H1648" s="18" t="str">
        <f t="shared" si="172"/>
        <v>LABELS</v>
      </c>
      <c r="I1648" s="19">
        <v>6</v>
      </c>
      <c r="J1648" s="20">
        <v>6</v>
      </c>
    </row>
    <row r="1649" spans="1:10" ht="15.75" thickBot="1" x14ac:dyDescent="0.3">
      <c r="A1649" t="s">
        <v>31</v>
      </c>
      <c r="B1649" s="15" t="str">
        <f>"""Manzana NAV"",""MANZANA"",""99000772"",""44"","" "",""22"",""False"",""43"",""0.00000000000000000000"",""12"",""LBL ORG NANA MAES Cinn Apple Sauce 12/24oz"",""50220"",""False"",""29"","""",""50210"",""False"",""18"","""",""11"",""LS0068"",""2"",""30000"",""1"",""FS0068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Cinn Apple Sauce 12/24oz","50220","False","29","","50210","False","18","","11","LS0068","2","30000","1","FS0068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9" s="15"/>
      <c r="D1649" s="16" t="str">
        <f>"FS0068"</f>
        <v>FS0068</v>
      </c>
      <c r="E1649" s="16">
        <v>30000</v>
      </c>
      <c r="F1649" s="16" t="str">
        <f>"LS0068"</f>
        <v>LS0068</v>
      </c>
      <c r="G1649" s="17" t="str">
        <f>"LBL ORG NANA MAES Cinn Apple Sauce 12/24oz"</f>
        <v>LBL ORG NANA MAES Cinn Apple Sauce 12/24oz</v>
      </c>
      <c r="H1649" s="18" t="str">
        <f t="shared" si="172"/>
        <v>LABELS</v>
      </c>
      <c r="I1649" s="19">
        <v>12</v>
      </c>
      <c r="J1649" s="20">
        <v>12</v>
      </c>
    </row>
    <row r="1650" spans="1:10" ht="15.75" thickBot="1" x14ac:dyDescent="0.3">
      <c r="A1650" t="s">
        <v>31</v>
      </c>
      <c r="B1650" s="15" t="str">
        <f>"""Manzana NAV"",""MANZANA"",""99000772"",""44"","" "",""22"",""False"",""43"",""0.00000000000000000000"",""12"",""LBL ORG NANA MAES Cinn Apple Sauce 12/24oz"",""50220"",""False"",""29"","""",""50210"",""False"",""18"","""",""11"",""LS0068"",""2"",""30000"",""1"",""FS0068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Cinn Apple Sauce 12/24oz","50220","False","29","","50210","False","18","","11","LS0068","2","30000","1","FS0068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0" s="15"/>
      <c r="D1650" s="16" t="str">
        <f>"FS0068B"</f>
        <v>FS0068B</v>
      </c>
      <c r="E1650" s="16">
        <v>30000</v>
      </c>
      <c r="F1650" s="16" t="str">
        <f>"LS0068"</f>
        <v>LS0068</v>
      </c>
      <c r="G1650" s="17" t="str">
        <f>"LBL ORG NANA MAES Cinn Apple Sauce 12/24oz"</f>
        <v>LBL ORG NANA MAES Cinn Apple Sauce 12/24oz</v>
      </c>
      <c r="H1650" s="18" t="str">
        <f t="shared" si="172"/>
        <v>LABELS</v>
      </c>
      <c r="I1650" s="19">
        <v>12</v>
      </c>
      <c r="J1650" s="20">
        <v>12</v>
      </c>
    </row>
    <row r="1651" spans="1:10" ht="15.75" thickBot="1" x14ac:dyDescent="0.3">
      <c r="A1651" t="s">
        <v>31</v>
      </c>
      <c r="B1651" s="15" t="str">
        <f>"""Manzana NAV"",""MANZANA"",""99000772"",""44"","" "",""22"",""False"",""43"",""0.00000000000000000000"",""12"",""LBL ORG NANA MAES Grav Apple Sauce 12/24oz"",""50220"",""False"",""29"","""",""50210"",""False"",""18"","""",""11"",""LS0067"",""2"",""30000"",""1"",""FS0067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Apple Sauce 12/24oz","50220","False","29","","50210","False","18","","11","LS0067","2","30000","1","FS0067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1" s="15"/>
      <c r="D1651" s="16" t="str">
        <f>"FS0067B"</f>
        <v>FS0067B</v>
      </c>
      <c r="E1651" s="16">
        <v>30000</v>
      </c>
      <c r="F1651" s="16" t="str">
        <f>"LS0067"</f>
        <v>LS0067</v>
      </c>
      <c r="G1651" s="17" t="str">
        <f>"LBL ORG NANA MAES Grav Apple Sauce 12/24oz"</f>
        <v>LBL ORG NANA MAES Grav Apple Sauce 12/24oz</v>
      </c>
      <c r="H1651" s="18" t="str">
        <f t="shared" si="172"/>
        <v>LABELS</v>
      </c>
      <c r="I1651" s="19">
        <v>12</v>
      </c>
      <c r="J1651" s="20">
        <v>12</v>
      </c>
    </row>
    <row r="1652" spans="1:10" ht="15.75" thickBot="1" x14ac:dyDescent="0.3">
      <c r="A1652" t="s">
        <v>31</v>
      </c>
      <c r="B1652" s="15" t="str">
        <f>"""Manzana NAV"",""MANZANA"",""99000772"",""44"","" "",""22"",""False"",""43"",""0.00000000000000000000"",""12"",""LBL ORG NANA MAE'S Grav Apple Sauce 12/24oz"",""50220"",""False"",""29"","""",""50210"",""False"",""18"","""",""11"",""LS0067"",""2"",""30000"",""1"",""FS0067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MAE'S Grav Apple Sauce 12/24oz","50220","False","29","","50210","False","18","","11","LS0067","2","30000","1","FS0067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2" s="15"/>
      <c r="D1652" s="16" t="str">
        <f>"FS0067"</f>
        <v>FS0067</v>
      </c>
      <c r="E1652" s="16">
        <v>30000</v>
      </c>
      <c r="F1652" s="16" t="str">
        <f>"LS0067"</f>
        <v>LS0067</v>
      </c>
      <c r="G1652" s="17" t="str">
        <f>"LBL ORG NANA MAE'S Grav Apple Sauce 12/24oz"</f>
        <v>LBL ORG NANA MAE'S Grav Apple Sauce 12/24oz</v>
      </c>
      <c r="H1652" s="18" t="str">
        <f t="shared" si="172"/>
        <v>LABELS</v>
      </c>
      <c r="I1652" s="19">
        <v>12</v>
      </c>
      <c r="J1652" s="20">
        <v>12</v>
      </c>
    </row>
    <row r="1653" spans="1:10" ht="15.75" thickBot="1" x14ac:dyDescent="0.3">
      <c r="A1653" t="s">
        <v>31</v>
      </c>
      <c r="B1653" s="15" t="str">
        <f>"""Manzana NAV"",""MANZANA"",""99000772"",""44"","" "",""22"",""False"",""43"",""0.00000000000000000000"",""12"",""LBL ORG NANA MAES Grav Juice 12/32oz"",""50220"",""False"",""29"","""",""50210"",""False"",""18"","""",""11"",""LJ0052"",""2"",""30000"",""1"",""FJ0052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12/32oz","50220","False","29","","50210","False","18","","11","LJ0052","2","30000","1","FJ0052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3" s="15"/>
      <c r="D1653" s="16" t="str">
        <f>"FJ0052"</f>
        <v>FJ0052</v>
      </c>
      <c r="E1653" s="16">
        <v>30000</v>
      </c>
      <c r="F1653" s="16" t="str">
        <f>"LJ0052"</f>
        <v>LJ0052</v>
      </c>
      <c r="G1653" s="17" t="str">
        <f>"LBL ORG NANA MAES Grav Juice 12/32oz"</f>
        <v>LBL ORG NANA MAES Grav Juice 12/32oz</v>
      </c>
      <c r="H1653" s="18" t="str">
        <f t="shared" si="172"/>
        <v>LABELS</v>
      </c>
      <c r="I1653" s="19">
        <v>12</v>
      </c>
      <c r="J1653" s="20">
        <v>12</v>
      </c>
    </row>
    <row r="1654" spans="1:10" ht="15.75" thickBot="1" x14ac:dyDescent="0.3">
      <c r="A1654" t="s">
        <v>31</v>
      </c>
      <c r="B1654" s="15" t="str">
        <f>"""Manzana NAV"",""MANZANA"",""99000772"",""44"","" "",""22"",""False"",""43"",""0.00000000000000000000"",""12"",""LBL ORG NANA MAES Grav Juice 12/32oz"",""50220"",""False"",""29"","""",""50210"",""False"",""18"","""",""11"",""LJ0052"",""2"",""30000"",""1"",""FJ0052B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12/32oz","50220","False","29","","50210","False","18","","11","LJ0052","2","30000","1","FJ0052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4" s="15"/>
      <c r="D1654" s="16" t="str">
        <f>"FJ0052B"</f>
        <v>FJ0052B</v>
      </c>
      <c r="E1654" s="16">
        <v>30000</v>
      </c>
      <c r="F1654" s="16" t="str">
        <f>"LJ0052"</f>
        <v>LJ0052</v>
      </c>
      <c r="G1654" s="17" t="str">
        <f>"LBL ORG NANA MAES Grav Juice 12/32oz"</f>
        <v>LBL ORG NANA MAES Grav Juice 12/32oz</v>
      </c>
      <c r="H1654" s="18" t="str">
        <f t="shared" si="172"/>
        <v>LABELS</v>
      </c>
      <c r="I1654" s="19">
        <v>12</v>
      </c>
      <c r="J1654" s="20">
        <v>12</v>
      </c>
    </row>
    <row r="1655" spans="1:10" ht="15.75" thickBot="1" x14ac:dyDescent="0.3">
      <c r="A1655" t="s">
        <v>31</v>
      </c>
      <c r="B1655" s="15" t="str">
        <f>"""Manzana NAV"",""MANZANA"",""99000772"",""44"","" "",""22"",""False"",""43"",""0.00000000000000000000"",""12"",""LBL ORG NANA MAES Grav Juice 24/10oz"",""50220"",""False"",""29"","""",""50210"",""False"",""18"","""",""11"",""LJ0112"",""2"",""30000"",""1"",""FJ0112"",""14"",""24.00000000000000000000"",""45"","""&amp;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24/10oz","50220","False","29","","50210","False","18","","11","LJ0112","2","30000","1","FJ0112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55" s="15"/>
      <c r="D1655" s="16" t="str">
        <f>"FJ0112"</f>
        <v>FJ0112</v>
      </c>
      <c r="E1655" s="16">
        <v>30000</v>
      </c>
      <c r="F1655" s="16" t="str">
        <f>"LJ0112"</f>
        <v>LJ0112</v>
      </c>
      <c r="G1655" s="17" t="str">
        <f>"LBL ORG NANA MAES Grav Juice 24/10oz"</f>
        <v>LBL ORG NANA MAES Grav Juice 24/10oz</v>
      </c>
      <c r="H1655" s="18" t="str">
        <f t="shared" si="172"/>
        <v>LABELS</v>
      </c>
      <c r="I1655" s="19">
        <v>24</v>
      </c>
      <c r="J1655" s="20">
        <v>24</v>
      </c>
    </row>
    <row r="1656" spans="1:10" ht="15.75" thickBot="1" x14ac:dyDescent="0.3">
      <c r="A1656" t="s">
        <v>31</v>
      </c>
      <c r="B1656" s="15" t="str">
        <f>"""Manzana NAV"",""MANZANA"",""99000772"",""44"","" "",""22"",""False"",""43"",""0.00000000000000000000"",""12"",""LBL ORG NANA MAES Grav Juice 24/10oz"",""50220"",""False"",""29"","""",""50210"",""False"",""18"","""",""11"",""LJ0112"",""2"",""30000"",""1"",""FJ0112B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24/10oz","50220","False","29","","50210","False","18","","11","LJ0112","2","30000","1","FJ0112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56" s="15"/>
      <c r="D1656" s="16" t="str">
        <f>"FJ0112B"</f>
        <v>FJ0112B</v>
      </c>
      <c r="E1656" s="16">
        <v>30000</v>
      </c>
      <c r="F1656" s="16" t="str">
        <f>"LJ0112"</f>
        <v>LJ0112</v>
      </c>
      <c r="G1656" s="17" t="str">
        <f>"LBL ORG NANA MAES Grav Juice 24/10oz"</f>
        <v>LBL ORG NANA MAES Grav Juice 24/10oz</v>
      </c>
      <c r="H1656" s="18" t="str">
        <f t="shared" si="172"/>
        <v>LABELS</v>
      </c>
      <c r="I1656" s="19">
        <v>24</v>
      </c>
      <c r="J1656" s="20">
        <v>24</v>
      </c>
    </row>
    <row r="1657" spans="1:10" ht="15.75" thickBot="1" x14ac:dyDescent="0.3">
      <c r="A1657" t="s">
        <v>31</v>
      </c>
      <c r="B1657" s="15" t="str">
        <f>"""Manzana NAV"",""MANZANA"",""99000772"",""44"","" "",""22"",""False"",""43"",""0.00000000000000000000"",""12"",""LBL ORG NANA MAES Pear Juice 12/32oz"",""50220"",""False"",""29"","""",""50210"",""False"",""18"","""",""11"",""LJ0053"",""2"",""30000"",""1"",""FJ0053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12/32oz","50220","False","29","","50210","False","18","","11","LJ0053","2","30000","1","FJ0053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7" s="15"/>
      <c r="D1657" s="16" t="str">
        <f>"FJ0053"</f>
        <v>FJ0053</v>
      </c>
      <c r="E1657" s="16">
        <v>30000</v>
      </c>
      <c r="F1657" s="16" t="str">
        <f>"LJ0053"</f>
        <v>LJ0053</v>
      </c>
      <c r="G1657" s="17" t="str">
        <f>"LBL ORG NANA MAES Pear Juice 12/32oz"</f>
        <v>LBL ORG NANA MAES Pear Juice 12/32oz</v>
      </c>
      <c r="H1657" s="18" t="str">
        <f t="shared" si="172"/>
        <v>LABELS</v>
      </c>
      <c r="I1657" s="19">
        <v>12</v>
      </c>
      <c r="J1657" s="20">
        <v>12</v>
      </c>
    </row>
    <row r="1658" spans="1:10" ht="15.75" thickBot="1" x14ac:dyDescent="0.3">
      <c r="A1658" t="s">
        <v>31</v>
      </c>
      <c r="B1658" s="15" t="str">
        <f>"""Manzana NAV"",""MANZANA"",""99000772"",""44"","" "",""22"",""False"",""43"",""0.00000000000000000000"",""12"",""LBL ORG NANA MAES Pear Juice 12/32oz"",""50220"",""False"",""29"","""",""50210"",""False"",""18"","""",""11"",""LJ0053"",""2"",""30000"",""1"",""FJ0053B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12/32oz","50220","False","29","","50210","False","18","","11","LJ0053","2","30000","1","FJ0053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8" s="15"/>
      <c r="D1658" s="16" t="str">
        <f>"FJ0053B"</f>
        <v>FJ0053B</v>
      </c>
      <c r="E1658" s="16">
        <v>30000</v>
      </c>
      <c r="F1658" s="16" t="str">
        <f>"LJ0053"</f>
        <v>LJ0053</v>
      </c>
      <c r="G1658" s="17" t="str">
        <f>"LBL ORG NANA MAES Pear Juice 12/32oz"</f>
        <v>LBL ORG NANA MAES Pear Juice 12/32oz</v>
      </c>
      <c r="H1658" s="18" t="str">
        <f t="shared" si="172"/>
        <v>LABELS</v>
      </c>
      <c r="I1658" s="19">
        <v>12</v>
      </c>
      <c r="J1658" s="20">
        <v>12</v>
      </c>
    </row>
    <row r="1659" spans="1:10" ht="15.75" thickBot="1" x14ac:dyDescent="0.3">
      <c r="A1659" t="s">
        <v>31</v>
      </c>
      <c r="B1659" s="15" t="str">
        <f>"""Manzana NAV"",""MANZANA"",""99000772"",""44"","" "",""22"",""False"",""43"",""0.00000000000000000000"",""12"",""LBL ORG NANA MAES Pear Juice 24/10oz"",""50220"",""False"",""29"","""",""50210"",""False"",""18"","""",""11"",""LJ0113"",""2"",""30000"",""1"",""FJ0113"",""14"",""24.00000000000000000000"",""45"","""&amp;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24/10oz","50220","False","29","","50210","False","18","","11","LJ0113","2","30000","1","FJ0113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59" s="15"/>
      <c r="D1659" s="16" t="str">
        <f>"FJ0113"</f>
        <v>FJ0113</v>
      </c>
      <c r="E1659" s="16">
        <v>30000</v>
      </c>
      <c r="F1659" s="16" t="str">
        <f>"LJ0113"</f>
        <v>LJ0113</v>
      </c>
      <c r="G1659" s="17" t="str">
        <f>"LBL ORG NANA MAES Pear Juice 24/10oz"</f>
        <v>LBL ORG NANA MAES Pear Juice 24/10oz</v>
      </c>
      <c r="H1659" s="18" t="str">
        <f t="shared" si="172"/>
        <v>LABELS</v>
      </c>
      <c r="I1659" s="19">
        <v>24</v>
      </c>
      <c r="J1659" s="20">
        <v>24</v>
      </c>
    </row>
    <row r="1660" spans="1:10" ht="15.75" thickBot="1" x14ac:dyDescent="0.3">
      <c r="A1660" t="s">
        <v>31</v>
      </c>
      <c r="B1660" s="15" t="str">
        <f>"""Manzana NAV"",""MANZANA"",""99000772"",""44"","" "",""22"",""False"",""43"",""0.00000000000000000000"",""12"",""LBL ORG NANA MAES Pear Juice 24/10oz"",""50220"",""False"",""29"","""",""50210"",""False"",""18"","""",""11"",""LJ0113"",""2"",""30000"",""1"",""FJ0113B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24/10oz","50220","False","29","","50210","False","18","","11","LJ0113","2","30000","1","FJ0113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60" s="15"/>
      <c r="D1660" s="16" t="str">
        <f>"FJ0113B"</f>
        <v>FJ0113B</v>
      </c>
      <c r="E1660" s="16">
        <v>30000</v>
      </c>
      <c r="F1660" s="16" t="str">
        <f>"LJ0113"</f>
        <v>LJ0113</v>
      </c>
      <c r="G1660" s="17" t="str">
        <f>"LBL ORG NANA MAES Pear Juice 24/10oz"</f>
        <v>LBL ORG NANA MAES Pear Juice 24/10oz</v>
      </c>
      <c r="H1660" s="18" t="str">
        <f t="shared" si="172"/>
        <v>LABELS</v>
      </c>
      <c r="I1660" s="19">
        <v>24</v>
      </c>
      <c r="J1660" s="20">
        <v>24</v>
      </c>
    </row>
    <row r="1661" spans="1:10" ht="15.75" thickBot="1" x14ac:dyDescent="0.3">
      <c r="A1661" t="s">
        <v>31</v>
      </c>
      <c r="B1661" s="15" t="str">
        <f>"""Manzana NAV"",""MANZANA"",""99000772"",""44"","" "",""22"",""False"",""43"",""0.00000000000000000000"",""12"",""LBL ORG NANA MAES Vinegar 12/16oz"",""50220"",""False"",""29"","""",""50210"",""False"",""18"","""",""11"",""LV0012"",""2"",""30000"",""1"",""FV0012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16oz","50220","False","29","","50210","False","18","","11","LV0012","2","30000","1","FV0012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1" s="15"/>
      <c r="D1661" s="16" t="str">
        <f>"FV0012"</f>
        <v>FV0012</v>
      </c>
      <c r="E1661" s="16">
        <v>30000</v>
      </c>
      <c r="F1661" s="16" t="str">
        <f>"LV0012"</f>
        <v>LV0012</v>
      </c>
      <c r="G1661" s="17" t="str">
        <f>"LBL ORG NANA MAES Vinegar 12/16oz"</f>
        <v>LBL ORG NANA MAES Vinegar 12/16oz</v>
      </c>
      <c r="H1661" s="18" t="str">
        <f t="shared" si="172"/>
        <v>LABELS</v>
      </c>
      <c r="I1661" s="19">
        <v>12</v>
      </c>
      <c r="J1661" s="20">
        <v>12</v>
      </c>
    </row>
    <row r="1662" spans="1:10" ht="15.75" thickBot="1" x14ac:dyDescent="0.3">
      <c r="A1662" t="s">
        <v>31</v>
      </c>
      <c r="B1662" s="15" t="str">
        <f>"""Manzana NAV"",""MANZANA"",""99000772"",""44"","" "",""22"",""False"",""43"",""0.00000000000000000000"",""12"",""LBL ORG NANA MAES Vinegar 12/16oz"",""50220"",""False"",""29"","""",""50210"",""False"",""18"","""",""11"",""LV0012"",""2"",""30000"",""1"",""FV0012B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16oz","50220","False","29","","50210","False","18","","11","LV0012","2","30000","1","FV0012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2" s="15"/>
      <c r="D1662" s="16" t="str">
        <f>"FV0012B"</f>
        <v>FV0012B</v>
      </c>
      <c r="E1662" s="16">
        <v>30000</v>
      </c>
      <c r="F1662" s="16" t="str">
        <f>"LV0012"</f>
        <v>LV0012</v>
      </c>
      <c r="G1662" s="17" t="str">
        <f>"LBL ORG NANA MAES Vinegar 12/16oz"</f>
        <v>LBL ORG NANA MAES Vinegar 12/16oz</v>
      </c>
      <c r="H1662" s="18" t="str">
        <f t="shared" si="172"/>
        <v>LABELS</v>
      </c>
      <c r="I1662" s="19">
        <v>12</v>
      </c>
      <c r="J1662" s="20">
        <v>12</v>
      </c>
    </row>
    <row r="1663" spans="1:10" ht="15.75" thickBot="1" x14ac:dyDescent="0.3">
      <c r="A1663" t="s">
        <v>31</v>
      </c>
      <c r="B1663" s="15" t="str">
        <f>"""Manzana NAV"",""MANZANA"",""99000772"",""44"","" "",""22"",""False"",""43"",""0.00000000000000000000"",""12"",""LBL ORG NANA MAES Vinegar 12/32oz"",""50220"",""False"",""29"","""",""50210"",""False"",""18"","""",""11"",""LV0013"",""2"",""20000"",""1"",""FV0013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32oz","50220","False","29","","50210","False","18","","11","LV0013","2","20000","1","FV0013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3" s="15"/>
      <c r="D1663" s="16" t="str">
        <f>"FV0013"</f>
        <v>FV0013</v>
      </c>
      <c r="E1663" s="16">
        <v>20000</v>
      </c>
      <c r="F1663" s="16" t="str">
        <f>"LV0013"</f>
        <v>LV0013</v>
      </c>
      <c r="G1663" s="17" t="str">
        <f>"LBL ORG NANA MAES Vinegar 12/32oz"</f>
        <v>LBL ORG NANA MAES Vinegar 12/32oz</v>
      </c>
      <c r="H1663" s="18" t="str">
        <f t="shared" si="172"/>
        <v>LABELS</v>
      </c>
      <c r="I1663" s="19">
        <v>12</v>
      </c>
      <c r="J1663" s="20">
        <v>12</v>
      </c>
    </row>
    <row r="1664" spans="1:10" ht="15.75" thickBot="1" x14ac:dyDescent="0.3">
      <c r="A1664" t="s">
        <v>31</v>
      </c>
      <c r="B1664" s="15" t="str">
        <f>"""Manzana NAV"",""MANZANA"",""99000772"",""44"","" "",""22"",""False"",""43"",""0.00000000000000000000"",""12"",""LBL ORG NANA MAES Vinegar 12/32oz"",""50220"",""False"",""29"","""",""50210"",""False"",""18"","""",""11"",""LV0013"",""2"",""20000"",""1"",""FV0013B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32oz","50220","False","29","","50210","False","18","","11","LV0013","2","20000","1","FV0013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4" s="15"/>
      <c r="D1664" s="16" t="str">
        <f>"FV0013B"</f>
        <v>FV0013B</v>
      </c>
      <c r="E1664" s="16">
        <v>20000</v>
      </c>
      <c r="F1664" s="16" t="str">
        <f>"LV0013"</f>
        <v>LV0013</v>
      </c>
      <c r="G1664" s="17" t="str">
        <f>"LBL ORG NANA MAES Vinegar 12/32oz"</f>
        <v>LBL ORG NANA MAES Vinegar 12/32oz</v>
      </c>
      <c r="H1664" s="18" t="str">
        <f t="shared" si="172"/>
        <v>LABELS</v>
      </c>
      <c r="I1664" s="19">
        <v>12</v>
      </c>
      <c r="J1664" s="20">
        <v>12</v>
      </c>
    </row>
    <row r="1665" spans="1:10" ht="15.75" thickBot="1" x14ac:dyDescent="0.3">
      <c r="A1665" t="s">
        <v>31</v>
      </c>
      <c r="B1665" s="15" t="str">
        <f>"""Manzana NAV"",""MANZANA"",""99000772"",""44"","" "",""22"",""False"",""43"",""0.00000000000000000000"",""12"",""LBL ORG NASH BROS Blend Juice 12/32oz"",""50220"",""False"",""29"","""",""50210"",""False"",""18"","""",""11"",""Z-LJ0054"",""2"",""30000"",""1"",""Z-FJ0054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NASH BROS Blend Juice 12/32oz","50220","False","29","","50210","False","18","","11","Z-LJ0054","2","30000","1","Z-FJ0054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5" s="15"/>
      <c r="D1665" s="16" t="str">
        <f>"Z-FJ0054"</f>
        <v>Z-FJ0054</v>
      </c>
      <c r="E1665" s="16">
        <v>30000</v>
      </c>
      <c r="F1665" s="16" t="str">
        <f>"Z-LJ0054"</f>
        <v>Z-LJ0054</v>
      </c>
      <c r="G1665" s="17" t="str">
        <f>"LBL ORG NASH BROS Blend Juice 12/32oz"</f>
        <v>LBL ORG NASH BROS Blend Juice 12/32oz</v>
      </c>
      <c r="H1665" s="18" t="str">
        <f t="shared" si="172"/>
        <v>LABELS</v>
      </c>
      <c r="I1665" s="19">
        <v>12</v>
      </c>
      <c r="J1665" s="20">
        <v>12</v>
      </c>
    </row>
    <row r="1666" spans="1:10" ht="15.75" thickBot="1" x14ac:dyDescent="0.3">
      <c r="A1666" t="s">
        <v>31</v>
      </c>
      <c r="B1666" s="15" t="str">
        <f>"""Manzana NAV"",""MANZANA"",""99000772"",""44"","" "",""22"",""False"",""43"",""0.00000000000000000000"",""12"",""LBL ORG NASH BROS Cinn Apple Sauce 12/24oz"",""50220"",""False"",""29"","""",""50210"",""False"",""18"","""",""11"",""Z-LS0135"",""2"",""10000"",""1"",""Z-FS0135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NASH BROS Cinn Apple Sauce 12/24oz","50220","False","29","","50210","False","18","","11","Z-LS0135","2","10000","1","Z-FS0135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6" s="15"/>
      <c r="D1666" s="16" t="str">
        <f>"Z-FS0135"</f>
        <v>Z-FS0135</v>
      </c>
      <c r="E1666" s="16">
        <v>10000</v>
      </c>
      <c r="F1666" s="16" t="str">
        <f>"Z-LS0135"</f>
        <v>Z-LS0135</v>
      </c>
      <c r="G1666" s="17" t="str">
        <f>"LBL ORG NASH BROS Cinn Apple Sauce 12/24oz"</f>
        <v>LBL ORG NASH BROS Cinn Apple Sauce 12/24oz</v>
      </c>
      <c r="H1666" s="18" t="str">
        <f t="shared" si="172"/>
        <v>LABELS</v>
      </c>
      <c r="I1666" s="19">
        <v>12</v>
      </c>
      <c r="J1666" s="20">
        <v>12</v>
      </c>
    </row>
    <row r="1667" spans="1:10" ht="15.75" thickBot="1" x14ac:dyDescent="0.3">
      <c r="A1667" t="s">
        <v>31</v>
      </c>
      <c r="B1667" s="15" t="str">
        <f>"""Manzana NAV"",""MANZANA"",""99000772"",""44"","" "",""22"",""False"",""43"",""0.00000000000000000000"",""12"",""LBL ORG NASH BROS Grape Juice 12/32oz"",""50220"",""False"",""29"","""",""50210"",""False"",""18"","""",""11"",""Z-LJ0055"",""2"",""30000"",""1"",""Z-FJ0055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NASH BROS Grape Juice 12/32oz","50220","False","29","","50210","False","18","","11","Z-LJ0055","2","30000","1","Z-FJ0055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7" s="15"/>
      <c r="D1667" s="16" t="str">
        <f>"Z-FJ0055"</f>
        <v>Z-FJ0055</v>
      </c>
      <c r="E1667" s="16">
        <v>30000</v>
      </c>
      <c r="F1667" s="16" t="str">
        <f>"Z-LJ0055"</f>
        <v>Z-LJ0055</v>
      </c>
      <c r="G1667" s="17" t="str">
        <f>"LBL ORG NASH BROS Grape Juice 12/32oz"</f>
        <v>LBL ORG NASH BROS Grape Juice 12/32oz</v>
      </c>
      <c r="H1667" s="18" t="str">
        <f t="shared" si="172"/>
        <v>LABELS</v>
      </c>
      <c r="I1667" s="19">
        <v>12</v>
      </c>
      <c r="J1667" s="20">
        <v>12</v>
      </c>
    </row>
    <row r="1668" spans="1:10" ht="15.75" thickBot="1" x14ac:dyDescent="0.3">
      <c r="A1668" t="s">
        <v>31</v>
      </c>
      <c r="B1668" s="15" t="str">
        <f>"""Manzana NAV"",""MANZANA"",""99000772"",""44"","" "",""22"",""False"",""43"",""0.00000000000000000000"",""12"",""LBL ORG NAT.FOODS Apricot Apple Sauce 12/24oz"",""50220"",""False"",""29"","""",""50210"",""False"",""18"","""",""11"",""LS0120"",""2"",""30000"",""1"",""FS0120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Apricot Apple Sauce 12/24oz","50220","False","29","","50210","False","18","","11","LS0120","2","30000","1","FS0120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8" s="15"/>
      <c r="D1668" s="16" t="str">
        <f>"FS0120"</f>
        <v>FS0120</v>
      </c>
      <c r="E1668" s="16">
        <v>30000</v>
      </c>
      <c r="F1668" s="16" t="str">
        <f>"LS0120"</f>
        <v>LS0120</v>
      </c>
      <c r="G1668" s="17" t="str">
        <f>"LBL ORG NAT.FOODS Apricot Apple Sauce 12/24oz"</f>
        <v>LBL ORG NAT.FOODS Apricot Apple Sauce 12/24oz</v>
      </c>
      <c r="H1668" s="18" t="str">
        <f t="shared" si="172"/>
        <v>LABELS</v>
      </c>
      <c r="I1668" s="19">
        <v>12</v>
      </c>
      <c r="J1668" s="20">
        <v>12</v>
      </c>
    </row>
    <row r="1669" spans="1:10" ht="15.75" thickBot="1" x14ac:dyDescent="0.3">
      <c r="A1669" t="s">
        <v>31</v>
      </c>
      <c r="B1669" s="15" t="str">
        <f>"""Manzana NAV"",""MANZANA"",""99000772"",""44"","" "",""22"",""False"",""43"",""0.00000000000000000000"",""12"",""LBL ORG NAT.FOODS Berry Apple Sauce 12/24oz"",""50220"",""False"",""29"","""",""50210"",""False"",""18"","""",""11"",""LS0119"",""2"",""30000"",""1"",""FS0119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Berry Apple Sauce 12/24oz","50220","False","29","","50210","False","18","","11","LS0119","2","30000","1","FS0119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9" s="15"/>
      <c r="D1669" s="16" t="str">
        <f>"FS0119"</f>
        <v>FS0119</v>
      </c>
      <c r="E1669" s="16">
        <v>30000</v>
      </c>
      <c r="F1669" s="16" t="str">
        <f>"LS0119"</f>
        <v>LS0119</v>
      </c>
      <c r="G1669" s="17" t="str">
        <f>"LBL ORG NAT.FOODS Berry Apple Sauce 12/24oz"</f>
        <v>LBL ORG NAT.FOODS Berry Apple Sauce 12/24oz</v>
      </c>
      <c r="H1669" s="18" t="str">
        <f t="shared" si="172"/>
        <v>LABELS</v>
      </c>
      <c r="I1669" s="19">
        <v>12</v>
      </c>
      <c r="J1669" s="20">
        <v>12</v>
      </c>
    </row>
    <row r="1670" spans="1:10" ht="15.75" thickBot="1" x14ac:dyDescent="0.3">
      <c r="A1670" t="s">
        <v>31</v>
      </c>
      <c r="B1670" s="15" t="str">
        <f>"""Manzana NAV"",""MANZANA"",""99000772"",""44"","" "",""22"",""False"",""43"",""0.00000000000000000000"",""12"",""LBL ORG NAT.FOODS Blend Juice 12/32oz"",""50220"",""False"",""29"","""",""50210"",""False"",""18"","""",""11"",""LJ0056"",""2"",""30000"",""1"",""FJ0056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Blend Juice 12/32oz","50220","False","29","","50210","False","18","","11","LJ0056","2","30000","1","FJ0056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0" s="15"/>
      <c r="D1670" s="16" t="str">
        <f>"FJ0056"</f>
        <v>FJ0056</v>
      </c>
      <c r="E1670" s="16">
        <v>30000</v>
      </c>
      <c r="F1670" s="16" t="str">
        <f>"LJ0056"</f>
        <v>LJ0056</v>
      </c>
      <c r="G1670" s="17" t="str">
        <f>"LBL ORG NAT.FOODS Blend Juice 12/32oz"</f>
        <v>LBL ORG NAT.FOODS Blend Juice 12/32oz</v>
      </c>
      <c r="H1670" s="18" t="str">
        <f t="shared" si="172"/>
        <v>LABELS</v>
      </c>
      <c r="I1670" s="19">
        <v>12</v>
      </c>
      <c r="J1670" s="20">
        <v>12</v>
      </c>
    </row>
    <row r="1671" spans="1:10" ht="15.75" thickBot="1" x14ac:dyDescent="0.3">
      <c r="A1671" t="s">
        <v>31</v>
      </c>
      <c r="B1671" s="15" t="str">
        <f>"""Manzana NAV"",""MANZANA"",""99000772"",""44"","" "",""22"",""False"",""43"",""0.00000000000000000000"",""12"",""LBL ORG NAT.FOODS Grape Juice 12/32oz"",""50220"",""False"",""29"","""",""50210"",""False"",""18"","""",""11"",""LJ0135"",""2"",""30000"",""1"",""FJ0135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Grape Juice 12/32oz","50220","False","29","","50210","False","18","","11","LJ0135","2","30000","1","FJ0135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1" s="15"/>
      <c r="D1671" s="16" t="str">
        <f>"FJ0135"</f>
        <v>FJ0135</v>
      </c>
      <c r="E1671" s="16">
        <v>30000</v>
      </c>
      <c r="F1671" s="16" t="str">
        <f>"LJ0135"</f>
        <v>LJ0135</v>
      </c>
      <c r="G1671" s="17" t="str">
        <f>"LBL ORG NAT.FOODS Grape Juice 12/32oz"</f>
        <v>LBL ORG NAT.FOODS Grape Juice 12/32oz</v>
      </c>
      <c r="H1671" s="18" t="str">
        <f t="shared" si="172"/>
        <v>LABELS</v>
      </c>
      <c r="I1671" s="19">
        <v>12</v>
      </c>
      <c r="J1671" s="20">
        <v>12</v>
      </c>
    </row>
    <row r="1672" spans="1:10" ht="15.75" thickBot="1" x14ac:dyDescent="0.3">
      <c r="A1672" t="s">
        <v>31</v>
      </c>
      <c r="B1672" s="15" t="str">
        <f>"""Manzana NAV"",""MANZANA"",""99000772"",""44"","" "",""22"",""False"",""43"",""0.00000000000000000000"",""12"",""LBL ORG NAT.FOODS Grav Juice 8/48oz"",""50220"",""False"",""29"","""",""50210"",""False"",""18"","""",""11"",""LJ0136"",""2"",""30000"",""1"",""FJ0136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Grav Juice 8/48oz","50220","False","29","","50210","False","18","","11","LJ0136","2","30000","1","FJ0136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2" s="15"/>
      <c r="D1672" s="16" t="str">
        <f>"FJ0136"</f>
        <v>FJ0136</v>
      </c>
      <c r="E1672" s="16">
        <v>30000</v>
      </c>
      <c r="F1672" s="16" t="str">
        <f>"LJ0136"</f>
        <v>LJ0136</v>
      </c>
      <c r="G1672" s="17" t="str">
        <f>"LBL ORG NAT.FOODS Grav Juice 8/48oz"</f>
        <v>LBL ORG NAT.FOODS Grav Juice 8/48oz</v>
      </c>
      <c r="H1672" s="18" t="str">
        <f t="shared" si="172"/>
        <v>LABELS</v>
      </c>
      <c r="I1672" s="19">
        <v>12</v>
      </c>
      <c r="J1672" s="20">
        <v>12</v>
      </c>
    </row>
    <row r="1673" spans="1:10" ht="15.75" thickBot="1" x14ac:dyDescent="0.3">
      <c r="A1673" t="s">
        <v>31</v>
      </c>
      <c r="B1673" s="15" t="str">
        <f>"""Manzana NAV"",""MANZANA"",""99000772"",""44"","" "",""22"",""False"",""43"",""0.00000000000000000000"",""12"",""LBL ORG NAT.FOODS Pear Juice 12/32oz"",""50220"",""False"",""29"","""",""50210"",""False"",""18"","""",""11"",""LJ0137"",""2"",""30000"",""1"",""FJ0137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Pear Juice 12/32oz","50220","False","29","","50210","False","18","","11","LJ0137","2","30000","1","FJ0137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3" s="15"/>
      <c r="D1673" s="16" t="str">
        <f>"FJ0137"</f>
        <v>FJ0137</v>
      </c>
      <c r="E1673" s="16">
        <v>30000</v>
      </c>
      <c r="F1673" s="16" t="str">
        <f>"LJ0137"</f>
        <v>LJ0137</v>
      </c>
      <c r="G1673" s="17" t="str">
        <f>"LBL ORG NAT.FOODS Pear Juice 12/32oz"</f>
        <v>LBL ORG NAT.FOODS Pear Juice 12/32oz</v>
      </c>
      <c r="H1673" s="18" t="str">
        <f t="shared" si="172"/>
        <v>LABELS</v>
      </c>
      <c r="I1673" s="19">
        <v>12</v>
      </c>
      <c r="J1673" s="20">
        <v>12</v>
      </c>
    </row>
    <row r="1674" spans="1:10" ht="15.75" thickBot="1" x14ac:dyDescent="0.3">
      <c r="A1674" t="s">
        <v>31</v>
      </c>
      <c r="B1674" s="15" t="str">
        <f>"""Manzana NAV"",""MANZANA"",""99000772"",""44"","" "",""22"",""False"",""43"",""0.00000000000000000000"",""12"",""LBL ORG NAT.FOODS Pomegr Juice 12/32oz"",""50220"",""False"",""29"","""",""50210"",""False"",""18"","""",""11"",""LJ0134"",""2"",""30000"",""1"",""FJ0134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Pomegr Juice 12/32oz","50220","False","29","","50210","False","18","","11","LJ0134","2","30000","1","FJ0134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4" s="15"/>
      <c r="D1674" s="16" t="str">
        <f>"FJ0134"</f>
        <v>FJ0134</v>
      </c>
      <c r="E1674" s="16">
        <v>30000</v>
      </c>
      <c r="F1674" s="16" t="str">
        <f>"LJ0134"</f>
        <v>LJ0134</v>
      </c>
      <c r="G1674" s="17" t="str">
        <f>"LBL ORG NAT.FOODS Pomegr Juice 12/32oz"</f>
        <v>LBL ORG NAT.FOODS Pomegr Juice 12/32oz</v>
      </c>
      <c r="H1674" s="18" t="str">
        <f t="shared" si="172"/>
        <v>LABELS</v>
      </c>
      <c r="I1674" s="19">
        <v>12</v>
      </c>
      <c r="J1674" s="20">
        <v>12</v>
      </c>
    </row>
    <row r="1675" spans="1:10" ht="15.75" thickBot="1" x14ac:dyDescent="0.3">
      <c r="A1675" t="s">
        <v>31</v>
      </c>
      <c r="B1675" s="15" t="str">
        <f>"""Manzana NAV"",""MANZANA"",""99000772"",""44"","" "",""22"",""False"",""43"",""0.00000000000000000000"",""12"",""LBL ORG NATURAL.DIR Blend Juice 4/128oz"",""50220"",""False"",""29"","""",""50210"",""False"",""18"","""",""11"",""LJ0057"",""2"",""30000"",""1"",""FJ0057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NATURAL.DIR Blend Juice 4/128oz","50220","False","29","","50210","False","18","","11","LJ0057","2","30000","1","FJ0057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75" s="15"/>
      <c r="D1675" s="16" t="str">
        <f>"FJ0057"</f>
        <v>FJ0057</v>
      </c>
      <c r="E1675" s="16">
        <v>30000</v>
      </c>
      <c r="F1675" s="16" t="str">
        <f>"LJ0057"</f>
        <v>LJ0057</v>
      </c>
      <c r="G1675" s="17" t="str">
        <f>"LBL ORG NATURAL.DIR Blend Juice 4/128oz"</f>
        <v>LBL ORG NATURAL.DIR Blend Juice 4/128oz</v>
      </c>
      <c r="H1675" s="18" t="str">
        <f t="shared" si="172"/>
        <v>LABELS</v>
      </c>
      <c r="I1675" s="19">
        <v>4</v>
      </c>
      <c r="J1675" s="20">
        <v>4</v>
      </c>
    </row>
    <row r="1676" spans="1:10" ht="15.75" thickBot="1" x14ac:dyDescent="0.3">
      <c r="A1676" t="s">
        <v>31</v>
      </c>
      <c r="B1676" s="15" t="str">
        <f>"""Manzana NAV"",""MANZANA"",""99000772"",""44"","" "",""22"",""False"",""43"",""0.00000000000000000000"",""12"",""LBL ORG O.FRUIT Blend Juice 12/32oz"",""50220"",""False"",""29"","""",""50210"",""False"",""18"","""",""11"",""LJ0058"",""2"",""30000"",""1"",""FJ0058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O.FRUIT Blend Juice 12/32oz","50220","False","29","","50210","False","18","","11","LJ0058","2","30000","1","FJ0058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6" s="15"/>
      <c r="D1676" s="16" t="str">
        <f>"FJ0058"</f>
        <v>FJ0058</v>
      </c>
      <c r="E1676" s="16">
        <v>30000</v>
      </c>
      <c r="F1676" s="16" t="str">
        <f>"LJ0058"</f>
        <v>LJ0058</v>
      </c>
      <c r="G1676" s="17" t="str">
        <f>"LBL ORG O.FRUIT Blend Juice 12/32oz"</f>
        <v>LBL ORG O.FRUIT Blend Juice 12/32oz</v>
      </c>
      <c r="H1676" s="18" t="str">
        <f t="shared" si="172"/>
        <v>LABELS</v>
      </c>
      <c r="I1676" s="19">
        <v>12</v>
      </c>
      <c r="J1676" s="20">
        <v>12</v>
      </c>
    </row>
    <row r="1677" spans="1:10" ht="15.75" thickBot="1" x14ac:dyDescent="0.3">
      <c r="A1677" t="s">
        <v>31</v>
      </c>
      <c r="B1677" s="15" t="str">
        <f>"""Manzana NAV"",""MANZANA"",""99000772"",""44"","" "",""22"",""False"",""43"",""0.00000000000000000000"",""12"",""LBL ORG PROVVISTA Vinegar 8/64oz (PET)"",""50220"",""False"",""29"","""",""50210"",""False"",""18"","""",""11"",""LV0014"",""2"",""10000"",""1"",""FV0014"",""14"",""8.00000000000000000000"",""45"","&amp;"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PROVVISTA Vinegar 8/64oz (PET)","50220","False","29","","50210","False","18","","11","LV0014","2","10000","1","FV0014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677" s="15"/>
      <c r="D1677" s="16" t="str">
        <f>"FV0014"</f>
        <v>FV0014</v>
      </c>
      <c r="E1677" s="16">
        <v>10000</v>
      </c>
      <c r="F1677" s="16" t="str">
        <f>"LV0014"</f>
        <v>LV0014</v>
      </c>
      <c r="G1677" s="17" t="str">
        <f>"LBL ORG PROVVISTA Vinegar 8/64oz (PET)"</f>
        <v>LBL ORG PROVVISTA Vinegar 8/64oz (PET)</v>
      </c>
      <c r="H1677" s="18" t="str">
        <f t="shared" si="172"/>
        <v>LABELS</v>
      </c>
      <c r="I1677" s="19">
        <v>8</v>
      </c>
      <c r="J1677" s="20">
        <v>8</v>
      </c>
    </row>
    <row r="1678" spans="1:10" ht="15.75" thickBot="1" x14ac:dyDescent="0.3">
      <c r="A1678" t="s">
        <v>31</v>
      </c>
      <c r="B1678" s="15" t="str">
        <f>"""Manzana NAV"",""MANZANA"",""99000772"",""44"","" "",""22"",""False"",""43"",""0.00000000000000000000"",""12"",""LBL ORG S.GOLD Apricot Apple Sauce 12/24oz"",""50220"",""False"",""29"","""",""50210"",""False"",""18"","""",""11"",""LS0071"",""2"",""30000"",""1"",""FS0071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Apricot Apple Sauce 12/24oz","50220","False","29","","50210","False","18","","11","LS0071","2","30000","1","FS0071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8" s="15"/>
      <c r="D1678" s="16" t="str">
        <f>"FS0071"</f>
        <v>FS0071</v>
      </c>
      <c r="E1678" s="16">
        <v>30000</v>
      </c>
      <c r="F1678" s="16" t="str">
        <f>"LS0071"</f>
        <v>LS0071</v>
      </c>
      <c r="G1678" s="17" t="str">
        <f>"LBL ORG S.GOLD Apricot Apple Sauce 12/24oz"</f>
        <v>LBL ORG S.GOLD Apricot Apple Sauce 12/24oz</v>
      </c>
      <c r="H1678" s="18" t="str">
        <f t="shared" si="172"/>
        <v>LABELS</v>
      </c>
      <c r="I1678" s="19">
        <v>12</v>
      </c>
      <c r="J1678" s="20">
        <v>12</v>
      </c>
    </row>
    <row r="1679" spans="1:10" ht="15.75" thickBot="1" x14ac:dyDescent="0.3">
      <c r="A1679" t="s">
        <v>31</v>
      </c>
      <c r="B1679" s="15" t="str">
        <f>"""Manzana NAV"",""MANZANA"",""99000772"",""44"","" "",""22"",""False"",""43"",""0.00000000000000000000"",""12"",""LBL ORG S.GOLD BlackBerry Apple Sauce 12/24oz"",""50220"",""False"",""29"","""",""50210"",""False"",""18"","""",""11"",""LS0073"",""2"",""30000"",""1"",""FS0073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BlackBerry Apple Sauce 12/24oz","50220","False","29","","50210","False","18","","11","LS0073","2","30000","1","FS0073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9" s="15"/>
      <c r="D1679" s="16" t="str">
        <f>"FS0073"</f>
        <v>FS0073</v>
      </c>
      <c r="E1679" s="16">
        <v>30000</v>
      </c>
      <c r="F1679" s="16" t="str">
        <f>"LS0073"</f>
        <v>LS0073</v>
      </c>
      <c r="G1679" s="17" t="str">
        <f>"LBL ORG S.GOLD BlackBerry Apple Sauce 12/24oz"</f>
        <v>LBL ORG S.GOLD BlackBerry Apple Sauce 12/24oz</v>
      </c>
      <c r="H1679" s="18" t="str">
        <f t="shared" si="172"/>
        <v>LABELS</v>
      </c>
      <c r="I1679" s="19">
        <v>12</v>
      </c>
      <c r="J1679" s="20">
        <v>12</v>
      </c>
    </row>
    <row r="1680" spans="1:10" ht="15.75" thickBot="1" x14ac:dyDescent="0.3">
      <c r="A1680" t="s">
        <v>31</v>
      </c>
      <c r="B1680" s="15" t="str">
        <f>"""Manzana NAV"",""MANZANA"",""99000772"",""44"","" "",""22"",""False"",""43"",""0.00000000000000000000"",""12"",""LBL ORG S.GOLD BlackBerry Apple Sauce 12/24oz"",""50220"",""False"",""29"","""",""50210"",""False"",""18"","""",""11"",""LS0073"",""2"",""30000"",""1"",""FS0074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BlackBerry Apple Sauce 12/24oz","50220","False","29","","50210","False","18","","11","LS0073","2","30000","1","FS0074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0" s="15"/>
      <c r="D1680" s="16" t="str">
        <f>"FS0074"</f>
        <v>FS0074</v>
      </c>
      <c r="E1680" s="16">
        <v>30000</v>
      </c>
      <c r="F1680" s="16" t="str">
        <f>"LS0073"</f>
        <v>LS0073</v>
      </c>
      <c r="G1680" s="17" t="str">
        <f>"LBL ORG S.GOLD BlackBerry Apple Sauce 12/24oz"</f>
        <v>LBL ORG S.GOLD BlackBerry Apple Sauce 12/24oz</v>
      </c>
      <c r="H1680" s="18" t="str">
        <f t="shared" si="172"/>
        <v>LABELS</v>
      </c>
      <c r="I1680" s="19">
        <v>12</v>
      </c>
      <c r="J1680" s="20">
        <v>12</v>
      </c>
    </row>
    <row r="1681" spans="1:10" ht="15.75" thickBot="1" x14ac:dyDescent="0.3">
      <c r="A1681" t="s">
        <v>31</v>
      </c>
      <c r="B1681" s="15" t="str">
        <f>"""Manzana NAV"",""MANZANA"",""99000772"",""44"","" "",""22"",""False"",""43"",""0.00000000000000000000"",""12"",""LBL ORG S.GOLD Blend Apple Sauce 12/24oz"",""50220"",""False"",""29"","""",""50210"",""False"",""18"","""",""11"",""LS0069"",""2"",""30000"",""1"",""FS0069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Blend Apple Sauce 12/24oz","50220","False","29","","50210","False","18","","11","LS0069","2","30000","1","FS0069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1" s="15"/>
      <c r="D1681" s="16" t="str">
        <f>"FS0069"</f>
        <v>FS0069</v>
      </c>
      <c r="E1681" s="16">
        <v>30000</v>
      </c>
      <c r="F1681" s="16" t="str">
        <f>"LS0069"</f>
        <v>LS0069</v>
      </c>
      <c r="G1681" s="17" t="str">
        <f>"LBL ORG S.GOLD Blend Apple Sauce 12/24oz"</f>
        <v>LBL ORG S.GOLD Blend Apple Sauce 12/24oz</v>
      </c>
      <c r="H1681" s="18" t="str">
        <f t="shared" si="172"/>
        <v>LABELS</v>
      </c>
      <c r="I1681" s="19">
        <v>12</v>
      </c>
      <c r="J1681" s="20">
        <v>12</v>
      </c>
    </row>
    <row r="1682" spans="1:10" ht="15.75" thickBot="1" x14ac:dyDescent="0.3">
      <c r="A1682" t="s">
        <v>31</v>
      </c>
      <c r="B1682" s="15" t="str">
        <f>"""Manzana NAV"",""MANZANA"",""99000772"",""44"","" "",""22"",""False"",""43"",""0.00000000000000000000"",""12"",""LBL ORG S.GOLD Cinn Apple Sauce 12/24oz"",""50220"",""False"",""29"","""",""50210"",""False"",""18"","""",""11"",""LS0070"",""2"",""30000"",""1"",""FS0070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Cinn Apple Sauce 12/24oz","50220","False","29","","50210","False","18","","11","LS0070","2","30000","1","FS0070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2" s="15"/>
      <c r="D1682" s="16" t="str">
        <f>"FS0070"</f>
        <v>FS0070</v>
      </c>
      <c r="E1682" s="16">
        <v>30000</v>
      </c>
      <c r="F1682" s="16" t="str">
        <f>"LS0070"</f>
        <v>LS0070</v>
      </c>
      <c r="G1682" s="17" t="str">
        <f>"LBL ORG S.GOLD Cinn Apple Sauce 12/24oz"</f>
        <v>LBL ORG S.GOLD Cinn Apple Sauce 12/24oz</v>
      </c>
      <c r="H1682" s="18" t="str">
        <f t="shared" si="172"/>
        <v>LABELS</v>
      </c>
      <c r="I1682" s="19">
        <v>12</v>
      </c>
      <c r="J1682" s="20">
        <v>12</v>
      </c>
    </row>
    <row r="1683" spans="1:10" ht="15.75" thickBot="1" x14ac:dyDescent="0.3">
      <c r="A1683" t="s">
        <v>31</v>
      </c>
      <c r="B1683" s="15" t="str">
        <f>"""Manzana NAV"",""MANZANA"",""99000772"",""44"","" "",""22"",""False"",""43"",""0.00000000000000000000"",""12"",""LBL ORG S.GOLD Grav Apple Sauce 12/24oz"",""50220"",""False"",""29"","""",""50210"",""False"",""18"","""",""11"",""LS0137"",""2"",""10000"",""1"",""FS0137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Grav Apple Sauce 12/24oz","50220","False","29","","50210","False","18","","11","LS0137","2","10000","1","FS0137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3" s="15"/>
      <c r="D1683" s="16" t="str">
        <f>"FS0137"</f>
        <v>FS0137</v>
      </c>
      <c r="E1683" s="16">
        <v>10000</v>
      </c>
      <c r="F1683" s="16" t="str">
        <f>"LS0137"</f>
        <v>LS0137</v>
      </c>
      <c r="G1683" s="17" t="str">
        <f>"LBL ORG S.GOLD Grav Apple Sauce 12/24oz"</f>
        <v>LBL ORG S.GOLD Grav Apple Sauce 12/24oz</v>
      </c>
      <c r="H1683" s="18" t="str">
        <f t="shared" si="172"/>
        <v>LABELS</v>
      </c>
      <c r="I1683" s="19">
        <v>12</v>
      </c>
      <c r="J1683" s="20">
        <v>12</v>
      </c>
    </row>
    <row r="1684" spans="1:10" ht="15.75" thickBot="1" x14ac:dyDescent="0.3">
      <c r="A1684" t="s">
        <v>31</v>
      </c>
      <c r="B1684" s="15" t="str">
        <f>"""Manzana NAV"",""MANZANA"",""99000772"",""44"","" "",""22"",""False"",""43"",""0.00000000000000000000"",""12"",""LBL ORG S.GOLD Peach Apple Sauce 12/24oz"",""50220"",""False"",""29"","""",""50210"",""False"",""18"","""",""11"",""LS0072"",""2"",""15000"",""1"",""FS0072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Peach Apple Sauce 12/24oz","50220","False","29","","50210","False","18","","11","LS0072","2","15000","1","FS0072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4" s="15"/>
      <c r="D1684" s="16" t="str">
        <f>"FS0072"</f>
        <v>FS0072</v>
      </c>
      <c r="E1684" s="16">
        <v>15000</v>
      </c>
      <c r="F1684" s="16" t="str">
        <f>"LS0072"</f>
        <v>LS0072</v>
      </c>
      <c r="G1684" s="17" t="str">
        <f>"LBL ORG S.GOLD Peach Apple Sauce 12/24oz"</f>
        <v>LBL ORG S.GOLD Peach Apple Sauce 12/24oz</v>
      </c>
      <c r="H1684" s="18" t="str">
        <f t="shared" si="172"/>
        <v>LABELS</v>
      </c>
      <c r="I1684" s="19">
        <v>12</v>
      </c>
      <c r="J1684" s="20">
        <v>12</v>
      </c>
    </row>
    <row r="1685" spans="1:10" ht="15.75" thickBot="1" x14ac:dyDescent="0.3">
      <c r="A1685" t="s">
        <v>31</v>
      </c>
      <c r="B1685" s="15" t="str">
        <f>"""Manzana NAV"",""MANZANA"",""99000772"",""44"","" "",""22"",""False"",""43"",""0.00000000000000000000"",""12"",""LBL ORG SAGE VALLEY Blend Juice 4/128oz"",""50220"",""False"",""29"","""",""50210"",""False"",""18"","""",""11"",""LJ0061"",""2"",""30000"",""1"",""FJ0061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SAGE VALLEY Blend Juice 4/128oz","50220","False","29","","50210","False","18","","11","LJ0061","2","30000","1","FJ0061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85" s="15"/>
      <c r="D1685" s="16" t="str">
        <f>"FJ0061"</f>
        <v>FJ0061</v>
      </c>
      <c r="E1685" s="16">
        <v>30000</v>
      </c>
      <c r="F1685" s="16" t="str">
        <f>"LJ0061"</f>
        <v>LJ0061</v>
      </c>
      <c r="G1685" s="17" t="str">
        <f>"LBL ORG SAGE VALLEY Blend Juice 4/128oz"</f>
        <v>LBL ORG SAGE VALLEY Blend Juice 4/128oz</v>
      </c>
      <c r="H1685" s="18" t="str">
        <f t="shared" si="172"/>
        <v>LABELS</v>
      </c>
      <c r="I1685" s="19">
        <v>4</v>
      </c>
      <c r="J1685" s="20">
        <v>4</v>
      </c>
    </row>
    <row r="1686" spans="1:10" ht="15.75" thickBot="1" x14ac:dyDescent="0.3">
      <c r="A1686" t="s">
        <v>31</v>
      </c>
      <c r="B1686" s="15" t="str">
        <f>"""Manzana NAV"",""MANZANA"",""99000772"",""44"","" "",""22"",""False"",""43"",""0.00000000000000000000"",""12"",""LBL ORG SPIRAL Blend Juice 12/32oz"",""50220"",""False"",""29"","""",""50210"",""False"",""18"","""",""11"",""LJ0062"",""2"",""30000"",""1"",""FJ0062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SPIRAL Blend Juice 12/32oz","50220","False","29","","50210","False","18","","11","LJ0062","2","30000","1","FJ0062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6" s="15"/>
      <c r="D1686" s="16" t="str">
        <f>"FJ0062"</f>
        <v>FJ0062</v>
      </c>
      <c r="E1686" s="16">
        <v>30000</v>
      </c>
      <c r="F1686" s="16" t="str">
        <f>"LJ0062"</f>
        <v>LJ0062</v>
      </c>
      <c r="G1686" s="17" t="str">
        <f>"LBL ORG SPIRAL Blend Juice 12/32oz"</f>
        <v>LBL ORG SPIRAL Blend Juice 12/32oz</v>
      </c>
      <c r="H1686" s="18" t="str">
        <f t="shared" si="172"/>
        <v>LABELS</v>
      </c>
      <c r="I1686" s="19">
        <v>12</v>
      </c>
      <c r="J1686" s="20">
        <v>12</v>
      </c>
    </row>
    <row r="1687" spans="1:10" ht="15.75" thickBot="1" x14ac:dyDescent="0.3">
      <c r="A1687" t="s">
        <v>31</v>
      </c>
      <c r="B1687" s="15" t="str">
        <f>"""Manzana NAV"",""MANZANA"",""99000772"",""44"","" "",""22"",""False"",""43"",""0.00000000000000000000"",""12"",""LBL ORG SPIRAL Grape Juice 946mL or 12/32oz"",""50220"",""False"",""29"","""",""50210"",""False"",""18"","""",""11"",""LJ0128"",""2"",""10000"",""1"",""FJ0128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SPIRAL Grape Juice 946mL or 12/32oz","50220","False","29","","50210","False","18","","11","LJ0128","2","10000","1","FJ0128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7" s="15"/>
      <c r="D1687" s="16" t="str">
        <f>"FJ0128"</f>
        <v>FJ0128</v>
      </c>
      <c r="E1687" s="16">
        <v>10000</v>
      </c>
      <c r="F1687" s="16" t="str">
        <f>"LJ0128"</f>
        <v>LJ0128</v>
      </c>
      <c r="G1687" s="17" t="str">
        <f>"LBL ORG SPIRAL Grape Juice 946mL or 12/32oz"</f>
        <v>LBL ORG SPIRAL Grape Juice 946mL or 12/32oz</v>
      </c>
      <c r="H1687" s="18" t="str">
        <f t="shared" si="172"/>
        <v>LABELS</v>
      </c>
      <c r="I1687" s="19">
        <v>12</v>
      </c>
      <c r="J1687" s="20">
        <v>12</v>
      </c>
    </row>
    <row r="1688" spans="1:10" ht="15.75" thickBot="1" x14ac:dyDescent="0.3">
      <c r="A1688" t="s">
        <v>31</v>
      </c>
      <c r="B1688" s="15" t="str">
        <f>"""Manzana NAV"",""MANZANA"",""99000772"",""44"","" "",""22"",""False"",""43"",""0.00000000000000000000"",""12"",""LBL ORG SPROUTS Blend Juice 12/32oz"",""50220"",""False"",""29"","""",""50210"",""False"",""18"","""",""11"",""LJ0064"",""2"",""30000"",""1"",""FJ0064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Blend Juice 12/32oz","50220","False","29","","50210","False","18","","11","LJ0064","2","30000","1","FJ0064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8" s="15"/>
      <c r="D1688" s="16" t="str">
        <f>"FJ0064"</f>
        <v>FJ0064</v>
      </c>
      <c r="E1688" s="16">
        <v>30000</v>
      </c>
      <c r="F1688" s="16" t="str">
        <f>"LJ0064"</f>
        <v>LJ0064</v>
      </c>
      <c r="G1688" s="17" t="str">
        <f>"LBL ORG SPROUTS Blend Juice 12/32oz"</f>
        <v>LBL ORG SPROUTS Blend Juice 12/32oz</v>
      </c>
      <c r="H1688" s="18" t="str">
        <f t="shared" si="172"/>
        <v>LABELS</v>
      </c>
      <c r="I1688" s="19">
        <v>12</v>
      </c>
      <c r="J1688" s="20">
        <v>12</v>
      </c>
    </row>
    <row r="1689" spans="1:10" ht="15.75" thickBot="1" x14ac:dyDescent="0.3">
      <c r="A1689" t="s">
        <v>31</v>
      </c>
      <c r="B1689" s="15" t="str">
        <f>"""Manzana NAV"",""MANZANA"",""99000772"",""44"","" "",""22"",""False"",""43"",""0.00000000000000000000"",""12"",""LBL ORG SPROUTS Blend Juice 4/128oz"",""50220"",""False"",""29"","""",""50210"",""False"",""18"","""",""11"",""LJ0101"",""2"",""20000"",""1"",""FJ0101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Blend Juice 4/128oz","50220","False","29","","50210","False","18","","11","LJ0101","2","20000","1","FJ0101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89" s="15"/>
      <c r="D1689" s="16" t="str">
        <f>"FJ0101"</f>
        <v>FJ0101</v>
      </c>
      <c r="E1689" s="16">
        <v>20000</v>
      </c>
      <c r="F1689" s="16" t="str">
        <f>"LJ0101"</f>
        <v>LJ0101</v>
      </c>
      <c r="G1689" s="17" t="str">
        <f>"LBL ORG SPROUTS Blend Juice 4/128oz"</f>
        <v>LBL ORG SPROUTS Blend Juice 4/128oz</v>
      </c>
      <c r="H1689" s="18" t="str">
        <f t="shared" si="172"/>
        <v>LABELS</v>
      </c>
      <c r="I1689" s="19">
        <v>4</v>
      </c>
      <c r="J1689" s="20">
        <v>4</v>
      </c>
    </row>
    <row r="1690" spans="1:10" ht="15.75" thickBot="1" x14ac:dyDescent="0.3">
      <c r="A1690" t="s">
        <v>31</v>
      </c>
      <c r="B1690" s="15" t="str">
        <f>"""Manzana NAV"",""MANZANA"",""99000772"",""44"","" "",""22"",""False"",""43"",""0.00000000000000000000"",""12"",""LBL ORG SPROUTS Blend Juice 8/64oz (PET)"",""50220"",""False"",""29"","""",""50210"",""False"",""18"","""",""11"",""LJ0073"",""2"",""30000"",""1"",""FJ0073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Blend Juice 8/64oz (PET)","50220","False","29","","50210","False","18","","11","LJ0073","2","30000","1","FJ0073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690" s="15"/>
      <c r="D1690" s="16" t="str">
        <f>"FJ0073"</f>
        <v>FJ0073</v>
      </c>
      <c r="E1690" s="16">
        <v>30000</v>
      </c>
      <c r="F1690" s="16" t="str">
        <f>"LJ0073"</f>
        <v>LJ0073</v>
      </c>
      <c r="G1690" s="17" t="str">
        <f>"LBL ORG SPROUTS Blend Juice 8/64oz (PET)"</f>
        <v>LBL ORG SPROUTS Blend Juice 8/64oz (PET)</v>
      </c>
      <c r="H1690" s="18" t="str">
        <f t="shared" si="172"/>
        <v>LABELS</v>
      </c>
      <c r="I1690" s="19">
        <v>8</v>
      </c>
      <c r="J1690" s="20">
        <v>8</v>
      </c>
    </row>
    <row r="1691" spans="1:10" ht="15.75" thickBot="1" x14ac:dyDescent="0.3">
      <c r="A1691" t="s">
        <v>31</v>
      </c>
      <c r="B1691" s="15" t="str">
        <f>"""Manzana NAV"",""MANZANA"",""99000772"",""44"","" "",""22"",""False"",""43"",""0.00000000000000000000"",""12"",""LBL ORG SPROUTS Grape Juice 12/32oz"",""50220"",""False"",""29"","""",""50210"",""False"",""18"","""",""11"",""LJ0065"",""2"",""30000"",""1"",""FJ0065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Grape Juice 12/32oz","50220","False","29","","50210","False","18","","11","LJ0065","2","30000","1","FJ0065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1" s="15"/>
      <c r="D1691" s="16" t="str">
        <f>"FJ0065"</f>
        <v>FJ0065</v>
      </c>
      <c r="E1691" s="16">
        <v>30000</v>
      </c>
      <c r="F1691" s="16" t="str">
        <f>"LJ0065"</f>
        <v>LJ0065</v>
      </c>
      <c r="G1691" s="17" t="str">
        <f>"LBL ORG SPROUTS Grape Juice 12/32oz"</f>
        <v>LBL ORG SPROUTS Grape Juice 12/32oz</v>
      </c>
      <c r="H1691" s="18" t="str">
        <f t="shared" si="172"/>
        <v>LABELS</v>
      </c>
      <c r="I1691" s="19">
        <v>12</v>
      </c>
      <c r="J1691" s="20">
        <v>12</v>
      </c>
    </row>
    <row r="1692" spans="1:10" ht="15.75" thickBot="1" x14ac:dyDescent="0.3">
      <c r="A1692" t="s">
        <v>31</v>
      </c>
      <c r="B1692" s="15" t="str">
        <f>"""Manzana NAV"",""MANZANA"",""99000772"",""44"","" "",""22"",""False"",""43"",""0.00000000000000000000"",""12"",""LBL ORG SPROUTS Grav Juice 12/32oz"",""50220"",""False"",""29"","""",""50210"",""False"",""18"","""",""11"",""LJ0066"",""2"",""30000"",""1"",""FJ0066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Grav Juice 12/32oz","50220","False","29","","50210","False","18","","11","LJ0066","2","30000","1","FJ0066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2" s="15"/>
      <c r="D1692" s="16" t="str">
        <f>"FJ0066"</f>
        <v>FJ0066</v>
      </c>
      <c r="E1692" s="16">
        <v>30000</v>
      </c>
      <c r="F1692" s="16" t="str">
        <f>"LJ0066"</f>
        <v>LJ0066</v>
      </c>
      <c r="G1692" s="17" t="str">
        <f>"LBL ORG SPROUTS Grav Juice 12/32oz"</f>
        <v>LBL ORG SPROUTS Grav Juice 12/32oz</v>
      </c>
      <c r="H1692" s="18" t="str">
        <f t="shared" si="172"/>
        <v>LABELS</v>
      </c>
      <c r="I1692" s="19">
        <v>12</v>
      </c>
      <c r="J1692" s="20">
        <v>12</v>
      </c>
    </row>
    <row r="1693" spans="1:10" ht="15.75" thickBot="1" x14ac:dyDescent="0.3">
      <c r="A1693" t="s">
        <v>31</v>
      </c>
      <c r="B1693" s="15" t="str">
        <f>"""Manzana NAV"",""MANZANA"",""99000772"",""44"","" "",""22"",""False"",""43"",""0.00000000000000000000"",""12"",""LBL ORG SPROUTS Pear Juice 12/32oz"",""50220"",""False"",""29"","""",""50210"",""False"",""18"","""",""11"",""LJ0068"",""2"",""30000"",""1"",""FJ0068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Pear Juice 12/32oz","50220","False","29","","50210","False","18","","11","LJ0068","2","30000","1","FJ0068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3" s="15"/>
      <c r="D1693" s="16" t="str">
        <f>"FJ0068"</f>
        <v>FJ0068</v>
      </c>
      <c r="E1693" s="16">
        <v>30000</v>
      </c>
      <c r="F1693" s="16" t="str">
        <f>"LJ0068"</f>
        <v>LJ0068</v>
      </c>
      <c r="G1693" s="17" t="str">
        <f>"LBL ORG SPROUTS Pear Juice 12/32oz"</f>
        <v>LBL ORG SPROUTS Pear Juice 12/32oz</v>
      </c>
      <c r="H1693" s="18" t="str">
        <f t="shared" si="172"/>
        <v>LABELS</v>
      </c>
      <c r="I1693" s="19">
        <v>12</v>
      </c>
      <c r="J1693" s="20">
        <v>12</v>
      </c>
    </row>
    <row r="1694" spans="1:10" ht="15.75" thickBot="1" x14ac:dyDescent="0.3">
      <c r="A1694" t="s">
        <v>31</v>
      </c>
      <c r="B1694" s="15" t="str">
        <f>"""Manzana NAV"",""MANZANA"",""99000772"",""44"","" "",""22"",""False"",""43"",""0.00000000000000000000"",""12"",""LBL ORG SPROUTS Pomegr Juice 12/32oz"",""50220"",""False"",""29"","""",""50210"",""False"",""18"","""",""11"",""LJ0069"",""2"",""30000"",""1"",""FJ0069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Pomegr Juice 12/32oz","50220","False","29","","50210","False","18","","11","LJ0069","2","30000","1","FJ0069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4" s="15"/>
      <c r="D1694" s="16" t="str">
        <f>"FJ0069"</f>
        <v>FJ0069</v>
      </c>
      <c r="E1694" s="16">
        <v>30000</v>
      </c>
      <c r="F1694" s="16" t="str">
        <f>"LJ0069"</f>
        <v>LJ0069</v>
      </c>
      <c r="G1694" s="17" t="str">
        <f>"LBL ORG SPROUTS Pomegr Juice 12/32oz"</f>
        <v>LBL ORG SPROUTS Pomegr Juice 12/32oz</v>
      </c>
      <c r="H1694" s="18" t="str">
        <f t="shared" si="172"/>
        <v>LABELS</v>
      </c>
      <c r="I1694" s="19">
        <v>12</v>
      </c>
      <c r="J1694" s="20">
        <v>12</v>
      </c>
    </row>
    <row r="1695" spans="1:10" ht="15.75" thickBot="1" x14ac:dyDescent="0.3">
      <c r="A1695" t="s">
        <v>31</v>
      </c>
      <c r="B1695" s="15" t="str">
        <f>"""Manzana NAV"",""MANZANA"",""99000772"",""44"","" "",""22"",""False"",""43"",""0.00000000000000000000"",""12"",""LBL ORG SPROUTS Spiced Cider 12/32oz"",""50220"",""False"",""29"","""",""50210"",""False"",""18"","""",""11"",""LJ0100"",""2"",""30000"",""1"",""FJ0100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Spiced Cider 12/32oz","50220","False","29","","50210","False","18","","11","LJ0100","2","30000","1","FJ0100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5" s="15"/>
      <c r="D1695" s="16" t="str">
        <f>"FJ0100"</f>
        <v>FJ0100</v>
      </c>
      <c r="E1695" s="16">
        <v>30000</v>
      </c>
      <c r="F1695" s="16" t="str">
        <f>"LJ0100"</f>
        <v>LJ0100</v>
      </c>
      <c r="G1695" s="17" t="str">
        <f>"LBL ORG SPROUTS Spiced Cider 12/32oz"</f>
        <v>LBL ORG SPROUTS Spiced Cider 12/32oz</v>
      </c>
      <c r="H1695" s="18" t="str">
        <f t="shared" si="172"/>
        <v>LABELS</v>
      </c>
      <c r="I1695" s="19">
        <v>12</v>
      </c>
      <c r="J1695" s="20">
        <v>12</v>
      </c>
    </row>
    <row r="1696" spans="1:10" ht="15.75" thickBot="1" x14ac:dyDescent="0.3">
      <c r="A1696" t="s">
        <v>31</v>
      </c>
      <c r="B1696" s="15" t="str">
        <f>"""Manzana NAV"",""MANZANA"",""99000772"",""44"","" "",""22"",""False"",""43"",""0.00000000000000000000"",""12"",""LBL ORG SPROUTS Vinegar 12/32oz"",""50220"",""False"",""29"","""",""50210"",""False"",""18"","""",""11"",""LV0016"",""2"",""20000"",""1"",""FV0016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Vinegar 12/32oz","50220","False","29","","50210","False","18","","11","LV0016","2","20000","1","FV0016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6" s="15"/>
      <c r="D1696" s="16" t="str">
        <f>"FV0016"</f>
        <v>FV0016</v>
      </c>
      <c r="E1696" s="16">
        <v>20000</v>
      </c>
      <c r="F1696" s="16" t="str">
        <f>"LV0016"</f>
        <v>LV0016</v>
      </c>
      <c r="G1696" s="17" t="str">
        <f>"LBL ORG SPROUTS Vinegar 12/32oz"</f>
        <v>LBL ORG SPROUTS Vinegar 12/32oz</v>
      </c>
      <c r="H1696" s="18" t="str">
        <f t="shared" si="172"/>
        <v>LABELS</v>
      </c>
      <c r="I1696" s="19">
        <v>12</v>
      </c>
      <c r="J1696" s="20">
        <v>12</v>
      </c>
    </row>
    <row r="1697" spans="1:10" ht="15.75" thickBot="1" x14ac:dyDescent="0.3">
      <c r="A1697" t="s">
        <v>31</v>
      </c>
      <c r="B1697" s="15" t="str">
        <f>"""Manzana NAV"",""MANZANA"",""99000772"",""44"","" "",""22"",""False"",""43"",""0.00000000000000000000"",""12"",""LBL ORG SUNSHINE.ORG Blend Juice 4/128oz"",""50220"",""False"",""29"","""",""50210"",""False"",""18"","""",""11"",""LJ0074"",""2"",""30000"",""1"",""FJ0074"",""14"",""4.00000000000000000000"",""45"&amp;"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SUNSHINE.ORG Blend Juice 4/128oz","50220","False","29","","50210","False","18","","11","LJ0074","2","30000","1","FJ0074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97" s="15"/>
      <c r="D1697" s="16" t="str">
        <f>"FJ0074"</f>
        <v>FJ0074</v>
      </c>
      <c r="E1697" s="16">
        <v>30000</v>
      </c>
      <c r="F1697" s="16" t="str">
        <f>"LJ0074"</f>
        <v>LJ0074</v>
      </c>
      <c r="G1697" s="17" t="str">
        <f>"LBL ORG SUNSHINE.ORG Blend Juice 4/128oz"</f>
        <v>LBL ORG SUNSHINE.ORG Blend Juice 4/128oz</v>
      </c>
      <c r="H1697" s="18" t="str">
        <f t="shared" si="172"/>
        <v>LABELS</v>
      </c>
      <c r="I1697" s="19">
        <v>4</v>
      </c>
      <c r="J1697" s="20">
        <v>4</v>
      </c>
    </row>
    <row r="1698" spans="1:10" ht="15.75" thickBot="1" x14ac:dyDescent="0.3">
      <c r="A1698" t="s">
        <v>31</v>
      </c>
      <c r="B1698" s="15" t="str">
        <f>"""Manzana NAV"",""MANZANA"",""99000772"",""44"","" "",""22"",""False"",""43"",""0.00000000000000000000"",""12"",""LBL ORG TJOES Blend Apple Sauce 12/24oz"",""50220"",""False"",""29"","""",""50210"",""False"",""18"","""",""11"",""LS0020"",""2"",""30000"",""1"",""FS0020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TJOES Blend Apple Sauce 12/24oz","50220","False","29","","50210","False","18","","11","LS0020","2","30000","1","FS0020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8" s="15"/>
      <c r="D1698" s="16" t="str">
        <f>"FS0020"</f>
        <v>FS0020</v>
      </c>
      <c r="E1698" s="16">
        <v>30000</v>
      </c>
      <c r="F1698" s="16" t="str">
        <f>"LS0020"</f>
        <v>LS0020</v>
      </c>
      <c r="G1698" s="17" t="str">
        <f>"LBL ORG TJOES Blend Apple Sauce 12/24oz"</f>
        <v>LBL ORG TJOES Blend Apple Sauce 12/24oz</v>
      </c>
      <c r="H1698" s="18" t="str">
        <f t="shared" si="172"/>
        <v>LABELS</v>
      </c>
      <c r="I1698" s="19">
        <v>12</v>
      </c>
      <c r="J1698" s="20">
        <v>12</v>
      </c>
    </row>
    <row r="1699" spans="1:10" ht="15.75" thickBot="1" x14ac:dyDescent="0.3">
      <c r="A1699" t="s">
        <v>31</v>
      </c>
      <c r="B1699" s="15" t="str">
        <f>"""Manzana NAV"",""MANZANA"",""99000772"",""44"","" "",""22"",""False"",""43"",""0.00000000000000000000"",""12"",""LBL ORG TJOES Grav Apple Sauce 12/24oz"",""50220"",""False"",""29"","""",""50210"",""False"",""18"","""",""11"",""LS0021"",""2"",""30000"",""1"",""FS0021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TJOES Grav Apple Sauce 12/24oz","50220","False","29","","50210","False","18","","11","LS0021","2","30000","1","FS0021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9" s="15"/>
      <c r="D1699" s="16" t="str">
        <f>"FS0021"</f>
        <v>FS0021</v>
      </c>
      <c r="E1699" s="16">
        <v>30000</v>
      </c>
      <c r="F1699" s="16" t="str">
        <f>"LS0021"</f>
        <v>LS0021</v>
      </c>
      <c r="G1699" s="17" t="str">
        <f>"LBL ORG TJOES Grav Apple Sauce 12/24oz"</f>
        <v>LBL ORG TJOES Grav Apple Sauce 12/24oz</v>
      </c>
      <c r="H1699" s="18" t="str">
        <f t="shared" si="172"/>
        <v>LABELS</v>
      </c>
      <c r="I1699" s="19">
        <v>12</v>
      </c>
      <c r="J1699" s="20">
        <v>12</v>
      </c>
    </row>
    <row r="1700" spans="1:10" ht="15.75" thickBot="1" x14ac:dyDescent="0.3">
      <c r="A1700" t="s">
        <v>31</v>
      </c>
      <c r="B1700" s="15" t="str">
        <f>"""Manzana NAV"",""MANZANA"",""99000772"",""44"","" "",""22"",""False"",""43"",""0.00000000000000000000"",""12"",""LBL ORG TJOES Vinegar 12/16oz"",""50220"",""False"",""29"","""",""50210"",""False"",""18"","""",""11"",""LV0020"",""2"",""30000"",""1"",""FV0020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TJOES Vinegar 12/16oz","50220","False","29","","50210","False","18","","11","LV0020","2","30000","1","FV0020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0" s="15"/>
      <c r="D1700" s="16" t="str">
        <f>"FV0020"</f>
        <v>FV0020</v>
      </c>
      <c r="E1700" s="16">
        <v>30000</v>
      </c>
      <c r="F1700" s="16" t="str">
        <f>"LV0020"</f>
        <v>LV0020</v>
      </c>
      <c r="G1700" s="17" t="str">
        <f>"LBL ORG TJOES Vinegar 12/16oz"</f>
        <v>LBL ORG TJOES Vinegar 12/16oz</v>
      </c>
      <c r="H1700" s="18" t="str">
        <f t="shared" si="172"/>
        <v>LABELS</v>
      </c>
      <c r="I1700" s="19">
        <v>12</v>
      </c>
      <c r="J1700" s="20">
        <v>12</v>
      </c>
    </row>
    <row r="1701" spans="1:10" ht="15.75" thickBot="1" x14ac:dyDescent="0.3">
      <c r="A1701" t="s">
        <v>31</v>
      </c>
      <c r="B1701" s="15" t="str">
        <f>"""Manzana NAV"",""MANZANA"",""99000772"",""44"","" "",""22"",""False"",""43"",""0.00000000000000000000"",""12"",""LBL ORG W.FOODS Berry Apple Sauce 12/24oz"",""50220"",""False"",""29"","""",""50210"",""False"",""18"","""",""11"",""LS0026"",""2"",""30000"",""1"",""FS0026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Berry Apple Sauce 12/24oz","50220","False","29","","50210","False","18","","11","LS0026","2","30000","1","FS0026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1" s="15"/>
      <c r="D1701" s="16" t="str">
        <f>"FS0026"</f>
        <v>FS0026</v>
      </c>
      <c r="E1701" s="16">
        <v>30000</v>
      </c>
      <c r="F1701" s="16" t="str">
        <f>"LS0026"</f>
        <v>LS0026</v>
      </c>
      <c r="G1701" s="17" t="str">
        <f>"LBL ORG W.FOODS Berry Apple Sauce 12/24oz"</f>
        <v>LBL ORG W.FOODS Berry Apple Sauce 12/24oz</v>
      </c>
      <c r="H1701" s="18" t="str">
        <f t="shared" si="172"/>
        <v>LABELS</v>
      </c>
      <c r="I1701" s="19">
        <v>12</v>
      </c>
      <c r="J1701" s="20">
        <v>12</v>
      </c>
    </row>
    <row r="1702" spans="1:10" ht="15.75" thickBot="1" x14ac:dyDescent="0.3">
      <c r="A1702" t="s">
        <v>31</v>
      </c>
      <c r="B1702" s="15" t="str">
        <f>"""Manzana NAV"",""MANZANA"",""99000772"",""44"","" "",""22"",""False"",""43"",""0.00000000000000000000"",""12"",""LBL ORG W.FOODS Blend Apple Sauce 12/24oz"",""50220"",""False"",""29"","""",""50210"",""False"",""18"","""",""11"",""LS0024"",""2"",""30000"",""1"",""FS0024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Blend Apple Sauce 12/24oz","50220","False","29","","50210","False","18","","11","LS0024","2","30000","1","FS0024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2" s="15"/>
      <c r="D1702" s="16" t="str">
        <f>"FS0024"</f>
        <v>FS0024</v>
      </c>
      <c r="E1702" s="16">
        <v>30000</v>
      </c>
      <c r="F1702" s="16" t="str">
        <f>"LS0024"</f>
        <v>LS0024</v>
      </c>
      <c r="G1702" s="17" t="str">
        <f>"LBL ORG W.FOODS Blend Apple Sauce 12/24oz"</f>
        <v>LBL ORG W.FOODS Blend Apple Sauce 12/24oz</v>
      </c>
      <c r="H1702" s="18" t="str">
        <f t="shared" ref="H1702:H1746" si="173">"LABELS"</f>
        <v>LABELS</v>
      </c>
      <c r="I1702" s="19">
        <v>12</v>
      </c>
      <c r="J1702" s="20">
        <v>12</v>
      </c>
    </row>
    <row r="1703" spans="1:10" ht="15.75" thickBot="1" x14ac:dyDescent="0.3">
      <c r="A1703" t="s">
        <v>31</v>
      </c>
      <c r="B1703" s="15" t="str">
        <f>"""Manzana NAV"",""MANZANA"",""99000772"",""44"","" "",""22"",""False"",""43"",""0.00000000000000000000"",""12"",""LBL ORG W.FOODS Cinn Apple Sauce 12/24oz"",""50220"",""False"",""29"","""",""50210"",""False"",""18"","""",""11"",""LS0025"",""2"",""30000"",""1"",""FS0025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Cinn Apple Sauce 12/24oz","50220","False","29","","50210","False","18","","11","LS0025","2","30000","1","FS0025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3" s="15"/>
      <c r="D1703" s="16" t="str">
        <f>"FS0025"</f>
        <v>FS0025</v>
      </c>
      <c r="E1703" s="16">
        <v>30000</v>
      </c>
      <c r="F1703" s="16" t="str">
        <f>"LS0025"</f>
        <v>LS0025</v>
      </c>
      <c r="G1703" s="17" t="str">
        <f>"LBL ORG W.FOODS Cinn Apple Sauce 12/24oz"</f>
        <v>LBL ORG W.FOODS Cinn Apple Sauce 12/24oz</v>
      </c>
      <c r="H1703" s="18" t="str">
        <f t="shared" si="173"/>
        <v>LABELS</v>
      </c>
      <c r="I1703" s="19">
        <v>12</v>
      </c>
      <c r="J1703" s="20">
        <v>12</v>
      </c>
    </row>
    <row r="1704" spans="1:10" ht="15.75" thickBot="1" x14ac:dyDescent="0.3">
      <c r="A1704" t="s">
        <v>31</v>
      </c>
      <c r="B1704" s="15" t="str">
        <f>"""Manzana NAV"",""MANZANA"",""99000772"",""44"","" "",""22"",""False"",""43"",""0.00000000000000000000"",""12"",""LBL ORG W.FOODS Gala Juice 12/32oz"",""50220"",""False"",""29"","""",""50210"",""False"",""18"","""",""11"",""LJ0077"",""2"",""30000"",""1"",""FJ0077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Gala Juice 12/32oz","50220","False","29","","50210","False","18","","11","LJ0077","2","30000","1","FJ0077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4" s="15"/>
      <c r="D1704" s="16" t="str">
        <f>"FJ0077"</f>
        <v>FJ0077</v>
      </c>
      <c r="E1704" s="16">
        <v>30000</v>
      </c>
      <c r="F1704" s="16" t="str">
        <f>"LJ0077"</f>
        <v>LJ0077</v>
      </c>
      <c r="G1704" s="17" t="str">
        <f>"LBL ORG W.FOODS Gala Juice 12/32oz"</f>
        <v>LBL ORG W.FOODS Gala Juice 12/32oz</v>
      </c>
      <c r="H1704" s="18" t="str">
        <f t="shared" si="173"/>
        <v>LABELS</v>
      </c>
      <c r="I1704" s="19">
        <v>12</v>
      </c>
      <c r="J1704" s="20">
        <v>12</v>
      </c>
    </row>
    <row r="1705" spans="1:10" ht="15.75" thickBot="1" x14ac:dyDescent="0.3">
      <c r="A1705" t="s">
        <v>31</v>
      </c>
      <c r="B1705" s="15" t="str">
        <f>"""Manzana NAV"",""MANZANA"",""99000772"",""44"","" "",""22"",""False"",""43"",""0.00000000000000000000"",""12"",""LBL ORG W.FOODS Vinegar 12/32oz"",""50220"",""False"",""29"","""",""50210"",""False"",""18"","""",""11"",""LV0017"",""2"",""20000"",""1"",""FV0017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Vinegar 12/32oz","50220","False","29","","50210","False","18","","11","LV0017","2","20000","1","FV0017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5" s="15"/>
      <c r="D1705" s="16" t="str">
        <f>"FV0017"</f>
        <v>FV0017</v>
      </c>
      <c r="E1705" s="16">
        <v>20000</v>
      </c>
      <c r="F1705" s="16" t="str">
        <f>"LV0017"</f>
        <v>LV0017</v>
      </c>
      <c r="G1705" s="17" t="str">
        <f>"LBL ORG W.FOODS Vinegar 12/32oz"</f>
        <v>LBL ORG W.FOODS Vinegar 12/32oz</v>
      </c>
      <c r="H1705" s="18" t="str">
        <f t="shared" si="173"/>
        <v>LABELS</v>
      </c>
      <c r="I1705" s="19">
        <v>12</v>
      </c>
      <c r="J1705" s="20">
        <v>12</v>
      </c>
    </row>
    <row r="1706" spans="1:10" ht="15.75" thickBot="1" x14ac:dyDescent="0.3">
      <c r="A1706" t="s">
        <v>31</v>
      </c>
      <c r="B1706" s="15" t="str">
        <f>"""Manzana NAV"",""MANZANA"",""99000772"",""44"","" "",""22"",""False"",""43"",""0.00000000000000000000"",""12"",""LBL PROVVISTA ORG Vinegar 8/64oz (PET)"",""50220"",""False"",""29"","""",""50210"",""False"",""18"","""",""11"",""LV0014"",""2"",""20000"",""1"",""FV0014B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PROVVISTA ORG Vinegar 8/64oz (PET)","50220","False","29","","50210","False","18","","11","LV0014","2","20000","1","FV0014B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706" s="15"/>
      <c r="D1706" s="16" t="str">
        <f>"FV0014B"</f>
        <v>FV0014B</v>
      </c>
      <c r="E1706" s="16">
        <v>20000</v>
      </c>
      <c r="F1706" s="16" t="str">
        <f>"LV0014"</f>
        <v>LV0014</v>
      </c>
      <c r="G1706" s="17" t="str">
        <f>"LBL PROVVISTA ORG Vinegar 8/64oz (PET)"</f>
        <v>LBL PROVVISTA ORG Vinegar 8/64oz (PET)</v>
      </c>
      <c r="H1706" s="18" t="str">
        <f t="shared" si="173"/>
        <v>LABELS</v>
      </c>
      <c r="I1706" s="19">
        <v>8</v>
      </c>
      <c r="J1706" s="20">
        <v>8</v>
      </c>
    </row>
    <row r="1707" spans="1:10" ht="15.75" thickBot="1" x14ac:dyDescent="0.3">
      <c r="A1707" t="s">
        <v>31</v>
      </c>
      <c r="B1707" s="15" t="str">
        <f>"""Manzana NAV"",""MANZANA"",""99000772"",""44"","" "",""22"",""False"",""43"",""0.00000000000000000000"",""12"",""LBL RALEYS ORG "",""50220"",""False"",""29"","""",""50210"",""False"",""18"","""",""11"",""LJ0204"",""2"",""10000"",""1"",""FJ0204"",""14"",""12.00000000000000000000"",""45"",""12.000000000000000000"&amp;"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","50220","False","29","","50210","False","18","","11","LJ0204","2","10000","1","FJ0204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7" s="15"/>
      <c r="D1707" s="16" t="str">
        <f>"FJ0204"</f>
        <v>FJ0204</v>
      </c>
      <c r="E1707" s="16">
        <v>10000</v>
      </c>
      <c r="F1707" s="16" t="str">
        <f>"LJ0204"</f>
        <v>LJ0204</v>
      </c>
      <c r="G1707" s="17" t="str">
        <f>"LBL RALEYS ORG "</f>
        <v xml:space="preserve">LBL RALEYS ORG </v>
      </c>
      <c r="H1707" s="18" t="str">
        <f t="shared" si="173"/>
        <v>LABELS</v>
      </c>
      <c r="I1707" s="19">
        <v>12</v>
      </c>
      <c r="J1707" s="20">
        <v>12</v>
      </c>
    </row>
    <row r="1708" spans="1:10" ht="15.75" thickBot="1" x14ac:dyDescent="0.3">
      <c r="A1708" t="s">
        <v>31</v>
      </c>
      <c r="B1708" s="15" t="str">
        <f>"""Manzana NAV"",""MANZANA"",""99000772"",""44"","" "",""22"",""False"",""43"",""0.00000000000000000000"",""12"",""LBL RALEYS ORG Apple Cranberry Juice 12/32oz"",""50220"",""False"",""29"","""",""50210"",""False"",""18"","""",""11"",""LJ0206"",""2"",""10000"",""1"",""FJ0206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Apple Cranberry Juice 12/32oz","50220","False","29","","50210","False","18","","11","LJ0206","2","10000","1","FJ0206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8" s="15"/>
      <c r="D1708" s="16" t="str">
        <f>"FJ0206"</f>
        <v>FJ0206</v>
      </c>
      <c r="E1708" s="16">
        <v>10000</v>
      </c>
      <c r="F1708" s="16" t="str">
        <f>"LJ0206"</f>
        <v>LJ0206</v>
      </c>
      <c r="G1708" s="17" t="str">
        <f>"LBL RALEYS ORG Apple Cranberry Juice 12/32oz"</f>
        <v>LBL RALEYS ORG Apple Cranberry Juice 12/32oz</v>
      </c>
      <c r="H1708" s="18" t="str">
        <f t="shared" si="173"/>
        <v>LABELS</v>
      </c>
      <c r="I1708" s="19">
        <v>12</v>
      </c>
      <c r="J1708" s="20">
        <v>12</v>
      </c>
    </row>
    <row r="1709" spans="1:10" ht="15.75" thickBot="1" x14ac:dyDescent="0.3">
      <c r="A1709" t="s">
        <v>31</v>
      </c>
      <c r="B1709" s="15" t="str">
        <f>"""Manzana NAV"",""MANZANA"",""99000772"",""44"","" "",""22"",""False"",""43"",""0.00000000000000000000"",""12"",""LBL RALEYS ORG Blend Apple Sauce 12/24oz"",""50220"",""False"",""29"","""",""50210"",""False"",""18"","""",""11"",""LS0164"",""2"",""30000"",""1"",""FS0164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Apple Sauce 12/24oz","50220","False","29","","50210","False","18","","11","LS0164","2","30000","1","FS0164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9" s="15"/>
      <c r="D1709" s="16" t="str">
        <f>"FS0164"</f>
        <v>FS0164</v>
      </c>
      <c r="E1709" s="16">
        <v>30000</v>
      </c>
      <c r="F1709" s="16" t="str">
        <f>"LS0164"</f>
        <v>LS0164</v>
      </c>
      <c r="G1709" s="17" t="str">
        <f>"LBL RALEYS ORG Blend Apple Sauce 12/24oz"</f>
        <v>LBL RALEYS ORG Blend Apple Sauce 12/24oz</v>
      </c>
      <c r="H1709" s="18" t="str">
        <f t="shared" si="173"/>
        <v>LABELS</v>
      </c>
      <c r="I1709" s="19">
        <v>12</v>
      </c>
      <c r="J1709" s="20">
        <v>12</v>
      </c>
    </row>
    <row r="1710" spans="1:10" ht="15.75" thickBot="1" x14ac:dyDescent="0.3">
      <c r="A1710" t="s">
        <v>31</v>
      </c>
      <c r="B1710" s="15" t="str">
        <f>"""Manzana NAV"",""MANZANA"",""99000772"",""44"","" "",""22"",""False"",""43"",""0.00000000000000000000"",""12"",""LBL RALEYS ORG Blend Juice 12/32oz"",""50220"",""False"",""29"","""",""50210"",""False"",""18"","""",""11"",""LJ0201"",""2"",""10000"",""1"",""FJ0201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Juice 12/32oz","50220","False","29","","50210","False","18","","11","LJ0201","2","10000","1","FJ0201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0" s="15"/>
      <c r="D1710" s="16" t="str">
        <f>"FJ0201"</f>
        <v>FJ0201</v>
      </c>
      <c r="E1710" s="16">
        <v>10000</v>
      </c>
      <c r="F1710" s="16" t="str">
        <f>"LJ0201"</f>
        <v>LJ0201</v>
      </c>
      <c r="G1710" s="17" t="str">
        <f>"LBL RALEYS ORG Blend Juice 12/32oz"</f>
        <v>LBL RALEYS ORG Blend Juice 12/32oz</v>
      </c>
      <c r="H1710" s="18" t="str">
        <f t="shared" si="173"/>
        <v>LABELS</v>
      </c>
      <c r="I1710" s="19">
        <v>12</v>
      </c>
      <c r="J1710" s="20">
        <v>12</v>
      </c>
    </row>
    <row r="1711" spans="1:10" ht="15.75" thickBot="1" x14ac:dyDescent="0.3">
      <c r="A1711" t="s">
        <v>31</v>
      </c>
      <c r="B1711" s="15" t="str">
        <f>"""Manzana NAV"",""MANZANA"",""99000772"",""44"","" "",""22"",""False"",""43"",""0.00000000000000000000"",""12"",""LBL RALEYS ORG Blend Juice 24/10oz"",""50220"",""False"",""29"","""",""50210"",""False"",""18"","""",""11"",""LJ0208"",""2"",""10000"",""1"",""FJ0208"",""14"",""24.00000000000000000000"",""45"",""24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Juice 24/10oz","50220","False","29","","50210","False","18","","11","LJ0208","2","10000","1","FJ0208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711" s="15"/>
      <c r="D1711" s="16" t="str">
        <f>"FJ0208"</f>
        <v>FJ0208</v>
      </c>
      <c r="E1711" s="16">
        <v>10000</v>
      </c>
      <c r="F1711" s="16" t="str">
        <f>"LJ0208"</f>
        <v>LJ0208</v>
      </c>
      <c r="G1711" s="17" t="str">
        <f>"LBL RALEYS ORG Blend Juice 24/10oz"</f>
        <v>LBL RALEYS ORG Blend Juice 24/10oz</v>
      </c>
      <c r="H1711" s="18" t="str">
        <f t="shared" si="173"/>
        <v>LABELS</v>
      </c>
      <c r="I1711" s="19">
        <v>24</v>
      </c>
      <c r="J1711" s="20">
        <v>24</v>
      </c>
    </row>
    <row r="1712" spans="1:10" ht="15.75" thickBot="1" x14ac:dyDescent="0.3">
      <c r="A1712" t="s">
        <v>31</v>
      </c>
      <c r="B1712" s="15" t="str">
        <f>"""Manzana NAV"",""MANZANA"",""99000772"",""44"","" "",""22"",""False"",""43"",""0.00000000000000000000"",""12"",""LBL RALEYS ORG Blend Juice 6/64oz - pistol grip"",""50220"",""False"",""29"","""",""50210"",""False"",""18"","""",""11"",""LJ0200"",""2"",""5000"",""1"",""FJ0200"",""14"",""6.0000000000000000000"&amp;"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Juice 6/64oz - pistol grip","50220","False","29","","50210","False","18","","11","LJ0200","2","5000","1","FJ0200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12" s="15"/>
      <c r="D1712" s="16" t="str">
        <f>"FJ0200"</f>
        <v>FJ0200</v>
      </c>
      <c r="E1712" s="16">
        <v>5000</v>
      </c>
      <c r="F1712" s="16" t="str">
        <f>"LJ0200"</f>
        <v>LJ0200</v>
      </c>
      <c r="G1712" s="17" t="str">
        <f>"LBL RALEYS ORG Blend Juice 6/64oz - pistol grip"</f>
        <v>LBL RALEYS ORG Blend Juice 6/64oz - pistol grip</v>
      </c>
      <c r="H1712" s="18" t="str">
        <f t="shared" si="173"/>
        <v>LABELS</v>
      </c>
      <c r="I1712" s="19">
        <v>6</v>
      </c>
      <c r="J1712" s="20">
        <v>6</v>
      </c>
    </row>
    <row r="1713" spans="1:10" ht="15.75" thickBot="1" x14ac:dyDescent="0.3">
      <c r="A1713" t="s">
        <v>31</v>
      </c>
      <c r="B1713" s="15" t="str">
        <f>"""Manzana NAV"",""MANZANA"",""99000772"",""44"","" "",""22"",""False"",""43"",""0.00000000000000000000"",""12"",""LBL RALEYS ORG Gala Juice 12/32oz"",""50220"",""False"",""29"","""",""50210"",""False"",""18"","""",""11"",""LJ0205"",""2"",""10000"",""1"",""FJ0205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Gala Juice 12/32oz","50220","False","29","","50210","False","18","","11","LJ0205","2","10000","1","FJ0205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3" s="15"/>
      <c r="D1713" s="16" t="str">
        <f>"FJ0205"</f>
        <v>FJ0205</v>
      </c>
      <c r="E1713" s="16">
        <v>10000</v>
      </c>
      <c r="F1713" s="16" t="str">
        <f>"LJ0205"</f>
        <v>LJ0205</v>
      </c>
      <c r="G1713" s="17" t="str">
        <f>"LBL RALEYS ORG Gala Juice 12/32oz"</f>
        <v>LBL RALEYS ORG Gala Juice 12/32oz</v>
      </c>
      <c r="H1713" s="18" t="str">
        <f t="shared" si="173"/>
        <v>LABELS</v>
      </c>
      <c r="I1713" s="19">
        <v>12</v>
      </c>
      <c r="J1713" s="20">
        <v>12</v>
      </c>
    </row>
    <row r="1714" spans="1:10" ht="15.75" thickBot="1" x14ac:dyDescent="0.3">
      <c r="A1714" t="s">
        <v>31</v>
      </c>
      <c r="B1714" s="15" t="str">
        <f>"""Manzana NAV"",""MANZANA"",""99000772"",""44"","" "",""22"",""False"",""43"",""0.00000000000000000000"",""12"",""LBL RALEYS ORG HCrisp Juice 12/32oz"",""50220"",""False"",""29"","""",""50210"",""False"",""18"","""",""11"",""LJ0203"",""2"",""10000"",""1"",""FJ0203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HCrisp Juice 12/32oz","50220","False","29","","50210","False","18","","11","LJ0203","2","10000","1","FJ0203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4" s="15"/>
      <c r="D1714" s="16" t="str">
        <f>"FJ0203"</f>
        <v>FJ0203</v>
      </c>
      <c r="E1714" s="16">
        <v>10000</v>
      </c>
      <c r="F1714" s="16" t="str">
        <f>"LJ0203"</f>
        <v>LJ0203</v>
      </c>
      <c r="G1714" s="17" t="str">
        <f>"LBL RALEYS ORG HCrisp Juice 12/32oz"</f>
        <v>LBL RALEYS ORG HCrisp Juice 12/32oz</v>
      </c>
      <c r="H1714" s="18" t="str">
        <f t="shared" si="173"/>
        <v>LABELS</v>
      </c>
      <c r="I1714" s="19">
        <v>12</v>
      </c>
      <c r="J1714" s="20">
        <v>12</v>
      </c>
    </row>
    <row r="1715" spans="1:10" ht="15.75" thickBot="1" x14ac:dyDescent="0.3">
      <c r="A1715" t="s">
        <v>31</v>
      </c>
      <c r="B1715" s="15" t="str">
        <f>"""Manzana NAV"",""MANZANA"",""99000772"",""44"","" "",""22"",""False"",""43"",""0.00000000000000000000"",""12"",""LBL RALEYS ORG Pomegranate Juice 12/32oz"",""50220"",""False"",""29"","""",""50210"",""False"",""18"","""",""11"",""LJ0207"",""2"",""10000"",""1"",""FJ0207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Pomegranate Juice 12/32oz","50220","False","29","","50210","False","18","","11","LJ0207","2","10000","1","FJ0207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5" s="15"/>
      <c r="D1715" s="16" t="str">
        <f>"FJ0207"</f>
        <v>FJ0207</v>
      </c>
      <c r="E1715" s="16">
        <v>10000</v>
      </c>
      <c r="F1715" s="16" t="str">
        <f>"LJ0207"</f>
        <v>LJ0207</v>
      </c>
      <c r="G1715" s="17" t="str">
        <f>"LBL RALEYS ORG Pomegranate Juice 12/32oz"</f>
        <v>LBL RALEYS ORG Pomegranate Juice 12/32oz</v>
      </c>
      <c r="H1715" s="18" t="str">
        <f t="shared" si="173"/>
        <v>LABELS</v>
      </c>
      <c r="I1715" s="19">
        <v>12</v>
      </c>
      <c r="J1715" s="20">
        <v>12</v>
      </c>
    </row>
    <row r="1716" spans="1:10" ht="15.75" thickBot="1" x14ac:dyDescent="0.3">
      <c r="A1716" t="s">
        <v>31</v>
      </c>
      <c r="B1716" s="15" t="str">
        <f>"""Manzana NAV"",""MANZANA"",""99000772"",""44"","" "",""22"",""False"",""43"",""0.00000000000000000000"",""12"",""LBL RALEYS ORG SPICED APPLE CIDER 12/32oz"",""50220"",""False"",""29"","""",""50210"",""False"",""18"","""",""11"",""LJ0202"",""2"",""10000"",""1"",""FJ0202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SPICED APPLE CIDER 12/32oz","50220","False","29","","50210","False","18","","11","LJ0202","2","10000","1","FJ0202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6" s="15"/>
      <c r="D1716" s="16" t="str">
        <f>"FJ0202"</f>
        <v>FJ0202</v>
      </c>
      <c r="E1716" s="16">
        <v>10000</v>
      </c>
      <c r="F1716" s="16" t="str">
        <f>"LJ0202"</f>
        <v>LJ0202</v>
      </c>
      <c r="G1716" s="17" t="str">
        <f>"LBL RALEYS ORG SPICED APPLE CIDER 12/32oz"</f>
        <v>LBL RALEYS ORG SPICED APPLE CIDER 12/32oz</v>
      </c>
      <c r="H1716" s="18" t="str">
        <f t="shared" si="173"/>
        <v>LABELS</v>
      </c>
      <c r="I1716" s="19">
        <v>12</v>
      </c>
      <c r="J1716" s="20">
        <v>12</v>
      </c>
    </row>
    <row r="1717" spans="1:10" ht="15.75" thickBot="1" x14ac:dyDescent="0.3">
      <c r="A1717" t="s">
        <v>31</v>
      </c>
      <c r="B1717" s="15" t="str">
        <f>"""Manzana NAV"",""MANZANA"",""99000772"",""44"","" "",""22"",""False"",""43"",""0.00000000000000000000"",""12"",""LBL S.GOLD ORG Apricot Apple Sauce 12/24oz"",""50220"",""False"",""29"","""",""50210"",""False"",""18"","""",""11"",""LS0071"",""2"",""10000"",""1"",""FS0071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Apricot Apple Sauce 12/24oz","50220","False","29","","50210","False","18","","11","LS0071","2","10000","1","FS0071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7" s="15"/>
      <c r="D1717" s="16" t="str">
        <f>"FS0071B"</f>
        <v>FS0071B</v>
      </c>
      <c r="E1717" s="16">
        <v>10000</v>
      </c>
      <c r="F1717" s="16" t="str">
        <f>"LS0071"</f>
        <v>LS0071</v>
      </c>
      <c r="G1717" s="17" t="str">
        <f>"LBL S.GOLD ORG Apricot Apple Sauce 12/24oz"</f>
        <v>LBL S.GOLD ORG Apricot Apple Sauce 12/24oz</v>
      </c>
      <c r="H1717" s="18" t="str">
        <f t="shared" si="173"/>
        <v>LABELS</v>
      </c>
      <c r="I1717" s="19">
        <v>12</v>
      </c>
      <c r="J1717" s="20">
        <v>12</v>
      </c>
    </row>
    <row r="1718" spans="1:10" ht="15.75" thickBot="1" x14ac:dyDescent="0.3">
      <c r="A1718" t="s">
        <v>31</v>
      </c>
      <c r="B1718" s="15" t="str">
        <f>"""Manzana NAV"",""MANZANA"",""99000772"",""44"","" "",""22"",""False"",""43"",""0.00000000000000000000"",""12"",""LBL S.GOLD ORG BlackBerry Apple Sauce 12/24oz"",""50220"",""False"",""29"","""",""50210"",""False"",""18"","""",""11"",""LS0073"",""2"",""20000"",""1"",""FS0073B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BlackBerry Apple Sauce 12/24oz","50220","False","29","","50210","False","18","","11","LS0073","2","20000","1","FS0073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8" s="15"/>
      <c r="D1718" s="16" t="str">
        <f>"FS0073B"</f>
        <v>FS0073B</v>
      </c>
      <c r="E1718" s="16">
        <v>20000</v>
      </c>
      <c r="F1718" s="16" t="str">
        <f>"LS0073"</f>
        <v>LS0073</v>
      </c>
      <c r="G1718" s="17" t="str">
        <f>"LBL S.GOLD ORG BlackBerry Apple Sauce 12/24oz"</f>
        <v>LBL S.GOLD ORG BlackBerry Apple Sauce 12/24oz</v>
      </c>
      <c r="H1718" s="18" t="str">
        <f t="shared" si="173"/>
        <v>LABELS</v>
      </c>
      <c r="I1718" s="19">
        <v>12</v>
      </c>
      <c r="J1718" s="20">
        <v>12</v>
      </c>
    </row>
    <row r="1719" spans="1:10" ht="15.75" thickBot="1" x14ac:dyDescent="0.3">
      <c r="A1719" t="s">
        <v>31</v>
      </c>
      <c r="B1719" s="15" t="str">
        <f>"""Manzana NAV"",""MANZANA"",""99000772"",""44"","" "",""22"",""False"",""43"",""0.00000000000000000000"",""12"",""LBL S.GOLD ORG Blend Apple Sauce 12/24oz"",""50220"",""False"",""29"","""",""50210"",""False"",""18"","""",""11"",""LS0069"",""2"",""30000"",""1"",""FS0069B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Blend Apple Sauce 12/24oz","50220","False","29","","50210","False","18","","11","LS0069","2","30000","1","FS0069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9" s="15"/>
      <c r="D1719" s="16" t="str">
        <f>"FS0069B"</f>
        <v>FS0069B</v>
      </c>
      <c r="E1719" s="16">
        <v>30000</v>
      </c>
      <c r="F1719" s="16" t="str">
        <f>"LS0069"</f>
        <v>LS0069</v>
      </c>
      <c r="G1719" s="17" t="str">
        <f>"LBL S.GOLD ORG Blend Apple Sauce 12/24oz"</f>
        <v>LBL S.GOLD ORG Blend Apple Sauce 12/24oz</v>
      </c>
      <c r="H1719" s="18" t="str">
        <f t="shared" si="173"/>
        <v>LABELS</v>
      </c>
      <c r="I1719" s="19">
        <v>12</v>
      </c>
      <c r="J1719" s="20">
        <v>12</v>
      </c>
    </row>
    <row r="1720" spans="1:10" ht="15.75" thickBot="1" x14ac:dyDescent="0.3">
      <c r="A1720" t="s">
        <v>31</v>
      </c>
      <c r="B1720" s="15" t="str">
        <f>"""Manzana NAV"",""MANZANA"",""99000772"",""44"","" "",""22"",""False"",""43"",""0.00000000000000000000"",""12"",""LBL S.GOLD ORG Peach Apple Sauce 12/24oz"",""50220"",""False"",""29"","""",""50210"",""False"",""18"","""",""11"",""LS0072"",""2"",""20000"",""1"",""FS0072B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Peach Apple Sauce 12/24oz","50220","False","29","","50210","False","18","","11","LS0072","2","20000","1","FS0072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0" s="15"/>
      <c r="D1720" s="16" t="str">
        <f>"FS0072B"</f>
        <v>FS0072B</v>
      </c>
      <c r="E1720" s="16">
        <v>20000</v>
      </c>
      <c r="F1720" s="16" t="str">
        <f>"LS0072"</f>
        <v>LS0072</v>
      </c>
      <c r="G1720" s="17" t="str">
        <f>"LBL S.GOLD ORG Peach Apple Sauce 12/24oz"</f>
        <v>LBL S.GOLD ORG Peach Apple Sauce 12/24oz</v>
      </c>
      <c r="H1720" s="18" t="str">
        <f t="shared" si="173"/>
        <v>LABELS</v>
      </c>
      <c r="I1720" s="19">
        <v>12</v>
      </c>
      <c r="J1720" s="20">
        <v>12</v>
      </c>
    </row>
    <row r="1721" spans="1:10" ht="15.75" thickBot="1" x14ac:dyDescent="0.3">
      <c r="A1721" t="s">
        <v>31</v>
      </c>
      <c r="B1721" s="15" t="str">
        <f>"""Manzana NAV"",""MANZANA"",""99000772"",""44"","" "",""22"",""False"",""43"",""0.00000000000000000000"",""12"",""LBL S.GOLD ORG RaspBerry Apple Sauce 12/24oz"",""50220"",""False"",""29"","""",""50210"",""False"",""18"","""",""11"",""LS0074"",""2"",""10000"",""1"",""FS0074B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RaspBerry Apple Sauce 12/24oz","50220","False","29","","50210","False","18","","11","LS0074","2","10000","1","FS0074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1" s="15"/>
      <c r="D1721" s="16" t="str">
        <f>"FS0074B"</f>
        <v>FS0074B</v>
      </c>
      <c r="E1721" s="16">
        <v>10000</v>
      </c>
      <c r="F1721" s="16" t="str">
        <f>"LS0074"</f>
        <v>LS0074</v>
      </c>
      <c r="G1721" s="17" t="str">
        <f>"LBL S.GOLD ORG RaspBerry Apple Sauce 12/24oz"</f>
        <v>LBL S.GOLD ORG RaspBerry Apple Sauce 12/24oz</v>
      </c>
      <c r="H1721" s="18" t="str">
        <f t="shared" si="173"/>
        <v>LABELS</v>
      </c>
      <c r="I1721" s="19">
        <v>12</v>
      </c>
      <c r="J1721" s="20">
        <v>12</v>
      </c>
    </row>
    <row r="1722" spans="1:10" ht="15.75" thickBot="1" x14ac:dyDescent="0.3">
      <c r="A1722" t="s">
        <v>31</v>
      </c>
      <c r="B1722" s="15" t="str">
        <f>"""Manzana NAV"",""MANZANA"",""99000772"",""44"","" "",""22"",""False"",""43"",""0.00000000000000000000"",""12"",""LBL S.n.W NAT Filt. Vinegar 12/32oz - Indonesia"",""50220"",""False"",""29"","""",""50210"",""False"",""18"","""",""11"",""LV0035"",""2"",""20000"",""1"",""FV0035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Filt. Vinegar 12/32oz - Indonesia","50220","False","29","","50210","False","18","","11","LV0035","2","20000","1","FV0035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2" s="15"/>
      <c r="D1722" s="16" t="str">
        <f>"FV0035"</f>
        <v>FV0035</v>
      </c>
      <c r="E1722" s="16">
        <v>20000</v>
      </c>
      <c r="F1722" s="16" t="str">
        <f>"LV0035"</f>
        <v>LV0035</v>
      </c>
      <c r="G1722" s="17" t="str">
        <f>"LBL S.n.W NAT Filt. Vinegar 12/32oz - Indonesia"</f>
        <v>LBL S.n.W NAT Filt. Vinegar 12/32oz - Indonesia</v>
      </c>
      <c r="H1722" s="18" t="str">
        <f t="shared" si="173"/>
        <v>LABELS</v>
      </c>
      <c r="I1722" s="19">
        <v>12</v>
      </c>
      <c r="J1722" s="20">
        <v>12</v>
      </c>
    </row>
    <row r="1723" spans="1:10" ht="15.75" thickBot="1" x14ac:dyDescent="0.3">
      <c r="A1723" t="s">
        <v>31</v>
      </c>
      <c r="B1723" s="15" t="str">
        <f>"""Manzana NAV"",""MANZANA"",""99000772"",""44"","" "",""22"",""False"",""43"",""0.00000000000000000000"",""12"",""LBL S.n.W NAT Filtered Vinegar 12/16oz-Indonesia"",""50220"",""False"",""29"","""",""50210"",""False"",""18"","""",""11"",""LV0021"",""2"",""10000"",""1"",""FV0021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Filtered Vinegar 12/16oz-Indonesia","50220","False","29","","50210","False","18","","11","LV0021","2","10000","1","FV0021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3" s="15"/>
      <c r="D1723" s="16" t="str">
        <f>"FV0021"</f>
        <v>FV0021</v>
      </c>
      <c r="E1723" s="16">
        <v>10000</v>
      </c>
      <c r="F1723" s="16" t="str">
        <f>"LV0021"</f>
        <v>LV0021</v>
      </c>
      <c r="G1723" s="17" t="str">
        <f>"LBL S.n.W NAT Filtered Vinegar 12/16oz-Indonesia"</f>
        <v>LBL S.n.W NAT Filtered Vinegar 12/16oz-Indonesia</v>
      </c>
      <c r="H1723" s="18" t="str">
        <f t="shared" si="173"/>
        <v>LABELS</v>
      </c>
      <c r="I1723" s="19">
        <v>12</v>
      </c>
      <c r="J1723" s="20">
        <v>12</v>
      </c>
    </row>
    <row r="1724" spans="1:10" ht="15.75" thickBot="1" x14ac:dyDescent="0.3">
      <c r="A1724" t="s">
        <v>31</v>
      </c>
      <c r="B1724" s="15" t="str">
        <f>"""Manzana NAV"",""MANZANA"",""99000772"",""44"","" "",""22"",""False"",""43"",""0.00000000000000000000"",""12"",""LBL S.n.W NAT Filtered Vinegar 12/32oz"",""50220"",""False"",""29"","""",""50210"",""False"",""18"","""",""11"",""LV0034"",""2"",""10000"",""1"",""FV0034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Filtered Vinegar 12/32oz","50220","False","29","","50210","False","18","","11","LV0034","2","10000","1","FV0034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4" s="15"/>
      <c r="D1724" s="16" t="str">
        <f>"FV0034"</f>
        <v>FV0034</v>
      </c>
      <c r="E1724" s="16">
        <v>10000</v>
      </c>
      <c r="F1724" s="16" t="str">
        <f>"LV0034"</f>
        <v>LV0034</v>
      </c>
      <c r="G1724" s="17" t="str">
        <f>"LBL S.n.W NAT Filtered Vinegar 12/32oz"</f>
        <v>LBL S.n.W NAT Filtered Vinegar 12/32oz</v>
      </c>
      <c r="H1724" s="18" t="str">
        <f t="shared" si="173"/>
        <v>LABELS</v>
      </c>
      <c r="I1724" s="19">
        <v>12</v>
      </c>
      <c r="J1724" s="20">
        <v>12</v>
      </c>
    </row>
    <row r="1725" spans="1:10" ht="15.75" thickBot="1" x14ac:dyDescent="0.3">
      <c r="A1725" t="s">
        <v>31</v>
      </c>
      <c r="B1725" s="15" t="str">
        <f>"""Manzana NAV"",""MANZANA"",""99000772"",""44"","" "",""22"",""False"",""43"",""0.00000000000000000000"",""12"",""LBL S.n.W NAT Filtered Vinegar 12/32oz - HONG KONG"",""50220"",""False"",""29"","""",""50210"",""False"",""18"","""",""11"",""LV0033"",""2"",""10000"",""1"",""FV0033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Filtered Vinegar 12/32oz - HONG KONG","50220","False","29","","50210","False","18","","11","LV0033","2","10000","1","FV0033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5" s="15"/>
      <c r="D1725" s="16" t="str">
        <f>"FV0033"</f>
        <v>FV0033</v>
      </c>
      <c r="E1725" s="16">
        <v>10000</v>
      </c>
      <c r="F1725" s="16" t="str">
        <f>"LV0033"</f>
        <v>LV0033</v>
      </c>
      <c r="G1725" s="17" t="str">
        <f>"LBL S.n.W NAT Filtered Vinegar 12/32oz - HONG KONG"</f>
        <v>LBL S.n.W NAT Filtered Vinegar 12/32oz - HONG KONG</v>
      </c>
      <c r="H1725" s="18" t="str">
        <f t="shared" si="173"/>
        <v>LABELS</v>
      </c>
      <c r="I1725" s="19">
        <v>12</v>
      </c>
      <c r="J1725" s="20">
        <v>12</v>
      </c>
    </row>
    <row r="1726" spans="1:10" ht="15.75" thickBot="1" x14ac:dyDescent="0.3">
      <c r="A1726" t="s">
        <v>31</v>
      </c>
      <c r="B1726" s="15" t="str">
        <f>"""Manzana NAV"",""MANZANA"",""99000772"",""44"","" "",""22"",""False"",""43"",""0.00000000000000000000"",""12"",""LBL SAFEWAY ORG Blend Juice 8/64oz (PET)"",""50220"",""False"",""29"","""",""50210"",""False"",""18"","""",""11"",""LJ0060"",""2"",""15000"",""1"",""FJ0060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SAFEWAY ORG Blend Juice 8/64oz (PET)","50220","False","29","","50210","False","18","","11","LJ0060","2","15000","1","FJ0060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726" s="15"/>
      <c r="D1726" s="16" t="str">
        <f>"FJ0060"</f>
        <v>FJ0060</v>
      </c>
      <c r="E1726" s="16">
        <v>15000</v>
      </c>
      <c r="F1726" s="16" t="str">
        <f>"LJ0060"</f>
        <v>LJ0060</v>
      </c>
      <c r="G1726" s="17" t="str">
        <f>"LBL SAFEWAY ORG Blend Juice 8/64oz (PET)"</f>
        <v>LBL SAFEWAY ORG Blend Juice 8/64oz (PET)</v>
      </c>
      <c r="H1726" s="18" t="str">
        <f t="shared" si="173"/>
        <v>LABELS</v>
      </c>
      <c r="I1726" s="19">
        <v>8</v>
      </c>
      <c r="J1726" s="20">
        <v>8</v>
      </c>
    </row>
    <row r="1727" spans="1:10" ht="15.75" thickBot="1" x14ac:dyDescent="0.3">
      <c r="A1727" t="s">
        <v>31</v>
      </c>
      <c r="B1727" s="15" t="str">
        <f>"""Manzana NAV"",""MANZANA"",""99000772"",""44"","" "",""22"",""False"",""43"",""0.00000000000000000000"",""12"",""LBL SIGNATURE NAT Sweet Grav Apple Sauce 12/25oz"",""50220"",""False"",""29"","""",""50210"",""False"",""18"","""",""11"",""LS0128"",""2"",""20000"",""1"",""FS0128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SIGNATURE NAT Sweet Grav Apple Sauce 12/25oz","50220","False","29","","50210","False","18","","11","LS0128","2","20000","1","FS0128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7" s="15"/>
      <c r="D1727" s="16" t="str">
        <f>"FS0128"</f>
        <v>FS0128</v>
      </c>
      <c r="E1727" s="16">
        <v>20000</v>
      </c>
      <c r="F1727" s="16" t="str">
        <f>"LS0128"</f>
        <v>LS0128</v>
      </c>
      <c r="G1727" s="17" t="str">
        <f>"LBL SIGNATURE NAT Sweet Grav Apple Sauce 12/25oz"</f>
        <v>LBL SIGNATURE NAT Sweet Grav Apple Sauce 12/25oz</v>
      </c>
      <c r="H1727" s="18" t="str">
        <f t="shared" si="173"/>
        <v>LABELS</v>
      </c>
      <c r="I1727" s="19">
        <v>12</v>
      </c>
      <c r="J1727" s="20">
        <v>12</v>
      </c>
    </row>
    <row r="1728" spans="1:10" ht="15.75" thickBot="1" x14ac:dyDescent="0.3">
      <c r="A1728" t="s">
        <v>31</v>
      </c>
      <c r="B1728" s="15" t="str">
        <f>"""Manzana NAV"",""MANZANA"",""99000772"",""44"","" "",""22"",""False"",""43"",""0.00000000000000000000"",""12"",""LBL SIMPLY.ROUNDBY'S ORG Blend Juice 12/32oz"",""50220"",""False"",""29"","""",""50210"",""False"",""18"","""",""11"",""LJ0189"",""2"",""10000"",""1"",""FJ0189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SIMPLY.ROUNDBY'S ORG Blend Juice 12/32oz","50220","False","29","","50210","False","18","","11","LJ0189","2","10000","1","FJ0189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8" s="15"/>
      <c r="D1728" s="16" t="str">
        <f>"FJ0189"</f>
        <v>FJ0189</v>
      </c>
      <c r="E1728" s="16">
        <v>10000</v>
      </c>
      <c r="F1728" s="16" t="str">
        <f>"LJ0189"</f>
        <v>LJ0189</v>
      </c>
      <c r="G1728" s="17" t="str">
        <f>"LBL SIMPLY.ROUNDBY'S ORG Blend Juice 12/32oz"</f>
        <v>LBL SIMPLY.ROUNDBY'S ORG Blend Juice 12/32oz</v>
      </c>
      <c r="H1728" s="18" t="str">
        <f t="shared" si="173"/>
        <v>LABELS</v>
      </c>
      <c r="I1728" s="19">
        <v>12</v>
      </c>
      <c r="J1728" s="20">
        <v>12</v>
      </c>
    </row>
    <row r="1729" spans="1:10" ht="15.75" thickBot="1" x14ac:dyDescent="0.3">
      <c r="A1729" t="s">
        <v>31</v>
      </c>
      <c r="B1729" s="15" t="str">
        <f>"""Manzana NAV"",""MANZANA"",""99000772"",""44"","" "",""22"",""False"",""43"",""0.00000000000000000000"",""12"",""LBL SIMPLY.ROUNDY'S ORG Gala Juice 12/32oz"",""50220"",""False"",""29"","""",""50210"",""False"",""18"","""",""11"",""LJ0192"",""2"",""10000"",""1"",""FJ0192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SIMPLY.ROUNDY'S ORG Gala Juice 12/32oz","50220","False","29","","50210","False","18","","11","LJ0192","2","10000","1","FJ0192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9" s="15"/>
      <c r="D1729" s="16" t="str">
        <f>"FJ0192"</f>
        <v>FJ0192</v>
      </c>
      <c r="E1729" s="16">
        <v>10000</v>
      </c>
      <c r="F1729" s="16" t="str">
        <f>"LJ0192"</f>
        <v>LJ0192</v>
      </c>
      <c r="G1729" s="17" t="str">
        <f>"LBL SIMPLY.ROUNDY'S ORG Gala Juice 12/32oz"</f>
        <v>LBL SIMPLY.ROUNDY'S ORG Gala Juice 12/32oz</v>
      </c>
      <c r="H1729" s="18" t="str">
        <f t="shared" si="173"/>
        <v>LABELS</v>
      </c>
      <c r="I1729" s="19">
        <v>12</v>
      </c>
      <c r="J1729" s="20">
        <v>12</v>
      </c>
    </row>
    <row r="1730" spans="1:10" ht="15.75" thickBot="1" x14ac:dyDescent="0.3">
      <c r="A1730" t="s">
        <v>31</v>
      </c>
      <c r="B1730" s="15" t="str">
        <f>"""Manzana NAV"",""MANZANA"",""99000772"",""44"","" "",""22"",""False"",""43"",""0.00000000000000000000"",""12"",""LBL SIMPLY.ROUNDY'S ORG HCrisp Juice 12/32oz"",""50220"",""False"",""29"","""",""50210"",""False"",""18"","""",""11"",""LJ0193"",""2"",""10000"",""1"",""FJ0193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SIMPLY.ROUNDY'S ORG HCrisp Juice 12/32oz","50220","False","29","","50210","False","18","","11","LJ0193","2","10000","1","FJ0193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0" s="15"/>
      <c r="D1730" s="16" t="str">
        <f>"FJ0193"</f>
        <v>FJ0193</v>
      </c>
      <c r="E1730" s="16">
        <v>10000</v>
      </c>
      <c r="F1730" s="16" t="str">
        <f>"LJ0193"</f>
        <v>LJ0193</v>
      </c>
      <c r="G1730" s="17" t="str">
        <f>"LBL SIMPLY.ROUNDY'S ORG HCrisp Juice 12/32oz"</f>
        <v>LBL SIMPLY.ROUNDY'S ORG HCrisp Juice 12/32oz</v>
      </c>
      <c r="H1730" s="18" t="str">
        <f t="shared" si="173"/>
        <v>LABELS</v>
      </c>
      <c r="I1730" s="19">
        <v>12</v>
      </c>
      <c r="J1730" s="20">
        <v>12</v>
      </c>
    </row>
    <row r="1731" spans="1:10" ht="15.75" thickBot="1" x14ac:dyDescent="0.3">
      <c r="A1731" t="s">
        <v>31</v>
      </c>
      <c r="B1731" s="15" t="str">
        <f>"""Manzana NAV"",""MANZANA"",""99000772"",""44"","" "",""22"",""False"",""43"",""0.00000000000000000000"",""12"",""LBL SPROUTS NAT Apricot Apple Sauce 12/24oz"",""50220"",""False"",""29"","""",""50210"",""False"",""18"","""",""11"",""LS0063"",""2"",""20000"",""1"",""FS0063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Apricot Apple Sauce 12/24oz","50220","False","29","","50210","False","18","","11","LS0063","2","20000","1","FS0063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1" s="15"/>
      <c r="D1731" s="16" t="str">
        <f>"FS0063"</f>
        <v>FS0063</v>
      </c>
      <c r="E1731" s="16">
        <v>20000</v>
      </c>
      <c r="F1731" s="16" t="str">
        <f>"LS0063"</f>
        <v>LS0063</v>
      </c>
      <c r="G1731" s="17" t="str">
        <f>"LBL SPROUTS NAT Apricot Apple Sauce 12/24oz"</f>
        <v>LBL SPROUTS NAT Apricot Apple Sauce 12/24oz</v>
      </c>
      <c r="H1731" s="18" t="str">
        <f t="shared" si="173"/>
        <v>LABELS</v>
      </c>
      <c r="I1731" s="19">
        <v>12</v>
      </c>
      <c r="J1731" s="20">
        <v>12</v>
      </c>
    </row>
    <row r="1732" spans="1:10" ht="15.75" thickBot="1" x14ac:dyDescent="0.3">
      <c r="A1732" t="s">
        <v>31</v>
      </c>
      <c r="B1732" s="15" t="str">
        <f>"""Manzana NAV"",""MANZANA"",""99000772"",""44"","" "",""22"",""False"",""43"",""0.00000000000000000000"",""12"",""LBL SPROUTS NAT Blend Apple Sauce 12/24oz"",""50220"",""False"",""29"","""",""50210"",""False"",""18"","""",""11"",""LS0061"",""2"",""20000"",""1"",""FS0061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Blend Apple Sauce 12/24oz","50220","False","29","","50210","False","18","","11","LS0061","2","20000","1","FS0061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2" s="15"/>
      <c r="D1732" s="16" t="str">
        <f>"FS0061"</f>
        <v>FS0061</v>
      </c>
      <c r="E1732" s="16">
        <v>20000</v>
      </c>
      <c r="F1732" s="16" t="str">
        <f>"LS0061"</f>
        <v>LS0061</v>
      </c>
      <c r="G1732" s="17" t="str">
        <f>"LBL SPROUTS NAT Blend Apple Sauce 12/24oz"</f>
        <v>LBL SPROUTS NAT Blend Apple Sauce 12/24oz</v>
      </c>
      <c r="H1732" s="18" t="str">
        <f t="shared" si="173"/>
        <v>LABELS</v>
      </c>
      <c r="I1732" s="19">
        <v>12</v>
      </c>
      <c r="J1732" s="20">
        <v>12</v>
      </c>
    </row>
    <row r="1733" spans="1:10" ht="15.75" thickBot="1" x14ac:dyDescent="0.3">
      <c r="A1733" t="s">
        <v>31</v>
      </c>
      <c r="B1733" s="15" t="str">
        <f>"""Manzana NAV"",""MANZANA"",""99000772"",""44"","" "",""22"",""False"",""43"",""0.00000000000000000000"",""12"",""LBL SPROUTS NAT Cider 6/64oz"",""50220"",""False"",""29"","""",""50210"",""False"",""18"","""",""11"",""LJ0071"",""2"",""30000"",""1"",""FJ0071"",""14"",""6.00000000000000000000"",""45"",""6.0000000"&amp;"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Cider 6/64oz","50220","False","29","","50210","False","18","","11","LJ0071","2","30000","1","FJ0071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33" s="15"/>
      <c r="D1733" s="16" t="str">
        <f>"FJ0071"</f>
        <v>FJ0071</v>
      </c>
      <c r="E1733" s="16">
        <v>30000</v>
      </c>
      <c r="F1733" s="16" t="str">
        <f>"LJ0071"</f>
        <v>LJ0071</v>
      </c>
      <c r="G1733" s="17" t="str">
        <f>"LBL SPROUTS NAT Cider 6/64oz"</f>
        <v>LBL SPROUTS NAT Cider 6/64oz</v>
      </c>
      <c r="H1733" s="18" t="str">
        <f t="shared" si="173"/>
        <v>LABELS</v>
      </c>
      <c r="I1733" s="19">
        <v>6</v>
      </c>
      <c r="J1733" s="20">
        <v>6</v>
      </c>
    </row>
    <row r="1734" spans="1:10" ht="15.75" thickBot="1" x14ac:dyDescent="0.3">
      <c r="A1734" t="s">
        <v>31</v>
      </c>
      <c r="B1734" s="15" t="str">
        <f>"""Manzana NAV"",""MANZANA"",""99000772"",""44"","" "",""22"",""False"",""43"",""0.00000000000000000000"",""12"",""LBL SPROUTS NAT Cinn Apple Sauce 12/24oz"",""50220"",""False"",""29"","""",""50210"",""False"",""18"","""",""11"",""LS0062"",""2"",""20000"",""1"",""FS0062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Cinn Apple Sauce 12/24oz","50220","False","29","","50210","False","18","","11","LS0062","2","20000","1","FS0062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4" s="15"/>
      <c r="D1734" s="16" t="str">
        <f>"FS0062"</f>
        <v>FS0062</v>
      </c>
      <c r="E1734" s="16">
        <v>20000</v>
      </c>
      <c r="F1734" s="16" t="str">
        <f>"LS0062"</f>
        <v>LS0062</v>
      </c>
      <c r="G1734" s="17" t="str">
        <f>"LBL SPROUTS NAT Cinn Apple Sauce 12/24oz"</f>
        <v>LBL SPROUTS NAT Cinn Apple Sauce 12/24oz</v>
      </c>
      <c r="H1734" s="18" t="str">
        <f t="shared" si="173"/>
        <v>LABELS</v>
      </c>
      <c r="I1734" s="19">
        <v>12</v>
      </c>
      <c r="J1734" s="20">
        <v>12</v>
      </c>
    </row>
    <row r="1735" spans="1:10" ht="15.75" thickBot="1" x14ac:dyDescent="0.3">
      <c r="A1735" t="s">
        <v>31</v>
      </c>
      <c r="B1735" s="15" t="str">
        <f>"""Manzana NAV"",""MANZANA"",""99000772"",""44"","" "",""22"",""False"",""43"",""0.00000000000000000000"",""12"",""LBL SPROUTS ORG Blend Apple Sauce 12/24oz"",""50220"",""False"",""29"","""",""50210"",""False"",""18"","""",""11"",""LS0060"",""2"",""20000"",""1"",""FS0060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Blend Apple Sauce 12/24oz","50220","False","29","","50210","False","18","","11","LS0060","2","20000","1","FS0060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5" s="15"/>
      <c r="D1735" s="16" t="str">
        <f>"FS0060"</f>
        <v>FS0060</v>
      </c>
      <c r="E1735" s="16">
        <v>20000</v>
      </c>
      <c r="F1735" s="16" t="str">
        <f>"LS0060"</f>
        <v>LS0060</v>
      </c>
      <c r="G1735" s="17" t="str">
        <f>"LBL SPROUTS ORG Blend Apple Sauce 12/24oz"</f>
        <v>LBL SPROUTS ORG Blend Apple Sauce 12/24oz</v>
      </c>
      <c r="H1735" s="18" t="str">
        <f t="shared" si="173"/>
        <v>LABELS</v>
      </c>
      <c r="I1735" s="19">
        <v>12</v>
      </c>
      <c r="J1735" s="20">
        <v>12</v>
      </c>
    </row>
    <row r="1736" spans="1:10" ht="15.75" thickBot="1" x14ac:dyDescent="0.3">
      <c r="A1736" t="s">
        <v>31</v>
      </c>
      <c r="B1736" s="15" t="str">
        <f>"""Manzana NAV"",""MANZANA"",""99000772"",""44"","" "",""22"",""False"",""43"",""0.00000000000000000000"",""12"",""LBL SPROUTS ORG Gala Juice 12/32oz"",""50220"",""False"",""29"","""",""50210"",""False"",""18"","""",""11"",""LJ0212"",""2"",""10000"",""1"",""FJ0212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Gala Juice 12/32oz","50220","False","29","","50210","False","18","","11","LJ0212","2","10000","1","FJ0212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6" s="15"/>
      <c r="D1736" s="16" t="str">
        <f>"FJ0212"</f>
        <v>FJ0212</v>
      </c>
      <c r="E1736" s="16">
        <v>10000</v>
      </c>
      <c r="F1736" s="16" t="str">
        <f>"LJ0212"</f>
        <v>LJ0212</v>
      </c>
      <c r="G1736" s="17" t="str">
        <f>"LBL SPROUTS ORG Gala Juice 12/32oz"</f>
        <v>LBL SPROUTS ORG Gala Juice 12/32oz</v>
      </c>
      <c r="H1736" s="18" t="str">
        <f t="shared" si="173"/>
        <v>LABELS</v>
      </c>
      <c r="I1736" s="19">
        <v>12</v>
      </c>
      <c r="J1736" s="20">
        <v>12</v>
      </c>
    </row>
    <row r="1737" spans="1:10" ht="15.75" thickBot="1" x14ac:dyDescent="0.3">
      <c r="A1737" t="s">
        <v>31</v>
      </c>
      <c r="B1737" s="15" t="str">
        <f>"""Manzana NAV"",""MANZANA"",""99000772"",""44"","" "",""22"",""False"",""43"",""0.00000000000000000000"",""12"",""LBL SPROUTS ORG HCrisp Juice 12/32oz"",""50220"",""False"",""29"","""",""50210"",""False"",""18"","""",""11"",""LJ0067"",""2"",""10000"",""1"",""FJ0067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HCrisp Juice 12/32oz","50220","False","29","","50210","False","18","","11","LJ0067","2","10000","1","FJ0067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7" s="15"/>
      <c r="D1737" s="16" t="str">
        <f>"FJ0067"</f>
        <v>FJ0067</v>
      </c>
      <c r="E1737" s="16">
        <v>10000</v>
      </c>
      <c r="F1737" s="16" t="str">
        <f>"LJ0067"</f>
        <v>LJ0067</v>
      </c>
      <c r="G1737" s="17" t="str">
        <f>"LBL SPROUTS ORG HCrisp Juice 12/32oz"</f>
        <v>LBL SPROUTS ORG HCrisp Juice 12/32oz</v>
      </c>
      <c r="H1737" s="18" t="str">
        <f t="shared" si="173"/>
        <v>LABELS</v>
      </c>
      <c r="I1737" s="19">
        <v>12</v>
      </c>
      <c r="J1737" s="20">
        <v>12</v>
      </c>
    </row>
    <row r="1738" spans="1:10" ht="15.75" thickBot="1" x14ac:dyDescent="0.3">
      <c r="A1738" t="s">
        <v>31</v>
      </c>
      <c r="B1738" s="15" t="str">
        <f>"""Manzana NAV"",""MANZANA"",""99000772"",""44"","" "",""22"",""False"",""43"",""0.00000000000000000000"",""12"",""LBL SPROUTS ORG Pumpkin Spice Apple Sauce 12/24oz"",""50220"",""False"",""29"","""",""50210"",""False"",""18"","""",""11"",""LS0147"",""2"",""15000"",""1"",""FS0147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Pumpkin Spice Apple Sauce 12/24oz","50220","False","29","","50210","False","18","","11","LS0147","2","15000","1","FS0147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8" s="15"/>
      <c r="D1738" s="16" t="str">
        <f>"FS0147"</f>
        <v>FS0147</v>
      </c>
      <c r="E1738" s="16">
        <v>15000</v>
      </c>
      <c r="F1738" s="16" t="str">
        <f>"LS0147"</f>
        <v>LS0147</v>
      </c>
      <c r="G1738" s="17" t="str">
        <f>"LBL SPROUTS ORG Pumpkin Spice Apple Sauce 12/24oz"</f>
        <v>LBL SPROUTS ORG Pumpkin Spice Apple Sauce 12/24oz</v>
      </c>
      <c r="H1738" s="18" t="str">
        <f t="shared" si="173"/>
        <v>LABELS</v>
      </c>
      <c r="I1738" s="19">
        <v>12</v>
      </c>
      <c r="J1738" s="20">
        <v>12</v>
      </c>
    </row>
    <row r="1739" spans="1:10" ht="15.75" thickBot="1" x14ac:dyDescent="0.3">
      <c r="A1739" t="s">
        <v>31</v>
      </c>
      <c r="B1739" s="15" t="str">
        <f>"""Manzana NAV"",""MANZANA"",""99000772"",""44"","" "",""22"",""False"",""43"",""0.00000000000000000000"",""12"",""LBL TRADER.JOES ORG Blend Juice 8/64oz PET"",""50220"",""False"",""29"","""",""50210"",""False"",""18"","""",""11"",""LJ0103"",""2"",""15000"",""1"",""FJ0103"",""14"",""8.00000000000000000000"","""&amp;"45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TRADER.JOES ORG Blend Juice 8/64oz PET","50220","False","29","","50210","False","18","","11","LJ0103","2","15000","1","FJ0103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739" s="15"/>
      <c r="D1739" s="16" t="str">
        <f>"FJ0103"</f>
        <v>FJ0103</v>
      </c>
      <c r="E1739" s="16">
        <v>15000</v>
      </c>
      <c r="F1739" s="16" t="str">
        <f>"LJ0103"</f>
        <v>LJ0103</v>
      </c>
      <c r="G1739" s="17" t="str">
        <f>"LBL TRADER.JOES ORG Blend Juice 8/64oz PET"</f>
        <v>LBL TRADER.JOES ORG Blend Juice 8/64oz PET</v>
      </c>
      <c r="H1739" s="18" t="str">
        <f t="shared" si="173"/>
        <v>LABELS</v>
      </c>
      <c r="I1739" s="19">
        <v>8</v>
      </c>
      <c r="J1739" s="20">
        <v>8</v>
      </c>
    </row>
    <row r="1740" spans="1:10" ht="15.75" thickBot="1" x14ac:dyDescent="0.3">
      <c r="A1740" t="s">
        <v>31</v>
      </c>
      <c r="B1740" s="15" t="str">
        <f>"""Manzana NAV"",""MANZANA"",""99000772"",""44"","" "",""22"",""False"",""43"",""0.00000000000000000000"",""12"",""LBL TRADER.JOES ORG Grape Juice 12/32oz"",""50220"",""False"",""29"","""",""50210"",""False"",""18"","""",""11"",""LJ0075"",""2"",""10000"",""1"",""FJ0075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TRADER.JOES ORG Grape Juice 12/32oz","50220","False","29","","50210","False","18","","11","LJ0075","2","10000","1","FJ0075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40" s="15"/>
      <c r="D1740" s="16" t="str">
        <f>"FJ0075"</f>
        <v>FJ0075</v>
      </c>
      <c r="E1740" s="16">
        <v>10000</v>
      </c>
      <c r="F1740" s="16" t="str">
        <f>"LJ0075"</f>
        <v>LJ0075</v>
      </c>
      <c r="G1740" s="17" t="str">
        <f>"LBL TRADER.JOES ORG Grape Juice 12/32oz"</f>
        <v>LBL TRADER.JOES ORG Grape Juice 12/32oz</v>
      </c>
      <c r="H1740" s="18" t="str">
        <f t="shared" si="173"/>
        <v>LABELS</v>
      </c>
      <c r="I1740" s="19">
        <v>12</v>
      </c>
      <c r="J1740" s="20">
        <v>12</v>
      </c>
    </row>
    <row r="1741" spans="1:10" ht="15.75" thickBot="1" x14ac:dyDescent="0.3">
      <c r="A1741" t="s">
        <v>31</v>
      </c>
      <c r="B1741" s="15" t="str">
        <f>"""Manzana NAV"",""MANZANA"",""99000772"",""44"","" "",""22"",""False"",""43"",""0.00000000000000000000"",""12"",""LBL TRADER.JOES ORG Vinegar 12/16oz"",""50220"",""False"",""29"","""",""50210"",""False"",""18"","""",""11"",""LV0020"",""2"",""10000"",""1"",""FV0048"",""14"",""24.00000000000000000000"",""45"",""2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TRADER.JOES ORG Vinegar 12/16oz","50220","False","29","","50210","False","18","","11","LV0020","2","10000","1","FV0048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741" s="15"/>
      <c r="D1741" s="16" t="str">
        <f>"FV0048"</f>
        <v>FV0048</v>
      </c>
      <c r="E1741" s="16">
        <v>10000</v>
      </c>
      <c r="F1741" s="16" t="str">
        <f>"LV0020"</f>
        <v>LV0020</v>
      </c>
      <c r="G1741" s="17" t="str">
        <f>"LBL TRADER.JOES ORG Vinegar 12/16oz"</f>
        <v>LBL TRADER.JOES ORG Vinegar 12/16oz</v>
      </c>
      <c r="H1741" s="18" t="str">
        <f t="shared" si="173"/>
        <v>LABELS</v>
      </c>
      <c r="I1741" s="19">
        <v>24</v>
      </c>
      <c r="J1741" s="20">
        <v>24</v>
      </c>
    </row>
    <row r="1742" spans="1:10" ht="15.75" thickBot="1" x14ac:dyDescent="0.3">
      <c r="A1742" t="s">
        <v>31</v>
      </c>
      <c r="B1742" s="15" t="str">
        <f>"""Manzana NAV"",""MANZANA"",""99000772"",""44"","" "",""22"",""False"",""43"",""0.00000000000000000000"",""12"",""LBL WHOLE FOODS ORG Grav Juice 12/32oz"",""50220"",""False"",""29"","""",""50210"",""False"",""18"","""",""11"",""LJ0211"",""2"",""10000"",""1"",""FJ0211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 FOODS ORG Grav Juice 12/32oz","50220","False","29","","50210","False","18","","11","LJ0211","2","10000","1","FJ0211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42" s="15"/>
      <c r="D1742" s="16" t="str">
        <f>"FJ0211"</f>
        <v>FJ0211</v>
      </c>
      <c r="E1742" s="16">
        <v>10000</v>
      </c>
      <c r="F1742" s="16" t="str">
        <f>"LJ0211"</f>
        <v>LJ0211</v>
      </c>
      <c r="G1742" s="17" t="str">
        <f>"LBL WHOLE FOODS ORG Grav Juice 12/32oz"</f>
        <v>LBL WHOLE FOODS ORG Grav Juice 12/32oz</v>
      </c>
      <c r="H1742" s="18" t="str">
        <f t="shared" si="173"/>
        <v>LABELS</v>
      </c>
      <c r="I1742" s="19">
        <v>12</v>
      </c>
      <c r="J1742" s="20">
        <v>12</v>
      </c>
    </row>
    <row r="1743" spans="1:10" ht="15.75" thickBot="1" x14ac:dyDescent="0.3">
      <c r="A1743" t="s">
        <v>31</v>
      </c>
      <c r="B1743" s="15" t="str">
        <f>"""Manzana NAV"",""MANZANA"",""99000772"",""44"","" "",""22"",""False"",""43"",""0.00000000000000000000"",""12"",""LBL WHOLE.FOODS ORG Blend Juice 4/128oz"",""50220"",""False"",""29"","""",""50210"",""False"",""18"","""",""11"",""LJ0078"",""2"",""10000"",""1"",""FJ0078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Blend Juice 4/128oz","50220","False","29","","50210","False","18","","11","LJ0078","2","10000","1","FJ0078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743" s="15"/>
      <c r="D1743" s="16" t="str">
        <f>"FJ0078"</f>
        <v>FJ0078</v>
      </c>
      <c r="E1743" s="16">
        <v>10000</v>
      </c>
      <c r="F1743" s="16" t="str">
        <f>"LJ0078"</f>
        <v>LJ0078</v>
      </c>
      <c r="G1743" s="17" t="str">
        <f>"LBL WHOLE.FOODS ORG Blend Juice 4/128oz"</f>
        <v>LBL WHOLE.FOODS ORG Blend Juice 4/128oz</v>
      </c>
      <c r="H1743" s="18" t="str">
        <f t="shared" si="173"/>
        <v>LABELS</v>
      </c>
      <c r="I1743" s="19">
        <v>4</v>
      </c>
      <c r="J1743" s="20">
        <v>4</v>
      </c>
    </row>
    <row r="1744" spans="1:10" ht="15.75" thickBot="1" x14ac:dyDescent="0.3">
      <c r="A1744" t="s">
        <v>31</v>
      </c>
      <c r="B1744" s="15" t="str">
        <f>"""Manzana NAV"",""MANZANA"",""99000772"",""44"","" "",""22"",""False"",""43"",""0.00000000000000000000"",""12"",""LBL WHOLE.FOODS ORG Blend Juice 6/64oz"",""50220"",""False"",""29"","""",""50210"",""False"",""18"","""",""11"",""LJ0089"",""2"",""10000"",""1"",""FJ0089"",""14"",""6.00000000000000000000"",""45"","&amp;"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Blend Juice 6/64oz","50220","False","29","","50210","False","18","","11","LJ0089","2","10000","1","FJ0089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44" s="15"/>
      <c r="D1744" s="16" t="str">
        <f>"FJ0089"</f>
        <v>FJ0089</v>
      </c>
      <c r="E1744" s="16">
        <v>10000</v>
      </c>
      <c r="F1744" s="16" t="str">
        <f>"LJ0089"</f>
        <v>LJ0089</v>
      </c>
      <c r="G1744" s="17" t="str">
        <f>"LBL WHOLE.FOODS ORG Blend Juice 6/64oz"</f>
        <v>LBL WHOLE.FOODS ORG Blend Juice 6/64oz</v>
      </c>
      <c r="H1744" s="18" t="str">
        <f t="shared" si="173"/>
        <v>LABELS</v>
      </c>
      <c r="I1744" s="19">
        <v>6</v>
      </c>
      <c r="J1744" s="20">
        <v>6</v>
      </c>
    </row>
    <row r="1745" spans="1:10" ht="15.75" thickBot="1" x14ac:dyDescent="0.3">
      <c r="A1745" t="s">
        <v>31</v>
      </c>
      <c r="B1745" s="15" t="str">
        <f>"""Manzana NAV"",""MANZANA"",""99000772"",""44"","" "",""22"",""False"",""43"",""0.00000000000000000000"",""12"",""LBL WHOLE.FOODS ORG Grav Juice 6/64oz"",""50220"",""False"",""29"","""",""50210"",""False"",""18"","""",""11"",""LJ0087"",""2"",""10000"",""1"",""FJ0087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Grav Juice 6/64oz","50220","False","29","","50210","False","18","","11","LJ0087","2","10000","1","FJ0087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45" s="15"/>
      <c r="D1745" s="16" t="str">
        <f>"FJ0087"</f>
        <v>FJ0087</v>
      </c>
      <c r="E1745" s="16">
        <v>10000</v>
      </c>
      <c r="F1745" s="16" t="str">
        <f>"LJ0087"</f>
        <v>LJ0087</v>
      </c>
      <c r="G1745" s="17" t="str">
        <f>"LBL WHOLE.FOODS ORG Grav Juice 6/64oz"</f>
        <v>LBL WHOLE.FOODS ORG Grav Juice 6/64oz</v>
      </c>
      <c r="H1745" s="18" t="str">
        <f t="shared" si="173"/>
        <v>LABELS</v>
      </c>
      <c r="I1745" s="19">
        <v>6</v>
      </c>
      <c r="J1745" s="20">
        <v>6</v>
      </c>
    </row>
    <row r="1746" spans="1:10" ht="15.75" thickBot="1" x14ac:dyDescent="0.3">
      <c r="A1746" t="s">
        <v>31</v>
      </c>
      <c r="B1746" s="15" t="str">
        <f>"""Manzana NAV"",""MANZANA"",""99000772"",""44"","" "",""22"",""False"",""43"",""0.00000000000000000000"",""12"",""LBL WHOLE.FOODS ORG HCrisp Juice 12/32oz"",""50220"",""False"",""29"","""",""50210"",""False"",""18"","""",""11"",""LJ0088"",""2"",""10000"",""1"",""FJ0088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HCrisp Juice 12/32oz","50220","False","29","","50210","False","18","","11","LJ0088","2","10000","1","FJ0088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46" s="15"/>
      <c r="D1746" s="16" t="str">
        <f>"FJ0088"</f>
        <v>FJ0088</v>
      </c>
      <c r="E1746" s="16">
        <v>10000</v>
      </c>
      <c r="F1746" s="16" t="str">
        <f>"LJ0088"</f>
        <v>LJ0088</v>
      </c>
      <c r="G1746" s="17" t="str">
        <f>"LBL WHOLE.FOODS ORG HCrisp Juice 12/32oz"</f>
        <v>LBL WHOLE.FOODS ORG HCrisp Juice 12/32oz</v>
      </c>
      <c r="H1746" s="18" t="str">
        <f t="shared" si="173"/>
        <v>LABELS</v>
      </c>
      <c r="I1746" s="19">
        <v>12</v>
      </c>
      <c r="J1746" s="20">
        <v>12</v>
      </c>
    </row>
    <row r="1747" spans="1:10" ht="15.75" thickBot="1" x14ac:dyDescent="0.3">
      <c r="A1747" t="s">
        <v>31</v>
      </c>
      <c r="B1747" s="15" t="str">
        <f>"""Manzana NAV"",""MANZANA"",""99000772"",""44"","" "",""22"",""False"",""43"",""0.00000000000000000000"",""12"",""missing 10oz org pear BRITE"",""50220"",""False"",""29"","""",""50210"",""False"",""18"","""",""11"","""",""2"",""20000"",""1"",""IJ030L"",""14"",""0.00000000000000000000"",""45"",""0.00000000000000"&amp;"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10oz org pear BRITE","50220","False","29","","50210","False","18","","11","","2","20000","1","IJ030L","14","0.00000000000000000000","45","0.00000000000000000000","19","","20","0.00000000000000000000","50000","0.00000000000000000000","50230","False","28","","10","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47" s="15"/>
      <c r="D1747" s="16" t="str">
        <f>"IJ030L"</f>
        <v>IJ030L</v>
      </c>
      <c r="E1747" s="16">
        <v>20000</v>
      </c>
      <c r="F1747" s="16"/>
      <c r="G1747" s="17" t="str">
        <f>"missing 10oz org pear BRITE"</f>
        <v>missing 10oz org pear BRITE</v>
      </c>
      <c r="H1747" s="18"/>
      <c r="I1747" s="19">
        <v>0</v>
      </c>
      <c r="J1747" s="20">
        <v>0</v>
      </c>
    </row>
    <row r="1748" spans="1:10" ht="15.75" thickBot="1" x14ac:dyDescent="0.3">
      <c r="A1748" t="s">
        <v>31</v>
      </c>
      <c r="B1748" s="15" t="str">
        <f>"""Manzana NAV"",""MANZANA"",""99000772"",""44"","" "",""22"",""False"",""43"",""0.00000000000000000000"",""12"",""missing BRITE 48oz blend juice"",""50220"",""False"",""29"","""",""50210"",""False"",""18"","""",""11"","""",""2"",""10000"",""1"",""IJ003L"",""14"",""0.00000000000000000000"",""45"",""0.00000000000"&amp;"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48oz blend juice","50220","False","29","","50210","False","18","","11","","2","10000","1","IJ003L","14","0.00000000000000000000","45","0.00000000000000000000","19","","20","0.00000000000000000000","50000","0.00000000000000000000","50230","False","28","","10","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48" s="15"/>
      <c r="D1748" s="16" t="str">
        <f>"IJ003L"</f>
        <v>IJ003L</v>
      </c>
      <c r="E1748" s="16">
        <v>10000</v>
      </c>
      <c r="F1748" s="16"/>
      <c r="G1748" s="17" t="str">
        <f>"missing BRITE 48oz blend juice"</f>
        <v>missing BRITE 48oz blend juice</v>
      </c>
      <c r="H1748" s="18"/>
      <c r="I1748" s="19">
        <v>0</v>
      </c>
      <c r="J1748" s="20">
        <v>0</v>
      </c>
    </row>
    <row r="1749" spans="1:10" ht="15.75" thickBot="1" x14ac:dyDescent="0.3">
      <c r="A1749" t="s">
        <v>31</v>
      </c>
      <c r="B1749" s="15" t="str">
        <f>"""Manzana NAV"",""MANZANA"",""99000772"",""44"","" "",""22"",""False"",""43"",""0.00000000000000000000"",""12"",""missing BRITE Grav 10oz"",""50220"",""False"",""29"","""",""50210"",""False"",""18"","""",""11"","""",""2"",""10000"",""1"",""IJ009L"",""14"",""0.00000000000000000000"",""45"",""0.000000000000000000"&amp;"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Grav 10oz","50220","False","29","","50210","False","18","","11","","2","10000","1","IJ009L","14","0.00000000000000000000","45","0.00000000000000000000","19","","20","0.00000000000000000000","50000","0.00000000000000000000","50230","False","28","","10","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49" s="15"/>
      <c r="D1749" s="16" t="str">
        <f>"IJ009L"</f>
        <v>IJ009L</v>
      </c>
      <c r="E1749" s="16">
        <v>10000</v>
      </c>
      <c r="F1749" s="16"/>
      <c r="G1749" s="17" t="str">
        <f>"missing BRITE Grav 10oz"</f>
        <v>missing BRITE Grav 10oz</v>
      </c>
      <c r="H1749" s="18"/>
      <c r="I1749" s="19">
        <v>0</v>
      </c>
      <c r="J1749" s="20">
        <v>0</v>
      </c>
    </row>
    <row r="1750" spans="1:10" ht="15.75" thickBot="1" x14ac:dyDescent="0.3">
      <c r="A1750" t="s">
        <v>31</v>
      </c>
      <c r="B1750" s="15" t="str">
        <f>"""Manzana NAV"",""MANZANA"",""99000772"",""44"","" "",""22"",""False"",""43"",""0.00000000000000000000"",""12"",""missing BRITE NAT GRAV Juice 48oz"",""50220"",""False"",""29"","""",""50210"",""False"",""18"","""",""11"","""",""2"",""10000"",""1"",""IJ032L"",""14"",""0.00000000000000000000"",""45"",""0.00000000"&amp;"000000000000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NAT GRAV Juice 48oz","50220","False","29","","50210","False","18","","11","","2","10000","1","IJ032L","14","0.00000000000000000000","45","0.00000000000000000000","19","","20","0.00000000000000000000","50000","0.00000000000000000000","50230","False","28","","10","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0" s="15"/>
      <c r="D1750" s="16" t="str">
        <f>"IJ032L"</f>
        <v>IJ032L</v>
      </c>
      <c r="E1750" s="16">
        <v>10000</v>
      </c>
      <c r="F1750" s="16"/>
      <c r="G1750" s="17" t="str">
        <f>"missing BRITE NAT GRAV Juice 48oz"</f>
        <v>missing BRITE NAT GRAV Juice 48oz</v>
      </c>
      <c r="H1750" s="18"/>
      <c r="I1750" s="19">
        <v>0</v>
      </c>
      <c r="J1750" s="20">
        <v>0</v>
      </c>
    </row>
    <row r="1751" spans="1:10" ht="15.75" thickBot="1" x14ac:dyDescent="0.3">
      <c r="A1751" t="s">
        <v>31</v>
      </c>
      <c r="B1751" s="15" t="str">
        <f>"""Manzana NAV"",""MANZANA"",""99000772"",""44"","" "",""22"",""False"",""43"",""0.00000000000000000000"",""12"",""missing BRITE ORG Filtered vinegar 32oz"",""50220"",""False"",""29"","""",""50210"",""False"",""18"","""",""11"","""",""2"",""10000"",""1"",""IV014L"",""14"",""0.00000000000000000000"",""45"",""0.00"&amp;"000000000000000000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ORG Filtered vinegar 32oz","50220","False","29","","50210","False","18","","11","","2","10000","1","IV014L","14","0.00000000000000000000","45","0.00000000000000000000","19","","20","0.00000000000000000000","50000","0.00000000000000000000","50230","False","28","","10","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1" s="15"/>
      <c r="D1751" s="16" t="str">
        <f>"IV014L"</f>
        <v>IV014L</v>
      </c>
      <c r="E1751" s="16">
        <v>10000</v>
      </c>
      <c r="F1751" s="16"/>
      <c r="G1751" s="17" t="str">
        <f>"missing BRITE ORG Filtered vinegar 32oz"</f>
        <v>missing BRITE ORG Filtered vinegar 32oz</v>
      </c>
      <c r="H1751" s="18"/>
      <c r="I1751" s="19">
        <v>0</v>
      </c>
      <c r="J1751" s="20">
        <v>0</v>
      </c>
    </row>
    <row r="1752" spans="1:10" ht="15.75" thickBot="1" x14ac:dyDescent="0.3">
      <c r="A1752" t="s">
        <v>31</v>
      </c>
      <c r="B1752" s="15" t="str">
        <f>"""Manzana NAV"",""MANZANA"",""99000772"",""44"","" "",""22"",""False"",""43"",""0.00000000000000000000"",""12"",""missing BRITE PET Juice bottle"",""50220"",""False"",""29"","""",""50210"",""False"",""18"","""",""11"","""",""2"",""10000"",""1"",""IJ006L"",""14"",""0.00000000000000000000"",""45"",""0.00000000000"&amp;"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PET Juice bottle","50220","False","29","","50210","False","18","","11","","2","10000","1","IJ006L","14","0.00000000000000000000","45","0.00000000000000000000","19","","20","0.00000000000000000000","50000","0.00000000000000000000","50230","False","28","","10","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2" s="15"/>
      <c r="D1752" s="16" t="str">
        <f>"IJ006L"</f>
        <v>IJ006L</v>
      </c>
      <c r="E1752" s="16">
        <v>10000</v>
      </c>
      <c r="F1752" s="16"/>
      <c r="G1752" s="17" t="str">
        <f>"missing BRITE PET Juice bottle"</f>
        <v>missing BRITE PET Juice bottle</v>
      </c>
      <c r="H1752" s="18"/>
      <c r="I1752" s="19">
        <v>0</v>
      </c>
      <c r="J1752" s="20">
        <v>0</v>
      </c>
    </row>
    <row r="1753" spans="1:10" ht="15.75" thickBot="1" x14ac:dyDescent="0.3">
      <c r="A1753" t="s">
        <v>31</v>
      </c>
      <c r="B1753" s="15" t="str">
        <f>"""Manzana NAV"",""MANZANA"",""99000772"",""44"","" "",""22"",""False"",""43"",""0.00000000000000000000"",""12"",""missing: recipe for juice from concentrate"",""50220"",""False"",""29"","""",""50210"",""False"",""18"","""",""11"","""",""2"",""30000"",""1"",""IJ040"",""14"",""0.00000000000000000000"",""45"",""0."&amp;"00000000000000000000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","22","False","43","0.00000000000000000000","12","missing: recipe for juice from concentrate","50220","False","29","","50210","False","18","","11","","2","30000","1","IJ040","14","0.00000000000000000000","45","0.00000000000000000000","19","","20","0.00000000000000000000","50000","0.00000000000000000000","50230","False","28","","10","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3" s="15"/>
      <c r="D1753" s="16" t="str">
        <f>"IJ040"</f>
        <v>IJ040</v>
      </c>
      <c r="E1753" s="16">
        <v>30000</v>
      </c>
      <c r="F1753" s="16"/>
      <c r="G1753" s="17" t="str">
        <f>"missing: recipe for juice from concentrate"</f>
        <v>missing: recipe for juice from concentrate</v>
      </c>
      <c r="H1753" s="18"/>
      <c r="I1753" s="19">
        <v>0</v>
      </c>
      <c r="J1753" s="20">
        <v>0</v>
      </c>
    </row>
    <row r="1754" spans="1:10" ht="15.75" thickBot="1" x14ac:dyDescent="0.3">
      <c r="A1754" t="s">
        <v>31</v>
      </c>
      <c r="B1754" s="15" t="str">
        <f>"""Manzana NAV"",""MANZANA"",""99000772"",""44"","" "",""22"",""False"",""43"",""0.00000000000000000000"",""12"",""N.COAST ORG Spiced Cider 6/64oz"",""50220"",""False"",""29"","""",""50210"",""False"",""18"","""",""11"",""FJ0081"",""2"",""10000"",""1"",""FJ0196"",""14"",""6.00000000000000000000"",""45"",""6.0000"&amp;"0000000000000000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","22","False","43","0.00000000000000000000","12","N.COAST ORG Spiced Cider 6/64oz","50220","False","29","","50210","False","18","","11","FJ0081","2","10000","1","FJ0196","14","6.00000000000000000000","45","6.00000000000000000000","19","","20","0.00000000000000000000","50000","0.00000000000000000000","50230","False","28","","10","Item","13","CASES","21","","3","","42","0.00000000000000000000","50200","False","41","0.00000000000000000000"</v>
      </c>
      <c r="C1754" s="15"/>
      <c r="D1754" s="16" t="str">
        <f>"FJ0196"</f>
        <v>FJ0196</v>
      </c>
      <c r="E1754" s="16">
        <v>10000</v>
      </c>
      <c r="F1754" s="16" t="str">
        <f>"FJ0081"</f>
        <v>FJ0081</v>
      </c>
      <c r="G1754" s="17" t="str">
        <f>"N.COAST ORG Spiced Cider 6/64oz"</f>
        <v>N.COAST ORG Spiced Cider 6/64oz</v>
      </c>
      <c r="H1754" s="18" t="str">
        <f>"CASES"</f>
        <v>CASES</v>
      </c>
      <c r="I1754" s="19">
        <v>6</v>
      </c>
      <c r="J1754" s="20">
        <v>6</v>
      </c>
    </row>
    <row r="1755" spans="1:10" ht="15.75" thickBot="1" x14ac:dyDescent="0.3">
      <c r="A1755" t="s">
        <v>31</v>
      </c>
      <c r="B1755" s="15" t="str">
        <f>"""Manzana NAV"",""MANZANA"",""99000772"",""44"","" "",""22"",""False"",""43"",""0.00000000000000000000"",""12"",""OBSOLETE LBL MOLLIE.STONES ORG Apricot AS 12/24oz"",""50220"",""False"",""29"","""",""50210"",""False"",""18"","""",""11"",""LS0050"",""2"",""10000"",""1"",""FS0050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","22","False","43","0.00000000000000000000","12","OBSOLETE LBL MOLLIE.STONES ORG Apricot AS 12/24oz","50220","False","29","","50210","False","18","","11","LS0050","2","10000","1","FS0050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55" s="15"/>
      <c r="D1755" s="16" t="str">
        <f>"FS0050"</f>
        <v>FS0050</v>
      </c>
      <c r="E1755" s="16">
        <v>10000</v>
      </c>
      <c r="F1755" s="16" t="str">
        <f>"LS0050"</f>
        <v>LS0050</v>
      </c>
      <c r="G1755" s="17" t="str">
        <f>"OBSOLETE LBL MOLLIE.STONES ORG Apricot AS 12/24oz"</f>
        <v>OBSOLETE LBL MOLLIE.STONES ORG Apricot AS 12/24oz</v>
      </c>
      <c r="H1755" s="18" t="str">
        <f>"LABELS"</f>
        <v>LABELS</v>
      </c>
      <c r="I1755" s="19">
        <v>12</v>
      </c>
      <c r="J1755" s="20">
        <v>12</v>
      </c>
    </row>
    <row r="1756" spans="1:10" ht="15.75" thickBot="1" x14ac:dyDescent="0.3">
      <c r="A1756" t="s">
        <v>31</v>
      </c>
      <c r="B1756" s="15" t="str">
        <f>"""Manzana NAV"",""MANZANA"",""99000772"",""44"","" "",""22"",""False"",""43"",""0.00000000000000000000"",""12"",""ORG AC Vinegar 50 grain - BULK"",""50220"",""False"",""29"","""",""50210"",""False"",""18"","""",""11"",""FV9998"",""2"",""10000"",""1"",""FV9992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10000","1","FV9992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56" s="15"/>
      <c r="D1756" s="16" t="str">
        <f>"FV9992"</f>
        <v>FV9992</v>
      </c>
      <c r="E1756" s="16">
        <v>10000</v>
      </c>
      <c r="F1756" s="16" t="str">
        <f t="shared" ref="F1756:F1764" si="174">"FV9998"</f>
        <v>FV9998</v>
      </c>
      <c r="G1756" s="17" t="str">
        <f t="shared" ref="G1756:G1764" si="175">"ORG AC Vinegar 50 grain - BULK"</f>
        <v>ORG AC Vinegar 50 grain - BULK</v>
      </c>
      <c r="H1756" s="18" t="str">
        <f t="shared" ref="H1756:H1779" si="176">"GAL"</f>
        <v>GAL</v>
      </c>
      <c r="I1756" s="19">
        <v>1</v>
      </c>
      <c r="J1756" s="20">
        <v>1</v>
      </c>
    </row>
    <row r="1757" spans="1:10" ht="15.75" thickBot="1" x14ac:dyDescent="0.3">
      <c r="A1757" t="s">
        <v>31</v>
      </c>
      <c r="B1757" s="15" t="str">
        <f>"""Manzana NAV"",""MANZANA"",""99000772"",""44"","" "",""22"",""False"",""43"",""0.00000000000000000000"",""12"",""ORG AC Vinegar 50 grain - BULK"",""50220"",""False"",""29"","""",""50210"",""False"",""18"","""",""11"",""FV9998"",""2"",""20000"",""1"",""FV9984"",""14"",""55.00000000000000000000"",""45"",""55.000"&amp;"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20000","1","FV9984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57" s="15"/>
      <c r="D1757" s="16" t="str">
        <f>"FV9984"</f>
        <v>FV9984</v>
      </c>
      <c r="E1757" s="16">
        <v>20000</v>
      </c>
      <c r="F1757" s="16" t="str">
        <f t="shared" si="174"/>
        <v>FV9998</v>
      </c>
      <c r="G1757" s="17" t="str">
        <f t="shared" si="175"/>
        <v>ORG AC Vinegar 50 grain - BULK</v>
      </c>
      <c r="H1757" s="18" t="str">
        <f t="shared" si="176"/>
        <v>GAL</v>
      </c>
      <c r="I1757" s="19">
        <v>55</v>
      </c>
      <c r="J1757" s="20">
        <v>55</v>
      </c>
    </row>
    <row r="1758" spans="1:10" ht="15.75" thickBot="1" x14ac:dyDescent="0.3">
      <c r="A1758" t="s">
        <v>31</v>
      </c>
      <c r="B1758" s="15" t="str">
        <f>"""Manzana NAV"",""MANZANA"",""99000772"",""44"","" "",""22"",""False"",""43"",""0.00000000000000000000"",""12"",""ORG AC Vinegar 50 grain - BULK"",""50220"",""False"",""29"","""",""50210"",""False"",""18"","""",""11"",""FV9998"",""2"",""30000"",""1"",""IV001"",""14"",""0.12500000000000000000"",""45"",""0.125000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001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1758" s="15"/>
      <c r="D1758" s="16" t="str">
        <f>"IV001"</f>
        <v>IV001</v>
      </c>
      <c r="E1758" s="16">
        <v>30000</v>
      </c>
      <c r="F1758" s="16" t="str">
        <f t="shared" si="174"/>
        <v>FV9998</v>
      </c>
      <c r="G1758" s="17" t="str">
        <f t="shared" si="175"/>
        <v>ORG AC Vinegar 50 grain - BULK</v>
      </c>
      <c r="H1758" s="18" t="str">
        <f t="shared" si="176"/>
        <v>GAL</v>
      </c>
      <c r="I1758" s="19">
        <v>0.125</v>
      </c>
      <c r="J1758" s="20">
        <v>0.125</v>
      </c>
    </row>
    <row r="1759" spans="1:10" ht="15.75" thickBot="1" x14ac:dyDescent="0.3">
      <c r="A1759" t="s">
        <v>31</v>
      </c>
      <c r="B1759" s="15" t="str">
        <f>"""Manzana NAV"",""MANZANA"",""99000772"",""44"","" "",""22"",""False"",""43"",""0.00000000000000000000"",""12"",""ORG AC Vinegar 50 grain - BULK"",""50220"",""False"",""29"","""",""50210"",""False"",""18"","""",""11"",""FV9998"",""2"",""30000"",""1"",""IV003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003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59" s="15"/>
      <c r="D1759" s="16" t="str">
        <f>"IV003"</f>
        <v>IV003</v>
      </c>
      <c r="E1759" s="16">
        <v>30000</v>
      </c>
      <c r="F1759" s="16" t="str">
        <f t="shared" si="174"/>
        <v>FV9998</v>
      </c>
      <c r="G1759" s="17" t="str">
        <f t="shared" si="175"/>
        <v>ORG AC Vinegar 50 grain - BULK</v>
      </c>
      <c r="H1759" s="18" t="str">
        <f t="shared" si="176"/>
        <v>GAL</v>
      </c>
      <c r="I1759" s="19">
        <v>0.25</v>
      </c>
      <c r="J1759" s="20">
        <v>0.25</v>
      </c>
    </row>
    <row r="1760" spans="1:10" ht="15.75" thickBot="1" x14ac:dyDescent="0.3">
      <c r="A1760" t="s">
        <v>31</v>
      </c>
      <c r="B1760" s="15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013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013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60" s="15"/>
      <c r="D1760" s="16" t="str">
        <f>"IV013"</f>
        <v>IV013</v>
      </c>
      <c r="E1760" s="16">
        <v>30000</v>
      </c>
      <c r="F1760" s="16" t="str">
        <f t="shared" si="174"/>
        <v>FV9998</v>
      </c>
      <c r="G1760" s="17" t="str">
        <f t="shared" si="175"/>
        <v>ORG AC Vinegar 50 grain - BULK</v>
      </c>
      <c r="H1760" s="18" t="str">
        <f t="shared" si="176"/>
        <v>GAL</v>
      </c>
      <c r="I1760" s="19">
        <v>1</v>
      </c>
      <c r="J1760" s="20">
        <v>1</v>
      </c>
    </row>
    <row r="1761" spans="1:10" ht="15.75" thickBot="1" x14ac:dyDescent="0.3">
      <c r="A1761" t="s">
        <v>31</v>
      </c>
      <c r="B1761" s="15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014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014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61" s="15"/>
      <c r="D1761" s="16" t="str">
        <f>"IV014"</f>
        <v>IV014</v>
      </c>
      <c r="E1761" s="16">
        <v>30000</v>
      </c>
      <c r="F1761" s="16" t="str">
        <f t="shared" si="174"/>
        <v>FV9998</v>
      </c>
      <c r="G1761" s="17" t="str">
        <f t="shared" si="175"/>
        <v>ORG AC Vinegar 50 grain - BULK</v>
      </c>
      <c r="H1761" s="18" t="str">
        <f t="shared" si="176"/>
        <v>GAL</v>
      </c>
      <c r="I1761" s="19">
        <v>0.25</v>
      </c>
      <c r="J1761" s="20">
        <v>0.25</v>
      </c>
    </row>
    <row r="1762" spans="1:10" ht="15.75" thickBot="1" x14ac:dyDescent="0.3">
      <c r="A1762" t="s">
        <v>31</v>
      </c>
      <c r="B1762" s="15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016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016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1762" s="15"/>
      <c r="D1762" s="16" t="str">
        <f>"IV016"</f>
        <v>IV016</v>
      </c>
      <c r="E1762" s="16">
        <v>30000</v>
      </c>
      <c r="F1762" s="16" t="str">
        <f t="shared" si="174"/>
        <v>FV9998</v>
      </c>
      <c r="G1762" s="17" t="str">
        <f t="shared" si="175"/>
        <v>ORG AC Vinegar 50 grain - BULK</v>
      </c>
      <c r="H1762" s="18" t="str">
        <f t="shared" si="176"/>
        <v>GAL</v>
      </c>
      <c r="I1762" s="19">
        <v>0.5</v>
      </c>
      <c r="J1762" s="20">
        <v>0.5</v>
      </c>
    </row>
    <row r="1763" spans="1:10" ht="15.75" thickBot="1" x14ac:dyDescent="0.3">
      <c r="A1763" t="s">
        <v>31</v>
      </c>
      <c r="B1763" s="15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017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017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63" s="15"/>
      <c r="D1763" s="16" t="str">
        <f>"IV017"</f>
        <v>IV017</v>
      </c>
      <c r="E1763" s="16">
        <v>30000</v>
      </c>
      <c r="F1763" s="16" t="str">
        <f t="shared" si="174"/>
        <v>FV9998</v>
      </c>
      <c r="G1763" s="17" t="str">
        <f t="shared" si="175"/>
        <v>ORG AC Vinegar 50 grain - BULK</v>
      </c>
      <c r="H1763" s="18" t="str">
        <f t="shared" si="176"/>
        <v>GAL</v>
      </c>
      <c r="I1763" s="19">
        <v>0.25</v>
      </c>
      <c r="J1763" s="20">
        <v>0.25</v>
      </c>
    </row>
    <row r="1764" spans="1:10" ht="15.75" thickBot="1" x14ac:dyDescent="0.3">
      <c r="A1764" t="s">
        <v>31</v>
      </c>
      <c r="B1764" s="15" t="str">
        <f>"""Manzana NAV"",""MANZANA"",""99000772"",""44"","" "",""22"",""False"",""43"",""0.00000000000000000000"",""12"",""ORG AC Vinegar 50 grain - BULK"",""50220"",""False"",""29"","""",""50210"",""False"",""18"","""",""11"",""FV9998"",""2"",""40000"",""1"",""IV011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40000","1","IV011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64" s="15"/>
      <c r="D1764" s="16" t="str">
        <f>"IV011"</f>
        <v>IV011</v>
      </c>
      <c r="E1764" s="16">
        <v>40000</v>
      </c>
      <c r="F1764" s="16" t="str">
        <f t="shared" si="174"/>
        <v>FV9998</v>
      </c>
      <c r="G1764" s="17" t="str">
        <f t="shared" si="175"/>
        <v>ORG AC Vinegar 50 grain - BULK</v>
      </c>
      <c r="H1764" s="18" t="str">
        <f t="shared" si="176"/>
        <v>GAL</v>
      </c>
      <c r="I1764" s="19">
        <v>1</v>
      </c>
      <c r="J1764" s="20">
        <v>1</v>
      </c>
    </row>
    <row r="1765" spans="1:10" ht="15.75" thickBot="1" x14ac:dyDescent="0.3">
      <c r="A1765" t="s">
        <v>31</v>
      </c>
      <c r="B1765" s="15" t="str">
        <f>"""Manzana NAV"",""MANZANA"",""99000772"",""44"","" "",""22"",""False"",""43"",""0.00000000000000000000"",""12"",""ORG AC Vinegar 50gr - Pasteurized Filtered - BULK"",""50220"",""False"",""29"","""",""50210"",""False"",""18"","""",""11"",""FV9991"",""2"",""10000"",""1"",""FV9989"",""14"",""55.000000000000000"&amp;"00000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50gr - Pasteurized Filtered - BULK","50220","False","29","","50210","False","18","","11","FV9991","2","10000","1","FV9989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65" s="15"/>
      <c r="D1765" s="16" t="str">
        <f>"FV9989"</f>
        <v>FV9989</v>
      </c>
      <c r="E1765" s="16">
        <v>10000</v>
      </c>
      <c r="F1765" s="16" t="str">
        <f>"FV9991"</f>
        <v>FV9991</v>
      </c>
      <c r="G1765" s="17" t="str">
        <f>"ORG AC Vinegar 50gr - Pasteurized Filtered - BULK"</f>
        <v>ORG AC Vinegar 50gr - Pasteurized Filtered - BULK</v>
      </c>
      <c r="H1765" s="18" t="str">
        <f t="shared" si="176"/>
        <v>GAL</v>
      </c>
      <c r="I1765" s="19">
        <v>55</v>
      </c>
      <c r="J1765" s="20">
        <v>55</v>
      </c>
    </row>
    <row r="1766" spans="1:10" ht="15.75" thickBot="1" x14ac:dyDescent="0.3">
      <c r="A1766" t="s">
        <v>31</v>
      </c>
      <c r="B1766" s="15" t="str">
        <f>"""Manzana NAV"",""MANZANA"",""99000772"",""44"","" "",""22"",""False"",""43"",""0.00000000000000000000"",""12"",""ORG AC Vinegar 50gr - Pasteurized Unfiltd - BULK"",""50220"",""False"",""29"","""",""50210"",""False"",""18"","""",""11"",""FV9992"",""2"",""5000"",""1"",""FV9990"",""14"",""55.00000000000000000"&amp;"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50gr - Pasteurized Unfiltd - BULK","50220","False","29","","50210","False","18","","11","FV9992","2","5000","1","FV9990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66" s="15"/>
      <c r="D1766" s="16" t="str">
        <f>"FV9990"</f>
        <v>FV9990</v>
      </c>
      <c r="E1766" s="16">
        <v>5000</v>
      </c>
      <c r="F1766" s="16" t="str">
        <f>"FV9992"</f>
        <v>FV9992</v>
      </c>
      <c r="G1766" s="17" t="str">
        <f>"ORG AC Vinegar 50gr - Pasteurized Unfiltd - BULK"</f>
        <v>ORG AC Vinegar 50gr - Pasteurized Unfiltd - BULK</v>
      </c>
      <c r="H1766" s="18" t="str">
        <f t="shared" si="176"/>
        <v>GAL</v>
      </c>
      <c r="I1766" s="19">
        <v>55</v>
      </c>
      <c r="J1766" s="20">
        <v>55</v>
      </c>
    </row>
    <row r="1767" spans="1:10" ht="15.75" thickBot="1" x14ac:dyDescent="0.3">
      <c r="A1767" t="s">
        <v>31</v>
      </c>
      <c r="B1767" s="15" t="str">
        <f>"""Manzana NAV"",""MANZANA"",""99000772"",""44"","" "",""22"",""False"",""43"",""0.00000000000000000000"",""12"",""ORG AC Vinegar 60 grain - BULK"",""50220"",""False"",""29"","""",""50210"",""False"",""18"","""",""11"",""FV9999"",""2"",""10000"",""1"",""FV9996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10000","1","FV9996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67" s="15"/>
      <c r="D1767" s="16" t="str">
        <f>"FV9996"</f>
        <v>FV9996</v>
      </c>
      <c r="E1767" s="16">
        <v>10000</v>
      </c>
      <c r="F1767" s="16" t="str">
        <f>"FV9999"</f>
        <v>FV9999</v>
      </c>
      <c r="G1767" s="17" t="str">
        <f>"ORG AC Vinegar 60 grain - BULK"</f>
        <v>ORG AC Vinegar 60 grain - BULK</v>
      </c>
      <c r="H1767" s="18" t="str">
        <f t="shared" si="176"/>
        <v>GAL</v>
      </c>
      <c r="I1767" s="19">
        <v>1</v>
      </c>
      <c r="J1767" s="20">
        <v>1</v>
      </c>
    </row>
    <row r="1768" spans="1:10" ht="15.75" thickBot="1" x14ac:dyDescent="0.3">
      <c r="A1768" t="s">
        <v>31</v>
      </c>
      <c r="B1768" s="15" t="str">
        <f>"""Manzana NAV"",""MANZANA"",""99000772"",""44"","" "",""22"",""False"",""43"",""0.00000000000000000000"",""12"",""ORG AC Vinegar 60 grain - BULK"",""50220"",""False"",""29"","""",""50210"",""False"",""18"","""",""11"",""FV9999"",""2"",""10000"",""1"",""FV9998"",""14"",""0.83333000000000000000"",""45"",""0.83333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10000","1","FV9998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68" s="15"/>
      <c r="D1768" s="16" t="str">
        <f>"FV9998"</f>
        <v>FV9998</v>
      </c>
      <c r="E1768" s="16">
        <v>10000</v>
      </c>
      <c r="F1768" s="16" t="str">
        <f>"FV9999"</f>
        <v>FV9999</v>
      </c>
      <c r="G1768" s="17" t="str">
        <f>"ORG AC Vinegar 60 grain - BULK"</f>
        <v>ORG AC Vinegar 60 grain - BULK</v>
      </c>
      <c r="H1768" s="18" t="str">
        <f t="shared" si="176"/>
        <v>GAL</v>
      </c>
      <c r="I1768" s="19">
        <v>0.83333000000000002</v>
      </c>
      <c r="J1768" s="20">
        <v>0.83333000000000002</v>
      </c>
    </row>
    <row r="1769" spans="1:10" ht="15.75" thickBot="1" x14ac:dyDescent="0.3">
      <c r="A1769" t="s">
        <v>31</v>
      </c>
      <c r="B1769" s="15" t="str">
        <f>"""Manzana NAV"",""MANZANA"",""99000772"",""44"","" "",""22"",""False"",""43"",""0.00000000000000000000"",""12"",""ORG AC Vinegar 60 grain - BULK"",""50220"",""False"",""29"","""",""50210"",""False"",""18"","""",""11"",""FV9999"",""2"",""20000"",""1"",""FV9997"",""14"",""55.00000000000000000000"",""45"",""55.000"&amp;"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20000","1","FV9997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69" s="15"/>
      <c r="D1769" s="16" t="str">
        <f>"FV9997"</f>
        <v>FV9997</v>
      </c>
      <c r="E1769" s="16">
        <v>20000</v>
      </c>
      <c r="F1769" s="16" t="str">
        <f>"FV9999"</f>
        <v>FV9999</v>
      </c>
      <c r="G1769" s="17" t="str">
        <f>"ORG AC Vinegar 60 grain - BULK"</f>
        <v>ORG AC Vinegar 60 grain - BULK</v>
      </c>
      <c r="H1769" s="18" t="str">
        <f t="shared" si="176"/>
        <v>GAL</v>
      </c>
      <c r="I1769" s="19">
        <v>55</v>
      </c>
      <c r="J1769" s="20">
        <v>55</v>
      </c>
    </row>
    <row r="1770" spans="1:10" ht="15.75" thickBot="1" x14ac:dyDescent="0.3">
      <c r="A1770" t="s">
        <v>31</v>
      </c>
      <c r="B1770" s="15" t="str">
        <f>"""Manzana NAV"",""MANZANA"",""99000772"",""44"","" "",""22"",""False"",""43"",""0.00000000000000000000"",""12"",""ORG AC Vinegar 60 grain - BULK"",""50220"",""False"",""29"","""",""50210"",""False"",""18"","""",""11"",""FV9999"",""2"",""30000"",""1"",""IV018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30000","1","IV018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70" s="15"/>
      <c r="D1770" s="16" t="str">
        <f>"IV018"</f>
        <v>IV018</v>
      </c>
      <c r="E1770" s="16">
        <v>30000</v>
      </c>
      <c r="F1770" s="16" t="str">
        <f>"FV9999"</f>
        <v>FV9999</v>
      </c>
      <c r="G1770" s="17" t="str">
        <f>"ORG AC Vinegar 60 grain - BULK"</f>
        <v>ORG AC Vinegar 60 grain - BULK</v>
      </c>
      <c r="H1770" s="18" t="str">
        <f t="shared" si="176"/>
        <v>GAL</v>
      </c>
      <c r="I1770" s="19">
        <v>0.25</v>
      </c>
      <c r="J1770" s="20">
        <v>0.25</v>
      </c>
    </row>
    <row r="1771" spans="1:10" ht="15.75" thickBot="1" x14ac:dyDescent="0.3">
      <c r="A1771" t="s">
        <v>31</v>
      </c>
      <c r="B1771" s="15" t="str">
        <f>"""Manzana NAV"",""MANZANA"",""99000772"",""44"","" "",""22"",""False"",""43"",""0.00000000000000000000"",""12"",""ORG AC Vinegar 60gr - Pasteurized Filtered - BULK"",""50220"",""False"",""29"","""",""50210"",""False"",""18"","""",""11"",""FV9995"",""2"",""10000"",""1"",""FV9993"",""14"",""55.000000000000000"&amp;"00000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Filtered - BULK","50220","False","29","","50210","False","18","","11","FV9995","2","10000","1","FV9993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71" s="15"/>
      <c r="D1771" s="16" t="str">
        <f>"FV9993"</f>
        <v>FV9993</v>
      </c>
      <c r="E1771" s="16">
        <v>10000</v>
      </c>
      <c r="F1771" s="16" t="str">
        <f>"FV9995"</f>
        <v>FV9995</v>
      </c>
      <c r="G1771" s="17" t="str">
        <f>"ORG AC Vinegar 60gr - Pasteurized Filtered - BULK"</f>
        <v>ORG AC Vinegar 60gr - Pasteurized Filtered - BULK</v>
      </c>
      <c r="H1771" s="18" t="str">
        <f t="shared" si="176"/>
        <v>GAL</v>
      </c>
      <c r="I1771" s="19">
        <v>55</v>
      </c>
      <c r="J1771" s="20">
        <v>55</v>
      </c>
    </row>
    <row r="1772" spans="1:10" ht="15.75" thickBot="1" x14ac:dyDescent="0.3">
      <c r="A1772" t="s">
        <v>31</v>
      </c>
      <c r="B1772" s="15" t="str">
        <f>"""Manzana NAV"",""MANZANA"",""99000772"",""44"","" "",""22"",""False"",""43"",""0.00000000000000000000"",""12"",""ORG AC Vinegar 60gr - Pasteurized Unfiltd - BULK"",""50220"",""False"",""29"","""",""50210"",""False"",""18"","""",""11"",""FV9996"",""2"",""10000"",""1"",""FV9991"",""14"",""1.00000000000000000"&amp;"000"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Unfiltd - BULK","50220","False","29","","50210","False","18","","11","FV9996","2","10000","1","FV9991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2" s="15"/>
      <c r="D1772" s="16" t="str">
        <f>"FV9991"</f>
        <v>FV9991</v>
      </c>
      <c r="E1772" s="16">
        <v>10000</v>
      </c>
      <c r="F1772" s="16" t="str">
        <f>"FV9996"</f>
        <v>FV9996</v>
      </c>
      <c r="G1772" s="17" t="str">
        <f>"ORG AC Vinegar 60gr - Pasteurized Unfiltd - BULK"</f>
        <v>ORG AC Vinegar 60gr - Pasteurized Unfiltd - BULK</v>
      </c>
      <c r="H1772" s="18" t="str">
        <f t="shared" si="176"/>
        <v>GAL</v>
      </c>
      <c r="I1772" s="19">
        <v>1</v>
      </c>
      <c r="J1772" s="20">
        <v>1</v>
      </c>
    </row>
    <row r="1773" spans="1:10" ht="15.75" thickBot="1" x14ac:dyDescent="0.3">
      <c r="A1773" t="s">
        <v>31</v>
      </c>
      <c r="B1773" s="15" t="str">
        <f>"""Manzana NAV"",""MANZANA"",""99000772"",""44"","" "",""22"",""False"",""43"",""0.00000000000000000000"",""12"",""ORG AC Vinegar 60gr - Pasteurized Unfiltd - BULK"",""50220"",""False"",""29"","""",""50210"",""False"",""18"","""",""11"",""FV9996"",""2"",""10000"",""1"",""FV9994"",""14"",""55.0000000000000000"&amp;"0000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Unfiltd - BULK","50220","False","29","","50210","False","18","","11","FV9996","2","10000","1","FV9994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73" s="15"/>
      <c r="D1773" s="16" t="str">
        <f>"FV9994"</f>
        <v>FV9994</v>
      </c>
      <c r="E1773" s="16">
        <v>10000</v>
      </c>
      <c r="F1773" s="16" t="str">
        <f>"FV9996"</f>
        <v>FV9996</v>
      </c>
      <c r="G1773" s="17" t="str">
        <f>"ORG AC Vinegar 60gr - Pasteurized Unfiltd - BULK"</f>
        <v>ORG AC Vinegar 60gr - Pasteurized Unfiltd - BULK</v>
      </c>
      <c r="H1773" s="18" t="str">
        <f t="shared" si="176"/>
        <v>GAL</v>
      </c>
      <c r="I1773" s="19">
        <v>55</v>
      </c>
      <c r="J1773" s="20">
        <v>55</v>
      </c>
    </row>
    <row r="1774" spans="1:10" ht="15.75" thickBot="1" x14ac:dyDescent="0.3">
      <c r="A1774" t="s">
        <v>31</v>
      </c>
      <c r="B1774" s="15" t="str">
        <f>"""Manzana NAV"",""MANZANA"",""99000772"",""44"","" "",""22"",""False"",""43"",""0.00000000000000000000"",""12"",""ORG AC Vinegar 60gr - Pasteurized Unfiltd - BULK"",""50220"",""False"",""29"","""",""50210"",""False"",""18"","""",""11"",""FV9996"",""2"",""10000"",""1"",""FV9995"",""14"",""1.00000000000000000"&amp;"000"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Unfiltd - BULK","50220","False","29","","50210","False","18","","11","FV9996","2","10000","1","FV9995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4" s="15"/>
      <c r="D1774" s="16" t="str">
        <f>"FV9995"</f>
        <v>FV9995</v>
      </c>
      <c r="E1774" s="16">
        <v>10000</v>
      </c>
      <c r="F1774" s="16" t="str">
        <f>"FV9996"</f>
        <v>FV9996</v>
      </c>
      <c r="G1774" s="17" t="str">
        <f>"ORG AC Vinegar 60gr - Pasteurized Unfiltd - BULK"</f>
        <v>ORG AC Vinegar 60gr - Pasteurized Unfiltd - BULK</v>
      </c>
      <c r="H1774" s="18" t="str">
        <f t="shared" si="176"/>
        <v>GAL</v>
      </c>
      <c r="I1774" s="19">
        <v>1</v>
      </c>
      <c r="J1774" s="20">
        <v>1</v>
      </c>
    </row>
    <row r="1775" spans="1:10" ht="15.75" thickBot="1" x14ac:dyDescent="0.3">
      <c r="A1775" t="s">
        <v>31</v>
      </c>
      <c r="B1775" s="15" t="str">
        <f>"""Manzana NAV"",""MANZANA"",""99000772"",""44"","" "",""22"",""False"",""43"",""0.00000000000000000000"",""12"",""ORG AC Vinegar STOCK - in TANK"",""50220"",""False"",""29"","""",""50210"",""False"",""18"","""",""11"",""IV899"",""2"",""10000"",""1"",""FV9999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STOCK - in TANK","50220","False","29","","50210","False","18","","11","IV899","2","10000","1","FV9999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5" s="15"/>
      <c r="D1775" s="16" t="str">
        <f>"FV9999"</f>
        <v>FV9999</v>
      </c>
      <c r="E1775" s="16">
        <v>10000</v>
      </c>
      <c r="F1775" s="16" t="str">
        <f>"IV899"</f>
        <v>IV899</v>
      </c>
      <c r="G1775" s="17" t="str">
        <f>"ORG AC Vinegar STOCK - in TANK"</f>
        <v>ORG AC Vinegar STOCK - in TANK</v>
      </c>
      <c r="H1775" s="18" t="str">
        <f t="shared" si="176"/>
        <v>GAL</v>
      </c>
      <c r="I1775" s="19">
        <v>1</v>
      </c>
      <c r="J1775" s="20">
        <v>1</v>
      </c>
    </row>
    <row r="1776" spans="1:10" ht="15.75" thickBot="1" x14ac:dyDescent="0.3">
      <c r="A1776" t="s">
        <v>31</v>
      </c>
      <c r="B1776" s="15" t="str">
        <f>"""Manzana NAV"",""MANZANA"",""99000772"",""44"","" "",""22"",""False"",""43"",""0.00000000000000000000"",""12"",""ORG Blend Juice - BULK"",""50220"",""False"",""29"","""",""50210"",""False"",""18"","""",""11"",""FJ9990"",""2"",""10000"",""1"",""FJ9991"",""14"",""55.00000000000000000000"",""45"",""55.00000000000"&amp;"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Blend Juice - BULK","50220","False","29","","50210","False","18","","11","FJ9990","2","10000","1","FJ9991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76" s="15"/>
      <c r="D1776" s="16" t="str">
        <f>"FJ9991"</f>
        <v>FJ9991</v>
      </c>
      <c r="E1776" s="16">
        <v>10000</v>
      </c>
      <c r="F1776" s="16" t="str">
        <f>"FJ9990"</f>
        <v>FJ9990</v>
      </c>
      <c r="G1776" s="17" t="str">
        <f>"ORG Blend Juice - BULK"</f>
        <v>ORG Blend Juice - BULK</v>
      </c>
      <c r="H1776" s="18" t="str">
        <f t="shared" si="176"/>
        <v>GAL</v>
      </c>
      <c r="I1776" s="19">
        <v>55</v>
      </c>
      <c r="J1776" s="20">
        <v>55</v>
      </c>
    </row>
    <row r="1777" spans="1:10" ht="15.75" thickBot="1" x14ac:dyDescent="0.3">
      <c r="A1777" t="s">
        <v>31</v>
      </c>
      <c r="B1777" s="15" t="str">
        <f>"""Manzana NAV"",""MANZANA"",""99000772"",""44"","" "",""22"",""False"",""43"",""0.00000000000000000000"",""12"",""ORG Blend Juice - just pressed - in TANK"",""50220"",""False"",""29"","""",""50210"",""False"",""18"","""",""11"",""FJ9990"",""2"",""40000"",""1"",""IJ001"",""14"",""0.07813000000000000000"",""45"""&amp;",""0.07813000000000000000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Blend Juice - just pressed - in TANK","50220","False","29","","50210","False","18","","11","FJ9990","2","40000","1","IJ001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1777" s="15"/>
      <c r="D1777" s="16" t="str">
        <f>"IJ001"</f>
        <v>IJ001</v>
      </c>
      <c r="E1777" s="16">
        <v>40000</v>
      </c>
      <c r="F1777" s="16" t="str">
        <f>"FJ9990"</f>
        <v>FJ9990</v>
      </c>
      <c r="G1777" s="17" t="str">
        <f>"ORG Blend Juice - just pressed - in TANK"</f>
        <v>ORG Blend Juice - just pressed - in TANK</v>
      </c>
      <c r="H1777" s="18" t="str">
        <f t="shared" si="176"/>
        <v>GAL</v>
      </c>
      <c r="I1777" s="19">
        <v>7.8130000000000005E-2</v>
      </c>
      <c r="J1777" s="20">
        <v>7.8130000000000005E-2</v>
      </c>
    </row>
    <row r="1778" spans="1:10" ht="15.75" thickBot="1" x14ac:dyDescent="0.3">
      <c r="A1778" t="s">
        <v>31</v>
      </c>
      <c r="B1778" s="15" t="str">
        <f>"""Manzana NAV"",""MANZANA"",""99000772"",""44"","" "",""22"",""False"",""43"",""0.00000000000000000000"",""12"",""ORG BRAGG Co-Pack AC Vinegar STOCK - in TANK"",""50220"",""False"",""29"","""",""50210"",""False"",""18"","""",""11"",""IV895"",""2"",""10000"",""1"",""FV9001"",""14"",""1.00000000000000000000"","&amp;"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BRAGG Co-Pack AC Vinegar STOCK - in TANK","50220","False","29","","50210","False","18","","11","IV895","2","10000","1","FV9001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8" s="15"/>
      <c r="D1778" s="16" t="str">
        <f>"FV9001"</f>
        <v>FV9001</v>
      </c>
      <c r="E1778" s="16">
        <v>10000</v>
      </c>
      <c r="F1778" s="16" t="str">
        <f>"IV895"</f>
        <v>IV895</v>
      </c>
      <c r="G1778" s="17" t="str">
        <f>"ORG BRAGG Co-Pack AC Vinegar STOCK - in TANK"</f>
        <v>ORG BRAGG Co-Pack AC Vinegar STOCK - in TANK</v>
      </c>
      <c r="H1778" s="18" t="str">
        <f t="shared" si="176"/>
        <v>GAL</v>
      </c>
      <c r="I1778" s="19">
        <v>1</v>
      </c>
      <c r="J1778" s="20">
        <v>1</v>
      </c>
    </row>
    <row r="1779" spans="1:10" ht="15.75" thickBot="1" x14ac:dyDescent="0.3">
      <c r="A1779" t="s">
        <v>31</v>
      </c>
      <c r="B1779" s="15" t="str">
        <f>"""Manzana NAV"",""MANZANA"",""99000772"",""44"","" "",""22"",""False"",""43"",""0.00000000000000000000"",""12"",""ORG BULK Imported Juice purchased for Vinegar"",""50220"",""False"",""29"","""",""50210"",""False"",""18"","""",""11"",""IV797"",""2"",""10000"",""1"",""IV899J"",""14"",""1.00000000000000000000"""&amp;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BULK Imported Juice purchased for Vinegar","50220","False","29","","50210","False","18","","11","IV797","2","10000","1","IV899J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9" s="15"/>
      <c r="D1779" s="16" t="str">
        <f>"IV899J"</f>
        <v>IV899J</v>
      </c>
      <c r="E1779" s="16">
        <v>10000</v>
      </c>
      <c r="F1779" s="16" t="str">
        <f>"IV797"</f>
        <v>IV797</v>
      </c>
      <c r="G1779" s="17" t="str">
        <f>"ORG BULK Imported Juice purchased for Vinegar"</f>
        <v>ORG BULK Imported Juice purchased for Vinegar</v>
      </c>
      <c r="H1779" s="18" t="str">
        <f t="shared" si="176"/>
        <v>GAL</v>
      </c>
      <c r="I1779" s="19">
        <v>1</v>
      </c>
      <c r="J1779" s="20">
        <v>1</v>
      </c>
    </row>
    <row r="1780" spans="1:10" ht="15.75" thickBot="1" x14ac:dyDescent="0.3">
      <c r="A1780" t="s">
        <v>31</v>
      </c>
      <c r="B1780" s="15" t="str">
        <f>"""Manzana NAV"",""MANZANA"",""99000772"",""44"","" "",""22"",""False"",""43"",""0.00000000000000000000"",""12"",""ORG BULK Purchased Sauce"",""50220"",""False"",""29"","""",""50210"",""False"",""18"","""",""11"",""IS900"",""2"",""10000"",""1"",""ISC38"",""14"",""0.30000000000000000000"",""45"",""0.3000000000000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BULK Purchased Sauce","50220","False","29","","50210","False","18","","11","IS900","2","10000","1","ISC38","14","0.30000000000000000000","45","0.30000000000000000000","19","","20","0.00000000000000000000","50000","0.00000000000000000000","50230","False","28","","10","Item","13","LBS","21","","3","","42","0.00000000000000000000","50200","False","41","0.00000000000000000000"</v>
      </c>
      <c r="C1780" s="15"/>
      <c r="D1780" s="16" t="str">
        <f>"ISC38"</f>
        <v>ISC38</v>
      </c>
      <c r="E1780" s="16">
        <v>10000</v>
      </c>
      <c r="F1780" s="16" t="str">
        <f>"IS900"</f>
        <v>IS900</v>
      </c>
      <c r="G1780" s="17" t="str">
        <f>"ORG BULK Purchased Sauce"</f>
        <v>ORG BULK Purchased Sauce</v>
      </c>
      <c r="H1780" s="18" t="str">
        <f t="shared" ref="H1780:H1785" si="177">"LBS"</f>
        <v>LBS</v>
      </c>
      <c r="I1780" s="19">
        <v>0.3</v>
      </c>
      <c r="J1780" s="20">
        <v>0.3</v>
      </c>
    </row>
    <row r="1781" spans="1:10" ht="15.75" thickBot="1" x14ac:dyDescent="0.3">
      <c r="A1781" t="s">
        <v>31</v>
      </c>
      <c r="B1781" s="15" t="str">
        <f>"""Manzana NAV"",""MANZANA"",""99000772"",""44"","" "",""22"",""False"",""43"",""0.00000000000000000000"",""12"",""ORG BULK Purchased Sauce"",""50220"",""False"",""29"","""",""50210"",""False"",""18"","""",""11"",""IS900"",""2"",""45000"",""1"",""ISC35"",""14"",""0.30000000000000000000"",""45"",""0.3000000000000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BULK Purchased Sauce","50220","False","29","","50210","False","18","","11","IS900","2","45000","1","ISC35","14","0.30000000000000000000","45","0.30000000000000000000","19","","20","0.00000000000000000000","50000","0.00000000000000000000","50230","False","28","","10","Item","13","LBS","21","","3","","42","0.00000000000000000000","50200","False","41","0.00000000000000000000"</v>
      </c>
      <c r="C1781" s="15"/>
      <c r="D1781" s="16" t="str">
        <f>"ISC35"</f>
        <v>ISC35</v>
      </c>
      <c r="E1781" s="16">
        <v>45000</v>
      </c>
      <c r="F1781" s="16" t="str">
        <f>"IS900"</f>
        <v>IS900</v>
      </c>
      <c r="G1781" s="17" t="str">
        <f>"ORG BULK Purchased Sauce"</f>
        <v>ORG BULK Purchased Sauce</v>
      </c>
      <c r="H1781" s="18" t="str">
        <f t="shared" si="177"/>
        <v>LBS</v>
      </c>
      <c r="I1781" s="19">
        <v>0.3</v>
      </c>
      <c r="J1781" s="20">
        <v>0.3</v>
      </c>
    </row>
    <row r="1782" spans="1:10" ht="15.75" thickBot="1" x14ac:dyDescent="0.3">
      <c r="A1782" t="s">
        <v>31</v>
      </c>
      <c r="B1782" s="15" t="str">
        <f>"""Manzana NAV"",""MANZANA"",""99000772"",""44"","" "",""22"",""False"",""43"",""0.00000000000000000000"",""12"",""ORG Carrot Juice Concentrate"",""50220"",""False"",""29"","""",""50210"",""False"",""18"","""",""11"",""I0025"",""2"",""50000"",""1"",""ISC31"",""14"",""0.01850000000000000000"",""45"",""0.018500000"&amp;"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Carrot Juice Concentrate","50220","False","29","","50210","False","18","","11","I0025","2","50000","1","ISC31","14","0.01850000000000000000","45","0.01850000000000000000","19","","20","0.00000000000000000000","50000","0.00000000000000000000","50230","False","28","","10","Item","13","LBS","21","","3","","42","0.00000000000000000000","50200","False","41","0.00000000000000000000"</v>
      </c>
      <c r="C1782" s="15"/>
      <c r="D1782" s="16" t="str">
        <f>"ISC31"</f>
        <v>ISC31</v>
      </c>
      <c r="E1782" s="16">
        <v>50000</v>
      </c>
      <c r="F1782" s="16" t="str">
        <f>"I0025"</f>
        <v>I0025</v>
      </c>
      <c r="G1782" s="17" t="str">
        <f>"ORG Carrot Juice Concentrate"</f>
        <v>ORG Carrot Juice Concentrate</v>
      </c>
      <c r="H1782" s="18" t="str">
        <f t="shared" si="177"/>
        <v>LBS</v>
      </c>
      <c r="I1782" s="19">
        <v>1.8499999999999999E-2</v>
      </c>
      <c r="J1782" s="20">
        <v>1.8499999999999999E-2</v>
      </c>
    </row>
    <row r="1783" spans="1:10" ht="15.75" thickBot="1" x14ac:dyDescent="0.3">
      <c r="A1783" t="s">
        <v>31</v>
      </c>
      <c r="B1783" s="15" t="str">
        <f>"""Manzana NAV"",""MANZANA"",""99000772"",""44"","" "",""22"",""False"",""43"",""0.00000000000000000000"",""12"",""ORG Chia Seeds - Cust-owned"",""50220"",""False"",""29"","""",""50210"",""False"",""18"","""",""11"",""I9009"",""2"",""20000"",""1"",""ISC28"",""14"",""0.04450000000000000000"",""45"",""0.0445000000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Chia Seeds - Cust-owned","50220","False","29","","50210","False","18","","11","I9009","2","20000","1","ISC28","14","0.04450000000000000000","45","0.04450000000000000000","19","","20","0.00000000000000000000","50000","0.00000000000000000000","50230","False","28","","10","Item","13","LBS","21","","3","","42","0.00000000000000000000","50200","False","41","0.00000000000000000000"</v>
      </c>
      <c r="C1783" s="15"/>
      <c r="D1783" s="16" t="str">
        <f>"ISC28"</f>
        <v>ISC28</v>
      </c>
      <c r="E1783" s="16">
        <v>20000</v>
      </c>
      <c r="F1783" s="16" t="str">
        <f>"I9009"</f>
        <v>I9009</v>
      </c>
      <c r="G1783" s="17" t="str">
        <f>"ORG Chia Seeds - Cust-owned"</f>
        <v>ORG Chia Seeds - Cust-owned</v>
      </c>
      <c r="H1783" s="18" t="str">
        <f t="shared" si="177"/>
        <v>LBS</v>
      </c>
      <c r="I1783" s="19">
        <v>4.4499999999999998E-2</v>
      </c>
      <c r="J1783" s="20">
        <v>4.4499999999999998E-2</v>
      </c>
    </row>
    <row r="1784" spans="1:10" ht="15.75" thickBot="1" x14ac:dyDescent="0.3">
      <c r="A1784" t="s">
        <v>31</v>
      </c>
      <c r="B1784" s="15" t="str">
        <f>"""Manzana NAV"",""MANZANA"",""99000772"",""44"","" "",""22"",""False"",""43"",""0.00000000000000000000"",""12"",""ORG Chia Seeds - Cust-owned"",""50220"",""False"",""29"","""",""50210"",""False"",""18"","""",""11"",""I9009"",""2"",""20000"",""1"",""ISC29"",""14"",""0.04450000000000000000"",""45"",""0.0445000000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Chia Seeds - Cust-owned","50220","False","29","","50210","False","18","","11","I9009","2","20000","1","ISC29","14","0.04450000000000000000","45","0.04450000000000000000","19","","20","0.00000000000000000000","50000","0.00000000000000000000","50230","False","28","","10","Item","13","LBS","21","","3","","42","0.00000000000000000000","50200","False","41","0.00000000000000000000"</v>
      </c>
      <c r="C1784" s="15"/>
      <c r="D1784" s="16" t="str">
        <f>"ISC29"</f>
        <v>ISC29</v>
      </c>
      <c r="E1784" s="16">
        <v>20000</v>
      </c>
      <c r="F1784" s="16" t="str">
        <f>"I9009"</f>
        <v>I9009</v>
      </c>
      <c r="G1784" s="17" t="str">
        <f>"ORG Chia Seeds - Cust-owned"</f>
        <v>ORG Chia Seeds - Cust-owned</v>
      </c>
      <c r="H1784" s="18" t="str">
        <f t="shared" si="177"/>
        <v>LBS</v>
      </c>
      <c r="I1784" s="19">
        <v>4.4499999999999998E-2</v>
      </c>
      <c r="J1784" s="20">
        <v>4.4499999999999998E-2</v>
      </c>
    </row>
    <row r="1785" spans="1:10" ht="15.75" thickBot="1" x14ac:dyDescent="0.3">
      <c r="A1785" t="s">
        <v>31</v>
      </c>
      <c r="B1785" s="15" t="str">
        <f>"""Manzana NAV"",""MANZANA"",""99000772"",""44"","" "",""22"",""False"",""43"",""0.00000000000000000000"",""12"",""ORG Citric Acid - Cust-owned"",""50220"",""False"",""29"","""",""50210"",""False"",""18"","""",""11"",""I9010"",""2"",""30000"",""1"",""ISC28"",""14"",""0.00100000000000000000"",""45"",""0.001000000"&amp;"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Citric Acid - Cust-owned","50220","False","29","","50210","False","18","","11","I9010","2","30000","1","ISC28","14","0.00100000000000000000","45","0.00100000000000000000","19","","20","0.00000000000000000000","50000","0.00000000000000000000","50230","False","28","","10","Item","13","LBS","21","","3","","42","0.00000000000000000000","50200","False","41","0.00000000000000000000"</v>
      </c>
      <c r="C1785" s="15"/>
      <c r="D1785" s="16" t="str">
        <f>"ISC28"</f>
        <v>ISC28</v>
      </c>
      <c r="E1785" s="16">
        <v>30000</v>
      </c>
      <c r="F1785" s="16" t="str">
        <f>"I9010"</f>
        <v>I9010</v>
      </c>
      <c r="G1785" s="17" t="str">
        <f>"ORG Citric Acid - Cust-owned"</f>
        <v>ORG Citric Acid - Cust-owned</v>
      </c>
      <c r="H1785" s="18" t="str">
        <f t="shared" si="177"/>
        <v>LBS</v>
      </c>
      <c r="I1785" s="19">
        <v>1E-3</v>
      </c>
      <c r="J1785" s="20">
        <v>1E-3</v>
      </c>
    </row>
    <row r="1786" spans="1:10" ht="15.75" thickBot="1" x14ac:dyDescent="0.3">
      <c r="A1786" t="s">
        <v>31</v>
      </c>
      <c r="B1786" s="15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007"",""14"",""0.1250000000000000000"&amp;"0"",""45"",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007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1786" s="15"/>
      <c r="D1786" s="16" t="str">
        <f>"IV007"</f>
        <v>IV007</v>
      </c>
      <c r="E1786" s="16">
        <v>30000</v>
      </c>
      <c r="F1786" s="16" t="str">
        <f>"FV9008"</f>
        <v>FV9008</v>
      </c>
      <c r="G1786" s="17" t="str">
        <f>"ORG Co-Pack SOLANA GOLD Vinegar - BULK 50 grain"</f>
        <v>ORG Co-Pack SOLANA GOLD Vinegar - BULK 50 grain</v>
      </c>
      <c r="H1786" s="18" t="str">
        <f t="shared" ref="H1786:H1800" si="178">"GAL"</f>
        <v>GAL</v>
      </c>
      <c r="I1786" s="19">
        <v>0.125</v>
      </c>
      <c r="J1786" s="20">
        <v>0.125</v>
      </c>
    </row>
    <row r="1787" spans="1:10" ht="15.75" thickBot="1" x14ac:dyDescent="0.3">
      <c r="A1787" t="s">
        <v>31</v>
      </c>
      <c r="B1787" s="15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008"",""14"",""0.2500000000000000000"&amp;"0"",""45"",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008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87" s="15"/>
      <c r="D1787" s="16" t="str">
        <f>"IV008"</f>
        <v>IV008</v>
      </c>
      <c r="E1787" s="16">
        <v>30000</v>
      </c>
      <c r="F1787" s="16" t="str">
        <f>"FV9008"</f>
        <v>FV9008</v>
      </c>
      <c r="G1787" s="17" t="str">
        <f>"ORG Co-Pack SOLANA GOLD Vinegar - BULK 50 grain"</f>
        <v>ORG Co-Pack SOLANA GOLD Vinegar - BULK 50 grain</v>
      </c>
      <c r="H1787" s="18" t="str">
        <f t="shared" si="178"/>
        <v>GAL</v>
      </c>
      <c r="I1787" s="19">
        <v>0.25</v>
      </c>
      <c r="J1787" s="20">
        <v>0.25</v>
      </c>
    </row>
    <row r="1788" spans="1:10" ht="15.75" thickBot="1" x14ac:dyDescent="0.3">
      <c r="A1788" t="s">
        <v>31</v>
      </c>
      <c r="B1788" s="15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009"",""14"",""0.1250000000000000000"&amp;"0"",""45"",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009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1788" s="15"/>
      <c r="D1788" s="16" t="str">
        <f>"IV009"</f>
        <v>IV009</v>
      </c>
      <c r="E1788" s="16">
        <v>30000</v>
      </c>
      <c r="F1788" s="16" t="str">
        <f>"FV9008"</f>
        <v>FV9008</v>
      </c>
      <c r="G1788" s="17" t="str">
        <f>"ORG Co-Pack SOLANA GOLD Vinegar - BULK 50 grain"</f>
        <v>ORG Co-Pack SOLANA GOLD Vinegar - BULK 50 grain</v>
      </c>
      <c r="H1788" s="18" t="str">
        <f t="shared" si="178"/>
        <v>GAL</v>
      </c>
      <c r="I1788" s="19">
        <v>0.125</v>
      </c>
      <c r="J1788" s="20">
        <v>0.125</v>
      </c>
    </row>
    <row r="1789" spans="1:10" ht="15.75" thickBot="1" x14ac:dyDescent="0.3">
      <c r="A1789" t="s">
        <v>31</v>
      </c>
      <c r="B1789" s="15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010"",""14"",""0.2500000000000000000"&amp;"0"",""45"",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010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89" s="15"/>
      <c r="D1789" s="16" t="str">
        <f>"IV010"</f>
        <v>IV010</v>
      </c>
      <c r="E1789" s="16">
        <v>30000</v>
      </c>
      <c r="F1789" s="16" t="str">
        <f>"FV9008"</f>
        <v>FV9008</v>
      </c>
      <c r="G1789" s="17" t="str">
        <f>"ORG Co-Pack SOLANA GOLD Vinegar - BULK 50 grain"</f>
        <v>ORG Co-Pack SOLANA GOLD Vinegar - BULK 50 grain</v>
      </c>
      <c r="H1789" s="18" t="str">
        <f t="shared" si="178"/>
        <v>GAL</v>
      </c>
      <c r="I1789" s="19">
        <v>0.25</v>
      </c>
      <c r="J1789" s="20">
        <v>0.25</v>
      </c>
    </row>
    <row r="1790" spans="1:10" ht="15.75" thickBot="1" x14ac:dyDescent="0.3">
      <c r="A1790" t="s">
        <v>31</v>
      </c>
      <c r="B1790" s="15" t="str">
        <f>"""Manzana NAV"",""MANZANA"",""99000772"",""44"","" "",""22"",""False"",""43"",""0.00000000000000000000"",""12"",""ORG Co-Pack SOLANA GOLD Vinegar - BULK 50 grain"",""50220"",""False"",""29"","""",""50210"",""False"",""18"","""",""11"",""FV9008"",""2"",""40000"",""1"",""IV012"",""14"",""0.5000000000000000000"&amp;"0"",""45"",""0.50000000000000000000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40000","1","IV012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1790" s="15"/>
      <c r="D1790" s="16" t="str">
        <f>"IV012"</f>
        <v>IV012</v>
      </c>
      <c r="E1790" s="16">
        <v>40000</v>
      </c>
      <c r="F1790" s="16" t="str">
        <f>"FV9008"</f>
        <v>FV9008</v>
      </c>
      <c r="G1790" s="17" t="str">
        <f>"ORG Co-Pack SOLANA GOLD Vinegar - BULK 50 grain"</f>
        <v>ORG Co-Pack SOLANA GOLD Vinegar - BULK 50 grain</v>
      </c>
      <c r="H1790" s="18" t="str">
        <f t="shared" si="178"/>
        <v>GAL</v>
      </c>
      <c r="I1790" s="19">
        <v>0.5</v>
      </c>
      <c r="J1790" s="20">
        <v>0.5</v>
      </c>
    </row>
    <row r="1791" spans="1:10" ht="15.75" thickBot="1" x14ac:dyDescent="0.3">
      <c r="A1791" t="s">
        <v>31</v>
      </c>
      <c r="B1791" s="15" t="str">
        <f>"""Manzana NAV"",""MANZANA"",""99000772"",""44"","" "",""22"",""False"",""43"",""0.00000000000000000000"",""12"",""ORG Cust-owned LIVE.FOODS AC Vinegar - BULK"",""50220"",""False"",""29"","""",""50210"",""False"",""18"","""",""11"",""FV9001C"",""2"",""10000"",""1"",""FV9002"",""14"",""55.00000000000000000000"&amp;"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LIVE.FOODS AC Vinegar - BULK","50220","False","29","","50210","False","18","","11","FV9001C","2","10000","1","FV9002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1" s="15"/>
      <c r="D1791" s="16" t="str">
        <f>"FV9002"</f>
        <v>FV9002</v>
      </c>
      <c r="E1791" s="16">
        <v>10000</v>
      </c>
      <c r="F1791" s="16" t="str">
        <f>"FV9001C"</f>
        <v>FV9001C</v>
      </c>
      <c r="G1791" s="17" t="str">
        <f>"ORG Cust-owned LIVE.FOODS AC Vinegar - BULK"</f>
        <v>ORG Cust-owned LIVE.FOODS AC Vinegar - BULK</v>
      </c>
      <c r="H1791" s="18" t="str">
        <f t="shared" si="178"/>
        <v>GAL</v>
      </c>
      <c r="I1791" s="19">
        <v>55</v>
      </c>
      <c r="J1791" s="20">
        <v>55</v>
      </c>
    </row>
    <row r="1792" spans="1:10" ht="15.75" thickBot="1" x14ac:dyDescent="0.3">
      <c r="A1792" t="s">
        <v>31</v>
      </c>
      <c r="B1792" s="15" t="str">
        <f>"""Manzana NAV"",""MANZANA"",""99000772"",""44"","" "",""22"",""False"",""43"",""0.00000000000000000000"",""12"",""ORG Cust-owned PK Vinegar - BULK 60 grain"",""50220"",""False"",""29"","""",""50210"",""False"",""18"","""",""11"",""FV9006C"",""2"",""10000"",""1"",""FV9007"",""14"",""55.00000000000000000000"","&amp;"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PK Vinegar - BULK 60 grain","50220","False","29","","50210","False","18","","11","FV9006C","2","10000","1","FV9007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2" s="15"/>
      <c r="D1792" s="16" t="str">
        <f>"FV9007"</f>
        <v>FV9007</v>
      </c>
      <c r="E1792" s="16">
        <v>10000</v>
      </c>
      <c r="F1792" s="16" t="str">
        <f>"FV9006C"</f>
        <v>FV9006C</v>
      </c>
      <c r="G1792" s="17" t="str">
        <f>"ORG Cust-owned PK Vinegar - BULK 60 grain"</f>
        <v>ORG Cust-owned PK Vinegar - BULK 60 grain</v>
      </c>
      <c r="H1792" s="18" t="str">
        <f t="shared" si="178"/>
        <v>GAL</v>
      </c>
      <c r="I1792" s="19">
        <v>55</v>
      </c>
      <c r="J1792" s="20">
        <v>55</v>
      </c>
    </row>
    <row r="1793" spans="1:10" ht="15.75" thickBot="1" x14ac:dyDescent="0.3">
      <c r="A1793" t="s">
        <v>31</v>
      </c>
      <c r="B1793" s="15" t="str">
        <f>"""Manzana NAV"",""MANZANA"",""99000772"",""44"","" "",""22"",""False"",""43"",""0.00000000000000000000"",""12"",""ORG Cust-owned PK Vinegar - BULK 60 grain"",""50220"",""False"",""29"","""",""50210"",""False"",""18"","""",""11"",""FV9006C"",""2"",""10000"",""1"",""FV9009"",""14"",""0.83333000000000000000"","""&amp;"45"",""0.83333000000000000000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PK Vinegar - BULK 60 grain","50220","False","29","","50210","False","18","","11","FV9006C","2","10000","1","FV9009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93" s="15"/>
      <c r="D1793" s="16" t="str">
        <f>"FV9009"</f>
        <v>FV9009</v>
      </c>
      <c r="E1793" s="16">
        <v>10000</v>
      </c>
      <c r="F1793" s="16" t="str">
        <f>"FV9006C"</f>
        <v>FV9006C</v>
      </c>
      <c r="G1793" s="17" t="str">
        <f>"ORG Cust-owned PK Vinegar - BULK 60 grain"</f>
        <v>ORG Cust-owned PK Vinegar - BULK 60 grain</v>
      </c>
      <c r="H1793" s="18" t="str">
        <f t="shared" si="178"/>
        <v>GAL</v>
      </c>
      <c r="I1793" s="19">
        <v>0.83333000000000002</v>
      </c>
      <c r="J1793" s="20">
        <v>0.83333000000000002</v>
      </c>
    </row>
    <row r="1794" spans="1:10" ht="15.75" thickBot="1" x14ac:dyDescent="0.3">
      <c r="A1794" t="s">
        <v>31</v>
      </c>
      <c r="B1794" s="15" t="str">
        <f>"""Manzana NAV"",""MANZANA"",""99000772"",""44"","" "",""22"",""False"",""43"",""0.00000000000000000000"",""12"",""ORG Cust-owned S.GOLD Vinegar - BULK 60 grain"",""50220"",""False"",""29"","""",""50210"",""False"",""18"","""",""11"",""FV9003C"",""2"",""10000"",""1"",""FV9004"",""14"",""55.000000000000000000"&amp;"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S.GOLD Vinegar - BULK 60 grain","50220","False","29","","50210","False","18","","11","FV9003C","2","10000","1","FV9004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4" s="15"/>
      <c r="D1794" s="16" t="str">
        <f>"FV9004"</f>
        <v>FV9004</v>
      </c>
      <c r="E1794" s="16">
        <v>10000</v>
      </c>
      <c r="F1794" s="16" t="str">
        <f>"FV9003C"</f>
        <v>FV9003C</v>
      </c>
      <c r="G1794" s="17" t="str">
        <f>"ORG Cust-owned S.GOLD Vinegar - BULK 60 grain"</f>
        <v>ORG Cust-owned S.GOLD Vinegar - BULK 60 grain</v>
      </c>
      <c r="H1794" s="18" t="str">
        <f t="shared" si="178"/>
        <v>GAL</v>
      </c>
      <c r="I1794" s="19">
        <v>55</v>
      </c>
      <c r="J1794" s="20">
        <v>55</v>
      </c>
    </row>
    <row r="1795" spans="1:10" ht="15.75" thickBot="1" x14ac:dyDescent="0.3">
      <c r="A1795" t="s">
        <v>31</v>
      </c>
      <c r="B1795" s="15" t="str">
        <f>"""Manzana NAV"",""MANZANA"",""99000772"",""44"","" "",""22"",""False"",""43"",""0.00000000000000000000"",""12"",""ORG Cust-owned S.GOLD Vinegar - BULK 60 grain"",""50220"",""False"",""29"","""",""50210"",""False"",""18"","""",""11"",""FV9003C"",""2"",""10000"",""1"",""FV9005"",""14"",""55.000000000000000000"&amp;"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S.GOLD Vinegar - BULK 60 grain","50220","False","29","","50210","False","18","","11","FV9003C","2","10000","1","FV9005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5" s="15"/>
      <c r="D1795" s="16" t="str">
        <f>"FV9005"</f>
        <v>FV9005</v>
      </c>
      <c r="E1795" s="16">
        <v>10000</v>
      </c>
      <c r="F1795" s="16" t="str">
        <f>"FV9003C"</f>
        <v>FV9003C</v>
      </c>
      <c r="G1795" s="17" t="str">
        <f>"ORG Cust-owned S.GOLD Vinegar - BULK 60 grain"</f>
        <v>ORG Cust-owned S.GOLD Vinegar - BULK 60 grain</v>
      </c>
      <c r="H1795" s="18" t="str">
        <f t="shared" si="178"/>
        <v>GAL</v>
      </c>
      <c r="I1795" s="19">
        <v>55</v>
      </c>
      <c r="J1795" s="20">
        <v>55</v>
      </c>
    </row>
    <row r="1796" spans="1:10" ht="15.75" thickBot="1" x14ac:dyDescent="0.3">
      <c r="A1796" t="s">
        <v>31</v>
      </c>
      <c r="B1796" s="15" t="str">
        <f>"""Manzana NAV"",""MANZANA"",""99000772"",""44"","" "",""22"",""False"",""43"",""0.00000000000000000000"",""12"",""ORG Cust-owned S.GOLD Vinegar - BULK 60 grain"",""50220"",""False"",""29"","""",""50210"",""False"",""18"","""",""11"",""FV9003C"",""2"",""10000"",""1"",""FV9008"",""14"",""0.8333300000000000000"&amp;"0"",""45"",""0.83333000000000000000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S.GOLD Vinegar - BULK 60 grain","50220","False","29","","50210","False","18","","11","FV9003C","2","10000","1","FV9008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96" s="15"/>
      <c r="D1796" s="16" t="str">
        <f>"FV9008"</f>
        <v>FV9008</v>
      </c>
      <c r="E1796" s="16">
        <v>10000</v>
      </c>
      <c r="F1796" s="16" t="str">
        <f>"FV9003C"</f>
        <v>FV9003C</v>
      </c>
      <c r="G1796" s="17" t="str">
        <f>"ORG Cust-owned S.GOLD Vinegar - BULK 60 grain"</f>
        <v>ORG Cust-owned S.GOLD Vinegar - BULK 60 grain</v>
      </c>
      <c r="H1796" s="18" t="str">
        <f t="shared" si="178"/>
        <v>GAL</v>
      </c>
      <c r="I1796" s="19">
        <v>0.83333000000000002</v>
      </c>
      <c r="J1796" s="20">
        <v>0.83333000000000002</v>
      </c>
    </row>
    <row r="1797" spans="1:10" ht="15.75" thickBot="1" x14ac:dyDescent="0.3">
      <c r="A1797" t="s">
        <v>31</v>
      </c>
      <c r="B1797" s="15" t="str">
        <f>"""Manzana NAV"",""MANZANA"",""99000772"",""44"","" "",""22"",""False"",""43"",""0.00000000000000000000"",""12"",""ORG GRAV AC Vinegar - BULK 50 grain"",""50220"",""False"",""29"","""",""50210"",""False"",""18"","""",""11"",""FV9985"",""2"",""10000"",""1"",""FV9987"",""14"",""55.00000000000000000000"",""45"",""5"&amp;"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AC Vinegar - BULK 50 grain","50220","False","29","","50210","False","18","","11","FV9985","2","10000","1","FV9987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7" s="15"/>
      <c r="D1797" s="16" t="str">
        <f>"FV9987"</f>
        <v>FV9987</v>
      </c>
      <c r="E1797" s="16">
        <v>10000</v>
      </c>
      <c r="F1797" s="16" t="str">
        <f>"FV9985"</f>
        <v>FV9985</v>
      </c>
      <c r="G1797" s="17" t="str">
        <f>"ORG GRAV AC Vinegar - BULK 50 grain"</f>
        <v>ORG GRAV AC Vinegar - BULK 50 grain</v>
      </c>
      <c r="H1797" s="18" t="str">
        <f t="shared" si="178"/>
        <v>GAL</v>
      </c>
      <c r="I1797" s="19">
        <v>55</v>
      </c>
      <c r="J1797" s="20">
        <v>55</v>
      </c>
    </row>
    <row r="1798" spans="1:10" ht="15.75" thickBot="1" x14ac:dyDescent="0.3">
      <c r="A1798" t="s">
        <v>31</v>
      </c>
      <c r="B1798" s="15" t="str">
        <f>"""Manzana NAV"",""MANZANA"",""99000772"",""44"","" "",""22"",""False"",""43"",""0.00000000000000000000"",""12"",""ORG GRAV AC Vinegar - BULK 60 grain"",""50220"",""False"",""29"","""",""50210"",""False"",""18"","""",""11"",""FV9986"",""2"",""10000"",""1"",""FV9985"",""14"",""0.83333000000000000000"",""45"",""0."&amp;"83333000000000000000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AC Vinegar - BULK 60 grain","50220","False","29","","50210","False","18","","11","FV9986","2","10000","1","FV9985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98" s="15"/>
      <c r="D1798" s="16" t="str">
        <f>"FV9985"</f>
        <v>FV9985</v>
      </c>
      <c r="E1798" s="16">
        <v>10000</v>
      </c>
      <c r="F1798" s="16" t="str">
        <f>"FV9986"</f>
        <v>FV9986</v>
      </c>
      <c r="G1798" s="17" t="str">
        <f>"ORG GRAV AC Vinegar - BULK 60 grain"</f>
        <v>ORG GRAV AC Vinegar - BULK 60 grain</v>
      </c>
      <c r="H1798" s="18" t="str">
        <f t="shared" si="178"/>
        <v>GAL</v>
      </c>
      <c r="I1798" s="19">
        <v>0.83333000000000002</v>
      </c>
      <c r="J1798" s="20">
        <v>0.83333000000000002</v>
      </c>
    </row>
    <row r="1799" spans="1:10" ht="15.75" thickBot="1" x14ac:dyDescent="0.3">
      <c r="A1799" t="s">
        <v>31</v>
      </c>
      <c r="B1799" s="15" t="str">
        <f>"""Manzana NAV"",""MANZANA"",""99000772"",""44"","" "",""22"",""False"",""43"",""0.00000000000000000000"",""12"",""ORG GRAV AC Vinegar - BULK 60 grain"",""50220"",""False"",""29"","""",""50210"",""False"",""18"","""",""11"",""FV9986"",""2"",""30000"",""1"",""FV9988"",""14"",""55.00000000000000000000"",""45"",""5"&amp;"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AC Vinegar - BULK 60 grain","50220","False","29","","50210","False","18","","11","FV9986","2","30000","1","FV9988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9" s="15"/>
      <c r="D1799" s="16" t="str">
        <f>"FV9988"</f>
        <v>FV9988</v>
      </c>
      <c r="E1799" s="16">
        <v>30000</v>
      </c>
      <c r="F1799" s="16" t="str">
        <f>"FV9986"</f>
        <v>FV9986</v>
      </c>
      <c r="G1799" s="17" t="str">
        <f>"ORG GRAV AC Vinegar - BULK 60 grain"</f>
        <v>ORG GRAV AC Vinegar - BULK 60 grain</v>
      </c>
      <c r="H1799" s="18" t="str">
        <f t="shared" si="178"/>
        <v>GAL</v>
      </c>
      <c r="I1799" s="19">
        <v>55</v>
      </c>
      <c r="J1799" s="20">
        <v>55</v>
      </c>
    </row>
    <row r="1800" spans="1:10" ht="15.75" thickBot="1" x14ac:dyDescent="0.3">
      <c r="A1800" t="s">
        <v>31</v>
      </c>
      <c r="B1800" s="15" t="str">
        <f>"""Manzana NAV"",""MANZANA"",""99000772"",""44"","" "",""22"",""False"",""43"",""0.00000000000000000000"",""12"",""ORG GRAV Vinegar STOCK - in TANK"",""50220"",""False"",""29"","""",""50210"",""False"",""18"","""",""11"",""IV898"",""2"",""10000"",""1"",""FV9986"",""14"",""1.00000000000000000000"",""45"",""1.0000"&amp;"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Vinegar STOCK - in TANK","50220","False","29","","50210","False","18","","11","IV898","2","10000","1","FV9986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800" s="15"/>
      <c r="D1800" s="16" t="str">
        <f>"FV9986"</f>
        <v>FV9986</v>
      </c>
      <c r="E1800" s="16">
        <v>10000</v>
      </c>
      <c r="F1800" s="16" t="str">
        <f>"IV898"</f>
        <v>IV898</v>
      </c>
      <c r="G1800" s="17" t="str">
        <f>"ORG GRAV Vinegar STOCK - in TANK"</f>
        <v>ORG GRAV Vinegar STOCK - in TANK</v>
      </c>
      <c r="H1800" s="18" t="str">
        <f t="shared" si="178"/>
        <v>GAL</v>
      </c>
      <c r="I1800" s="19">
        <v>1</v>
      </c>
      <c r="J1800" s="20">
        <v>1</v>
      </c>
    </row>
    <row r="1801" spans="1:10" ht="15.75" thickBot="1" x14ac:dyDescent="0.3">
      <c r="A1801" t="s">
        <v>31</v>
      </c>
      <c r="B1801" s="15" t="str">
        <f>"""Manzana NAV"",""MANZANA"",""99000772"",""44"","" "",""22"",""False"",""43"",""0.00000000000000000000"",""12"",""ORG Himalayan Pink Salt - Cust-owned"",""50220"",""False"",""29"","""",""50210"",""False"",""18"","""",""11"",""I9000"",""2"",""50000"",""1"",""ISC29"",""14"",""0.01500000000000000000"",""45"",""0.0"&amp;"1500000000000000000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Himalayan Pink Salt - Cust-owned","50220","False","29","","50210","False","18","","11","I9000","2","50000","1","ISC29","14","0.01500000000000000000","45","0.01500000000000000000","19","","20","0.00000000000000000000","50000","0.00000000000000000000","50230","False","28","","10","Item","13","LBS","21","","3","","42","0.00000000000000000000","50200","False","41","0.00000000000000000000"</v>
      </c>
      <c r="C1801" s="15"/>
      <c r="D1801" s="16" t="str">
        <f>"ISC29"</f>
        <v>ISC29</v>
      </c>
      <c r="E1801" s="16">
        <v>50000</v>
      </c>
      <c r="F1801" s="16" t="str">
        <f>"I9000"</f>
        <v>I9000</v>
      </c>
      <c r="G1801" s="17" t="str">
        <f>"ORG Himalayan Pink Salt - Cust-owned"</f>
        <v>ORG Himalayan Pink Salt - Cust-owned</v>
      </c>
      <c r="H1801" s="18" t="str">
        <f>"LBS"</f>
        <v>LBS</v>
      </c>
      <c r="I1801" s="19">
        <v>1.4999999999999999E-2</v>
      </c>
      <c r="J1801" s="20">
        <v>1.4999999999999999E-2</v>
      </c>
    </row>
    <row r="1802" spans="1:10" ht="15.75" thickBot="1" x14ac:dyDescent="0.3">
      <c r="A1802" t="s">
        <v>31</v>
      </c>
      <c r="B1802" s="15" t="str">
        <f>"""Manzana NAV"",""MANZANA"",""99000772"",""44"","" "",""22"",""False"",""43"",""0.00000000000000000000"",""12"",""ORG PK Co-Pack AC Vinegar STOCK - in TANK"",""50220"",""False"",""29"","""",""50210"",""False"",""18"","""",""11"",""IV893"",""2"",""10000"",""1"",""FV9006"",""14"",""1.00000000000000000000"",""45"&amp;"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PK Co-Pack AC Vinegar STOCK - in TANK","50220","False","29","","50210","False","18","","11","IV893","2","10000","1","FV9006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802" s="15"/>
      <c r="D1802" s="16" t="str">
        <f>"FV9006"</f>
        <v>FV9006</v>
      </c>
      <c r="E1802" s="16">
        <v>10000</v>
      </c>
      <c r="F1802" s="16" t="str">
        <f>"IV893"</f>
        <v>IV893</v>
      </c>
      <c r="G1802" s="17" t="str">
        <f>"ORG PK Co-Pack AC Vinegar STOCK - in TANK"</f>
        <v>ORG PK Co-Pack AC Vinegar STOCK - in TANK</v>
      </c>
      <c r="H1802" s="18" t="str">
        <f t="shared" ref="H1802:H1809" si="179">"GAL"</f>
        <v>GAL</v>
      </c>
      <c r="I1802" s="19">
        <v>1</v>
      </c>
      <c r="J1802" s="20">
        <v>1</v>
      </c>
    </row>
    <row r="1803" spans="1:10" ht="15.75" thickBot="1" x14ac:dyDescent="0.3">
      <c r="A1803" t="s">
        <v>31</v>
      </c>
      <c r="B1803" s="15" t="str">
        <f>"""Manzana NAV"",""MANZANA"",""99000772"",""44"","" "",""22"",""False"",""43"",""0.00000000000000000000"",""12"",""ORG S.GOLD Co-Pack AC Vinegar STOCK - in TANK"",""50220"",""False"",""29"","""",""50210"",""False"",""18"","""",""11"",""IV894"",""2"",""10000"",""1"",""FV9003"",""14"",""1.00000000000000000000"""&amp;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S.GOLD Co-Pack AC Vinegar STOCK - in TANK","50220","False","29","","50210","False","18","","11","IV894","2","10000","1","FV9003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803" s="15"/>
      <c r="D1803" s="16" t="str">
        <f>"FV9003"</f>
        <v>FV9003</v>
      </c>
      <c r="E1803" s="16">
        <v>10000</v>
      </c>
      <c r="F1803" s="16" t="str">
        <f>"IV894"</f>
        <v>IV894</v>
      </c>
      <c r="G1803" s="17" t="str">
        <f>"ORG S.GOLD Co-Pack AC Vinegar STOCK - in TANK"</f>
        <v>ORG S.GOLD Co-Pack AC Vinegar STOCK - in TANK</v>
      </c>
      <c r="H1803" s="18" t="str">
        <f t="shared" si="179"/>
        <v>GAL</v>
      </c>
      <c r="I1803" s="19">
        <v>1</v>
      </c>
      <c r="J1803" s="20">
        <v>1</v>
      </c>
    </row>
    <row r="1804" spans="1:10" ht="15.75" thickBot="1" x14ac:dyDescent="0.3">
      <c r="A1804" t="s">
        <v>31</v>
      </c>
      <c r="B1804" s="15" t="str">
        <f>"""Manzana NAV"",""MANZANA"",""99000772"",""44"","" "",""22"",""False"",""43"",""0.00000000000000000000"",""12"",""Organic Apple Juice Concentrate"",""50220"",""False"",""29"","""",""50210"",""False"",""18"","""",""11"",""I0006"",""2"",""10000"",""1"",""ISC34"",""14"",""0.00270000000000000000"",""45"",""0.002700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10000","1","ISC34","14","0.00270000000000000000","45","0.00270000000000000000","19","","20","0.00000000000000000000","50000","0.00000000000000000000","50230","False","28","","10","Item","13","GAL","21","","3","","42","0.00000000000000000000","50200","False","41","0.00000000000000000000"</v>
      </c>
      <c r="C1804" s="15"/>
      <c r="D1804" s="16" t="str">
        <f>"ISC34"</f>
        <v>ISC34</v>
      </c>
      <c r="E1804" s="16">
        <v>10000</v>
      </c>
      <c r="F1804" s="16" t="str">
        <f t="shared" ref="F1804:F1809" si="180">"I0006"</f>
        <v>I0006</v>
      </c>
      <c r="G1804" s="17" t="str">
        <f t="shared" ref="G1804:G1810" si="181">"Organic Apple Juice Concentrate"</f>
        <v>Organic Apple Juice Concentrate</v>
      </c>
      <c r="H1804" s="18" t="str">
        <f t="shared" si="179"/>
        <v>GAL</v>
      </c>
      <c r="I1804" s="19">
        <v>2.7000000000000001E-3</v>
      </c>
      <c r="J1804" s="20">
        <v>2.7000000000000001E-3</v>
      </c>
    </row>
    <row r="1805" spans="1:10" ht="15.75" thickBot="1" x14ac:dyDescent="0.3">
      <c r="A1805" t="s">
        <v>31</v>
      </c>
      <c r="B1805" s="15" t="str">
        <f>"""Manzana NAV"",""MANZANA"",""99000772"",""44"","" "",""22"",""False"",""43"",""0.00000000000000000000"",""12"",""Organic Apple Juice Concentrate"",""50220"",""False"",""29"","""",""50210"",""False"",""18"","""",""11"",""I0006"",""2"",""10000"",""1"",""ISC35"",""14"",""0.00600000000000000000"",""45"",""0.006000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10000","1","ISC35","14","0.00600000000000000000","45","0.00600000000000000000","19","","20","0.00000000000000000000","50000","0.00000000000000000000","50230","False","28","","10","Item","13","GAL","21","","3","","42","0.00000000000000000000","50200","False","41","0.00000000000000000000"</v>
      </c>
      <c r="C1805" s="15"/>
      <c r="D1805" s="16" t="str">
        <f>"ISC35"</f>
        <v>ISC35</v>
      </c>
      <c r="E1805" s="16">
        <v>10000</v>
      </c>
      <c r="F1805" s="16" t="str">
        <f t="shared" si="180"/>
        <v>I0006</v>
      </c>
      <c r="G1805" s="17" t="str">
        <f t="shared" si="181"/>
        <v>Organic Apple Juice Concentrate</v>
      </c>
      <c r="H1805" s="18" t="str">
        <f t="shared" si="179"/>
        <v>GAL</v>
      </c>
      <c r="I1805" s="19">
        <v>6.0000000000000001E-3</v>
      </c>
      <c r="J1805" s="20">
        <v>6.0000000000000001E-3</v>
      </c>
    </row>
    <row r="1806" spans="1:10" ht="15.75" thickBot="1" x14ac:dyDescent="0.3">
      <c r="A1806" t="s">
        <v>31</v>
      </c>
      <c r="B1806" s="15" t="str">
        <f>"""Manzana NAV"",""MANZANA"",""99000772"",""44"","" "",""22"",""False"",""43"",""0.00000000000000000000"",""12"",""Organic Apple Juice Concentrate"",""50220"",""False"",""29"","""",""50210"",""False"",""18"","""",""11"",""I0006"",""2"",""10000"",""1"",""ISC36"",""14"",""0.00100000000000000000"",""45"",""0.001000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10000","1","ISC36","14","0.00100000000000000000","45","0.00100000000000000000","19","","20","0.00000000000000000000","50000","0.00000000000000000000","50230","False","28","","10","Item","13","GAL","21","","3","","42","0.00000000000000000000","50200","False","41","0.00000000000000000000"</v>
      </c>
      <c r="C1806" s="15"/>
      <c r="D1806" s="16" t="str">
        <f>"ISC36"</f>
        <v>ISC36</v>
      </c>
      <c r="E1806" s="16">
        <v>10000</v>
      </c>
      <c r="F1806" s="16" t="str">
        <f t="shared" si="180"/>
        <v>I0006</v>
      </c>
      <c r="G1806" s="17" t="str">
        <f t="shared" si="181"/>
        <v>Organic Apple Juice Concentrate</v>
      </c>
      <c r="H1806" s="18" t="str">
        <f t="shared" si="179"/>
        <v>GAL</v>
      </c>
      <c r="I1806" s="19">
        <v>1E-3</v>
      </c>
      <c r="J1806" s="20">
        <v>1E-3</v>
      </c>
    </row>
    <row r="1807" spans="1:10" ht="15.75" thickBot="1" x14ac:dyDescent="0.3">
      <c r="A1807" t="s">
        <v>31</v>
      </c>
      <c r="B1807" s="15" t="str">
        <f>"""Manzana NAV"",""MANZANA"",""99000772"",""44"","" "",""22"",""False"",""43"",""0.00000000000000000000"",""12"",""Organic Apple Juice Concentrate"",""50220"",""False"",""29"","""",""50210"",""False"",""18"","""",""11"",""I0006"",""2"",""20000"",""1"",""ISC02"",""14"",""0.09690000000000000000"",""45"",""0.096900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20000","1","ISC02","14","0.09690000000000000000","45","0.09690000000000000000","19","","20","0.00000000000000000000","50000","0.00000000000000000000","50230","False","28","","10","Item","13","GAL","21","","3","","42","0.00000000000000000000","50200","False","41","0.00000000000000000000"</v>
      </c>
      <c r="C1807" s="15"/>
      <c r="D1807" s="16" t="str">
        <f>"ISC02"</f>
        <v>ISC02</v>
      </c>
      <c r="E1807" s="16">
        <v>20000</v>
      </c>
      <c r="F1807" s="16" t="str">
        <f t="shared" si="180"/>
        <v>I0006</v>
      </c>
      <c r="G1807" s="17" t="str">
        <f t="shared" si="181"/>
        <v>Organic Apple Juice Concentrate</v>
      </c>
      <c r="H1807" s="18" t="str">
        <f t="shared" si="179"/>
        <v>GAL</v>
      </c>
      <c r="I1807" s="19">
        <v>9.69E-2</v>
      </c>
      <c r="J1807" s="20">
        <v>9.69E-2</v>
      </c>
    </row>
    <row r="1808" spans="1:10" ht="15.75" thickBot="1" x14ac:dyDescent="0.3">
      <c r="A1808" t="s">
        <v>31</v>
      </c>
      <c r="B1808" s="15" t="str">
        <f>"""Manzana NAV"",""MANZANA"",""99000772"",""44"","" "",""22"",""False"",""43"",""0.00000000000000000000"",""12"",""Organic Apple Juice Concentrate"",""50220"",""False"",""29"","""",""50210"",""False"",""18"","""",""11"",""I0006"",""2"",""20000"",""1"",""ISC08"",""14"",""0.09690000000000000000"",""45"",""0.096900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20000","1","ISC08","14","0.09690000000000000000","45","0.09690000000000000000","19","","20","0.00000000000000000000","50000","0.00000000000000000000","50230","False","28","","10","Item","13","GAL","21","","3","","42","0.00000000000000000000","50200","False","41","0.00000000000000000000"</v>
      </c>
      <c r="C1808" s="15"/>
      <c r="D1808" s="16" t="str">
        <f>"ISC08"</f>
        <v>ISC08</v>
      </c>
      <c r="E1808" s="16">
        <v>20000</v>
      </c>
      <c r="F1808" s="16" t="str">
        <f t="shared" si="180"/>
        <v>I0006</v>
      </c>
      <c r="G1808" s="17" t="str">
        <f t="shared" si="181"/>
        <v>Organic Apple Juice Concentrate</v>
      </c>
      <c r="H1808" s="18" t="str">
        <f t="shared" si="179"/>
        <v>GAL</v>
      </c>
      <c r="I1808" s="19">
        <v>9.69E-2</v>
      </c>
      <c r="J1808" s="20">
        <v>9.69E-2</v>
      </c>
    </row>
    <row r="1809" spans="1:10" ht="15.75" thickBot="1" x14ac:dyDescent="0.3">
      <c r="A1809" t="s">
        <v>31</v>
      </c>
      <c r="B1809" s="15" t="str">
        <f>"""Manzana NAV"",""MANZANA"",""99000772"",""44"","" "",""22"",""False"",""43"",""0.00000000000000000000"",""12"",""Organic Apple Juice Concentrate"",""50220"",""False"",""29"","""",""50210"",""False"",""18"","""",""11"",""I0006"",""2"",""20000"",""1"",""ISC13"",""14"",""0.09690000000000000000"",""45"",""0.096900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20000","1","ISC13","14","0.09690000000000000000","45","0.09690000000000000000","19","","20","0.00000000000000000000","50000","0.00000000000000000000","50230","False","28","","10","Item","13","GAL","21","","3","","42","0.00000000000000000000","50200","False","41","0.00000000000000000000"</v>
      </c>
      <c r="C1809" s="15"/>
      <c r="D1809" s="16" t="str">
        <f>"ISC13"</f>
        <v>ISC13</v>
      </c>
      <c r="E1809" s="16">
        <v>20000</v>
      </c>
      <c r="F1809" s="16" t="str">
        <f t="shared" si="180"/>
        <v>I0006</v>
      </c>
      <c r="G1809" s="17" t="str">
        <f t="shared" si="181"/>
        <v>Organic Apple Juice Concentrate</v>
      </c>
      <c r="H1809" s="18" t="str">
        <f t="shared" si="179"/>
        <v>GAL</v>
      </c>
      <c r="I1809" s="19">
        <v>9.69E-2</v>
      </c>
      <c r="J1809" s="20">
        <v>9.69E-2</v>
      </c>
    </row>
    <row r="1810" spans="1:10" ht="15.75" thickBot="1" x14ac:dyDescent="0.3">
      <c r="A1810" t="s">
        <v>31</v>
      </c>
      <c r="B1810" s="15" t="str">
        <f>"""Manzana NAV"",""MANZANA"",""99000772"",""44"","" "",""22"",""False"",""43"",""0.00000000000000000000"",""12"",""Organic Apple Juice Concentrate"",""50220"",""False"",""29"","""",""50210"",""False"",""18"","""",""11"",""Z-I0006"",""2"",""20000"",""1"",""AP02"",""14"",""5.00000000000000000000"",""45"",""5.00000"&amp;"000000000000000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Z-I0006","2","20000","1","AP02","14","5.00000000000000000000","45","5.00000000000000000000","19","","20","0.00000000000000000000","50000","0.00000000000000000000","50230","False","28","","10","Item","13","DRUMS","21","","3","","42","0.00000000000000000000","50200","False","41","0.00000000000000000000"</v>
      </c>
      <c r="C1810" s="15"/>
      <c r="D1810" s="16" t="str">
        <f>"AP02"</f>
        <v>AP02</v>
      </c>
      <c r="E1810" s="16">
        <v>20000</v>
      </c>
      <c r="F1810" s="16" t="str">
        <f>"Z-I0006"</f>
        <v>Z-I0006</v>
      </c>
      <c r="G1810" s="17" t="str">
        <f t="shared" si="181"/>
        <v>Organic Apple Juice Concentrate</v>
      </c>
      <c r="H1810" s="18" t="str">
        <f>"DRUMS"</f>
        <v>DRUMS</v>
      </c>
      <c r="I1810" s="19">
        <v>5</v>
      </c>
      <c r="J1810" s="20">
        <v>5</v>
      </c>
    </row>
    <row r="1811" spans="1:10" ht="15.75" thickBot="1" x14ac:dyDescent="0.3">
      <c r="A1811" t="s">
        <v>31</v>
      </c>
      <c r="B1811" s="15" t="str">
        <f>"""Manzana NAV"",""MANZANA"",""99000772"",""44"","" "",""22"",""False"",""43"",""0.00000000000000000000"",""12"",""Organic Apricot Puree"",""50220"",""False"",""29"","""",""50210"",""False"",""18"","""",""11"",""I0009"",""2"",""20000"",""1"",""ISC04"",""14"",""0.10050000000000000000"",""45"",""0.1005000000000000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Apricot Puree","50220","False","29","","50210","False","18","","11","I0009","2","20000","1","ISC04","14","0.10050000000000000000","45","0.10050000000000000000","19","","20","0.00000000000000000000","50000","0.00000000000000000000","50230","False","28","","10","Item","13","LBS","21","","3","","42","0.00000000000000000000","50200","False","41","0.00000000000000000000"</v>
      </c>
      <c r="C1811" s="15"/>
      <c r="D1811" s="16" t="str">
        <f>"ISC04"</f>
        <v>ISC04</v>
      </c>
      <c r="E1811" s="16">
        <v>20000</v>
      </c>
      <c r="F1811" s="16" t="str">
        <f>"I0009"</f>
        <v>I0009</v>
      </c>
      <c r="G1811" s="17" t="str">
        <f>"Organic Apricot Puree"</f>
        <v>Organic Apricot Puree</v>
      </c>
      <c r="H1811" s="18" t="str">
        <f t="shared" ref="H1811:H1874" si="182">"LBS"</f>
        <v>LBS</v>
      </c>
      <c r="I1811" s="19">
        <v>0.10050000000000001</v>
      </c>
      <c r="J1811" s="20">
        <v>0.10050000000000001</v>
      </c>
    </row>
    <row r="1812" spans="1:10" ht="15.75" thickBot="1" x14ac:dyDescent="0.3">
      <c r="A1812" t="s">
        <v>31</v>
      </c>
      <c r="B1812" s="15" t="str">
        <f>"""Manzana NAV"",""MANZANA"",""99000772"",""44"","" "",""22"",""False"",""43"",""0.00000000000000000000"",""12"",""Organic Apricot Puree"",""50220"",""False"",""29"","""",""50210"",""False"",""18"","""",""11"",""I0009"",""2"",""20000"",""1"",""ISC10"",""14"",""0.10140000000000000000"",""45"",""0.1014000000000000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Apricot Puree","50220","False","29","","50210","False","18","","11","I0009","2","20000","1","ISC10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812" s="15"/>
      <c r="D1812" s="16" t="str">
        <f>"ISC10"</f>
        <v>ISC10</v>
      </c>
      <c r="E1812" s="16">
        <v>20000</v>
      </c>
      <c r="F1812" s="16" t="str">
        <f>"I0009"</f>
        <v>I0009</v>
      </c>
      <c r="G1812" s="17" t="str">
        <f>"Organic Apricot Puree"</f>
        <v>Organic Apricot Puree</v>
      </c>
      <c r="H1812" s="18" t="str">
        <f t="shared" si="182"/>
        <v>LBS</v>
      </c>
      <c r="I1812" s="19">
        <v>0.1014</v>
      </c>
      <c r="J1812" s="20">
        <v>0.1014</v>
      </c>
    </row>
    <row r="1813" spans="1:10" ht="15.75" thickBot="1" x14ac:dyDescent="0.3">
      <c r="A1813" t="s">
        <v>31</v>
      </c>
      <c r="B1813" s="15" t="str">
        <f>"""Manzana NAV"",""MANZANA"",""99000772"",""44"","" "",""22"",""False"",""43"",""0.00000000000000000000"",""12"",""Organic Apricot Puree"",""50220"",""False"",""29"","""",""50210"",""False"",""18"","""",""11"",""I0009"",""2"",""20000"",""1"",""ISC23"",""14"",""0.10140000000000000000"",""45"",""0.1014000000000000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Apricot Puree","50220","False","29","","50210","False","18","","11","I0009","2","20000","1","ISC23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813" s="15"/>
      <c r="D1813" s="16" t="str">
        <f>"ISC23"</f>
        <v>ISC23</v>
      </c>
      <c r="E1813" s="16">
        <v>20000</v>
      </c>
      <c r="F1813" s="16" t="str">
        <f>"I0009"</f>
        <v>I0009</v>
      </c>
      <c r="G1813" s="17" t="str">
        <f>"Organic Apricot Puree"</f>
        <v>Organic Apricot Puree</v>
      </c>
      <c r="H1813" s="18" t="str">
        <f t="shared" si="182"/>
        <v>LBS</v>
      </c>
      <c r="I1813" s="19">
        <v>0.1014</v>
      </c>
      <c r="J1813" s="20">
        <v>0.1014</v>
      </c>
    </row>
    <row r="1814" spans="1:10" ht="15.75" thickBot="1" x14ac:dyDescent="0.3">
      <c r="A1814" t="s">
        <v>31</v>
      </c>
      <c r="B1814" s="15" t="str">
        <f>"""Manzana NAV"",""MANZANA"",""99000772"",""44"","" "",""22"",""False"",""43"",""0.00000000000000000000"",""12"",""Organic Banana Puree - Cust-owned"",""50220"",""False"",""29"","""",""50210"",""False"",""18"","""",""11"",""I9001"",""2"",""30000"",""1"",""ISC30"",""14"",""0.09000000000000000000"",""45"",""0.0900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Banana Puree - Cust-owned","50220","False","29","","50210","False","18","","11","I9001","2","30000","1","ISC30","14","0.09000000000000000000","45","0.09000000000000000000","19","","20","0.00000000000000000000","50000","0.00000000000000000000","50230","False","28","","10","Item","13","LBS","21","","3","","42","0.00000000000000000000","50200","False","41","0.00000000000000000000"</v>
      </c>
      <c r="C1814" s="15"/>
      <c r="D1814" s="16" t="str">
        <f>"ISC30"</f>
        <v>ISC30</v>
      </c>
      <c r="E1814" s="16">
        <v>30000</v>
      </c>
      <c r="F1814" s="16" t="str">
        <f>"I9001"</f>
        <v>I9001</v>
      </c>
      <c r="G1814" s="17" t="str">
        <f>"Organic Banana Puree - Cust-owned"</f>
        <v>Organic Banana Puree - Cust-owned</v>
      </c>
      <c r="H1814" s="18" t="str">
        <f t="shared" si="182"/>
        <v>LBS</v>
      </c>
      <c r="I1814" s="19">
        <v>0.09</v>
      </c>
      <c r="J1814" s="20">
        <v>0.09</v>
      </c>
    </row>
    <row r="1815" spans="1:10" ht="15.75" thickBot="1" x14ac:dyDescent="0.3">
      <c r="A1815" t="s">
        <v>31</v>
      </c>
      <c r="B1815" s="15" t="str">
        <f>"""Manzana NAV"",""MANZANA"",""99000772"",""44"","" "",""22"",""False"",""43"",""0.00000000000000000000"",""12"",""Organic Banana Puree - non acidified"",""50220"",""False"",""29"","""",""50210"",""False"",""18"","""",""11"",""I0029"",""2"",""30000"",""1"",""ISC36"",""14"",""0.29800000000000000000"",""45"",""0.2"&amp;"9800000000000000000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Banana Puree - non acidified","50220","False","29","","50210","False","18","","11","I0029","2","30000","1","ISC36","14","0.29800000000000000000","45","0.29800000000000000000","19","","20","0.00000000000000000000","50000","0.00000000000000000000","50230","False","28","","10","Item","13","LBS","21","","3","","42","0.00000000000000000000","50200","False","41","0.00000000000000000000"</v>
      </c>
      <c r="C1815" s="15"/>
      <c r="D1815" s="16" t="str">
        <f>"ISC36"</f>
        <v>ISC36</v>
      </c>
      <c r="E1815" s="16">
        <v>30000</v>
      </c>
      <c r="F1815" s="16" t="str">
        <f>"I0029"</f>
        <v>I0029</v>
      </c>
      <c r="G1815" s="17" t="str">
        <f>"Organic Banana Puree - non acidified"</f>
        <v>Organic Banana Puree - non acidified</v>
      </c>
      <c r="H1815" s="18" t="str">
        <f t="shared" si="182"/>
        <v>LBS</v>
      </c>
      <c r="I1815" s="19">
        <v>0.29799999999999999</v>
      </c>
      <c r="J1815" s="20">
        <v>0.29799999999999999</v>
      </c>
    </row>
    <row r="1816" spans="1:10" ht="15.75" thickBot="1" x14ac:dyDescent="0.3">
      <c r="A1816" t="s">
        <v>31</v>
      </c>
      <c r="B1816" s="15" t="str">
        <f>"""Manzana NAV"",""MANZANA"",""99000772"",""44"","" "",""22"",""False"",""43"",""0.00000000000000000000"",""12"",""Organic Black Carrot Juice Concentrate"",""50220"",""False"",""29"","""",""50210"",""False"",""18"","""",""11"",""I0028"",""2"",""40000"",""1"",""ISC35"",""14"",""0.00120000000000000000"",""45"",""0"&amp;".00120000000000000000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 Carrot Juice Concentrate","50220","False","29","","50210","False","18","","11","I0028","2","40000","1","ISC35","14","0.00120000000000000000","45","0.00120000000000000000","19","","20","0.00000000000000000000","50000","0.00000000000000000000","50230","False","28","","10","Item","13","LBS","21","","3","","42","0.00000000000000000000","50200","False","41","0.00000000000000000000"</v>
      </c>
      <c r="C1816" s="15"/>
      <c r="D1816" s="16" t="str">
        <f>"ISC35"</f>
        <v>ISC35</v>
      </c>
      <c r="E1816" s="16">
        <v>40000</v>
      </c>
      <c r="F1816" s="16" t="str">
        <f>"I0028"</f>
        <v>I0028</v>
      </c>
      <c r="G1816" s="17" t="str">
        <f>"Organic Black Carrot Juice Concentrate"</f>
        <v>Organic Black Carrot Juice Concentrate</v>
      </c>
      <c r="H1816" s="18" t="str">
        <f t="shared" si="182"/>
        <v>LBS</v>
      </c>
      <c r="I1816" s="19">
        <v>1.1999999999999999E-3</v>
      </c>
      <c r="J1816" s="20">
        <v>1.1999999999999999E-3</v>
      </c>
    </row>
    <row r="1817" spans="1:10" ht="15.75" thickBot="1" x14ac:dyDescent="0.3">
      <c r="A1817" t="s">
        <v>31</v>
      </c>
      <c r="B1817" s="15" t="str">
        <f>"""Manzana NAV"",""MANZANA"",""99000772"",""44"","" "",""22"",""False"",""43"",""0.00000000000000000000"",""12"",""Organic Blackberry Puree"",""50220"",""False"",""29"","""",""50210"",""False"",""18"","""",""11"",""I0011"",""2"",""30000"",""1"",""ISC03"",""14"",""0.03540000000000000000"",""45"",""0.0354000000000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03","14","0.03540000000000000000","45","0.03540000000000000000","19","","20","0.00000000000000000000","50000","0.00000000000000000000","50230","False","28","","10","Item","13","LBS","21","","3","","42","0.00000000000000000000","50200","False","41","0.00000000000000000000"</v>
      </c>
      <c r="C1817" s="15"/>
      <c r="D1817" s="16" t="str">
        <f>"ISC03"</f>
        <v>ISC03</v>
      </c>
      <c r="E1817" s="16">
        <v>30000</v>
      </c>
      <c r="F1817" s="16" t="str">
        <f t="shared" ref="F1817:F1822" si="183">"I0011"</f>
        <v>I0011</v>
      </c>
      <c r="G1817" s="17" t="str">
        <f t="shared" ref="G1817:G1822" si="184">"Organic Blackberry Puree"</f>
        <v>Organic Blackberry Puree</v>
      </c>
      <c r="H1817" s="18" t="str">
        <f t="shared" si="182"/>
        <v>LBS</v>
      </c>
      <c r="I1817" s="19">
        <v>3.5400000000000001E-2</v>
      </c>
      <c r="J1817" s="20">
        <v>3.5400000000000001E-2</v>
      </c>
    </row>
    <row r="1818" spans="1:10" ht="15.75" thickBot="1" x14ac:dyDescent="0.3">
      <c r="A1818" t="s">
        <v>31</v>
      </c>
      <c r="B1818" s="15" t="str">
        <f>"""Manzana NAV"",""MANZANA"",""99000772"",""44"","" "",""22"",""False"",""43"",""0.00000000000000000000"",""12"",""Organic Blackberry Puree"",""50220"",""False"",""29"","""",""50210"",""False"",""18"","""",""11"",""I0011"",""2"",""30000"",""1"",""ISC09"",""14"",""0.03570000000000000000"",""45"",""0.0357000000000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09","14","0.03570000000000000000","45","0.03570000000000000000","19","","20","0.00000000000000000000","50000","0.00000000000000000000","50230","False","28","","10","Item","13","LBS","21","","3","","42","0.00000000000000000000","50200","False","41","0.00000000000000000000"</v>
      </c>
      <c r="C1818" s="15"/>
      <c r="D1818" s="16" t="str">
        <f>"ISC09"</f>
        <v>ISC09</v>
      </c>
      <c r="E1818" s="16">
        <v>30000</v>
      </c>
      <c r="F1818" s="16" t="str">
        <f t="shared" si="183"/>
        <v>I0011</v>
      </c>
      <c r="G1818" s="17" t="str">
        <f t="shared" si="184"/>
        <v>Organic Blackberry Puree</v>
      </c>
      <c r="H1818" s="18" t="str">
        <f t="shared" si="182"/>
        <v>LBS</v>
      </c>
      <c r="I1818" s="19">
        <v>3.5700000000000003E-2</v>
      </c>
      <c r="J1818" s="20">
        <v>3.5700000000000003E-2</v>
      </c>
    </row>
    <row r="1819" spans="1:10" ht="15.75" thickBot="1" x14ac:dyDescent="0.3">
      <c r="A1819" t="s">
        <v>31</v>
      </c>
      <c r="B1819" s="15" t="str">
        <f>"""Manzana NAV"",""MANZANA"",""99000772"",""44"","" "",""22"",""False"",""43"",""0.00000000000000000000"",""12"",""Organic Blackberry Puree"",""50220"",""False"",""29"","""",""50210"",""False"",""18"","""",""11"",""I0011"",""2"",""30000"",""1"",""ISC14"",""14"",""0.03570000000000000000"",""45"",""0.0357000000000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14","14","0.03570000000000000000","45","0.03570000000000000000","19","","20","0.00000000000000000000","50000","0.00000000000000000000","50230","False","28","","10","Item","13","LBS","21","","3","","42","0.00000000000000000000","50200","False","41","0.00000000000000000000"</v>
      </c>
      <c r="C1819" s="15"/>
      <c r="D1819" s="16" t="str">
        <f>"ISC14"</f>
        <v>ISC14</v>
      </c>
      <c r="E1819" s="16">
        <v>30000</v>
      </c>
      <c r="F1819" s="16" t="str">
        <f t="shared" si="183"/>
        <v>I0011</v>
      </c>
      <c r="G1819" s="17" t="str">
        <f t="shared" si="184"/>
        <v>Organic Blackberry Puree</v>
      </c>
      <c r="H1819" s="18" t="str">
        <f t="shared" si="182"/>
        <v>LBS</v>
      </c>
      <c r="I1819" s="19">
        <v>3.5700000000000003E-2</v>
      </c>
      <c r="J1819" s="20">
        <v>3.5700000000000003E-2</v>
      </c>
    </row>
    <row r="1820" spans="1:10" ht="15.75" thickBot="1" x14ac:dyDescent="0.3">
      <c r="A1820" t="s">
        <v>31</v>
      </c>
      <c r="B1820" s="15" t="str">
        <f>"""Manzana NAV"",""MANZANA"",""99000772"",""44"","" "",""22"",""False"",""43"",""0.00000000000000000000"",""12"",""Organic Blackberry Puree"",""50220"",""False"",""29"","""",""50210"",""False"",""18"","""",""11"",""I0011"",""2"",""30000"",""1"",""ISC15"",""14"",""0.03540000000000000000"",""45"",""0.0354000000000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15","14","0.03540000000000000000","45","0.03540000000000000000","19","","20","0.00000000000000000000","50000","0.00000000000000000000","50230","False","28","","10","Item","13","LBS","21","","3","","42","0.00000000000000000000","50200","False","41","0.00000000000000000000"</v>
      </c>
      <c r="C1820" s="15"/>
      <c r="D1820" s="16" t="str">
        <f>"ISC15"</f>
        <v>ISC15</v>
      </c>
      <c r="E1820" s="16">
        <v>30000</v>
      </c>
      <c r="F1820" s="16" t="str">
        <f t="shared" si="183"/>
        <v>I0011</v>
      </c>
      <c r="G1820" s="17" t="str">
        <f t="shared" si="184"/>
        <v>Organic Blackberry Puree</v>
      </c>
      <c r="H1820" s="18" t="str">
        <f t="shared" si="182"/>
        <v>LBS</v>
      </c>
      <c r="I1820" s="19">
        <v>3.5400000000000001E-2</v>
      </c>
      <c r="J1820" s="20">
        <v>3.5400000000000001E-2</v>
      </c>
    </row>
    <row r="1821" spans="1:10" ht="15.75" thickBot="1" x14ac:dyDescent="0.3">
      <c r="A1821" t="s">
        <v>31</v>
      </c>
      <c r="B1821" s="15" t="str">
        <f>"""Manzana NAV"",""MANZANA"",""99000772"",""44"","" "",""22"",""False"",""43"",""0.00000000000000000000"",""12"",""Organic Blackberry Puree"",""50220"",""False"",""29"","""",""50210"",""False"",""18"","""",""11"",""I0011"",""2"",""30000"",""1"",""ISC21"",""14"",""0.06190000000000000000"",""45"",""0.0619000000000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21","14","0.06190000000000000000","45","0.06190000000000000000","19","","20","0.00000000000000000000","50000","0.00000000000000000000","50230","False","28","","10","Item","13","LBS","21","","3","","42","0.00000000000000000000","50200","False","41","0.00000000000000000000"</v>
      </c>
      <c r="C1821" s="15"/>
      <c r="D1821" s="16" t="str">
        <f>"ISC21"</f>
        <v>ISC21</v>
      </c>
      <c r="E1821" s="16">
        <v>30000</v>
      </c>
      <c r="F1821" s="16" t="str">
        <f t="shared" si="183"/>
        <v>I0011</v>
      </c>
      <c r="G1821" s="17" t="str">
        <f t="shared" si="184"/>
        <v>Organic Blackberry Puree</v>
      </c>
      <c r="H1821" s="18" t="str">
        <f t="shared" si="182"/>
        <v>LBS</v>
      </c>
      <c r="I1821" s="19">
        <v>6.1899999999999997E-2</v>
      </c>
      <c r="J1821" s="20">
        <v>6.1899999999999997E-2</v>
      </c>
    </row>
    <row r="1822" spans="1:10" ht="15.75" thickBot="1" x14ac:dyDescent="0.3">
      <c r="A1822" t="s">
        <v>31</v>
      </c>
      <c r="B1822" s="15" t="str">
        <f>"""Manzana NAV"",""MANZANA"",""99000772"",""44"","" "",""22"",""False"",""43"",""0.00000000000000000000"",""12"",""Organic Blackberry Puree"",""50220"",""False"",""29"","""",""50210"",""False"",""18"","""",""11"",""I0011"",""2"",""30000"",""1"",""ISC25"",""14"",""0.06194000000000000000"",""45"",""0.0619400000000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25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822" s="15"/>
      <c r="D1822" s="16" t="str">
        <f>"ISC25"</f>
        <v>ISC25</v>
      </c>
      <c r="E1822" s="16">
        <v>30000</v>
      </c>
      <c r="F1822" s="16" t="str">
        <f t="shared" si="183"/>
        <v>I0011</v>
      </c>
      <c r="G1822" s="17" t="str">
        <f t="shared" si="184"/>
        <v>Organic Blackberry Puree</v>
      </c>
      <c r="H1822" s="18" t="str">
        <f t="shared" si="182"/>
        <v>LBS</v>
      </c>
      <c r="I1822" s="19">
        <v>6.1940000000000002E-2</v>
      </c>
      <c r="J1822" s="20">
        <v>6.1940000000000002E-2</v>
      </c>
    </row>
    <row r="1823" spans="1:10" ht="15.75" thickBot="1" x14ac:dyDescent="0.3">
      <c r="A1823" t="s">
        <v>31</v>
      </c>
      <c r="B1823" s="15" t="str">
        <f>"""Manzana NAV"",""MANZANA"",""99000772"",""44"","" "",""22"",""False"",""43"",""0.00000000000000000000"",""12"",""Organic Blackberry Puree- Cust-owned"",""50220"",""False"",""29"","""",""50210"",""False"",""18"","""",""11"",""I9018"",""2"",""20000"",""1"",""ISC16"",""14"",""0.06190000000000000000"",""45"",""0.0"&amp;"6190000000000000000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Puree- Cust-owned","50220","False","29","","50210","False","18","","11","I9018","2","20000","1","ISC16","14","0.06190000000000000000","45","0.06190000000000000000","19","","20","0.00000000000000000000","50000","0.00000000000000000000","50230","False","28","","10","Item","13","LBS","21","","3","","42","0.00000000000000000000","50200","False","41","0.00000000000000000000"</v>
      </c>
      <c r="C1823" s="15"/>
      <c r="D1823" s="16" t="str">
        <f>"ISC16"</f>
        <v>ISC16</v>
      </c>
      <c r="E1823" s="16">
        <v>20000</v>
      </c>
      <c r="F1823" s="16" t="str">
        <f>"I9018"</f>
        <v>I9018</v>
      </c>
      <c r="G1823" s="17" t="str">
        <f>"Organic Blackberry Puree- Cust-owned"</f>
        <v>Organic Blackberry Puree- Cust-owned</v>
      </c>
      <c r="H1823" s="18" t="str">
        <f t="shared" si="182"/>
        <v>LBS</v>
      </c>
      <c r="I1823" s="19">
        <v>6.1899999999999997E-2</v>
      </c>
      <c r="J1823" s="20">
        <v>6.1899999999999997E-2</v>
      </c>
    </row>
    <row r="1824" spans="1:10" ht="15.75" thickBot="1" x14ac:dyDescent="0.3">
      <c r="A1824" t="s">
        <v>31</v>
      </c>
      <c r="B1824" s="15" t="str">
        <f>"""Manzana NAV"",""MANZANA"",""99000772"",""44"","" "",""22"",""False"",""43"",""0.00000000000000000000"",""12"",""Organic Blend Apple Mix for Press"",""50220"",""False"",""29"","""",""50210"",""False"",""18"","""",""11"",""AMPJ90"",""2"",""10000"",""1"",""AP01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Press","50220","False","29","","50210","False","18","","11","AMPJ90","2","10000","1","AP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4" s="15"/>
      <c r="D1824" s="16" t="str">
        <f>"AP01"</f>
        <v>AP01</v>
      </c>
      <c r="E1824" s="16">
        <v>10000</v>
      </c>
      <c r="F1824" s="16" t="str">
        <f>"AMPJ90"</f>
        <v>AMPJ90</v>
      </c>
      <c r="G1824" s="17" t="str">
        <f>"Organic Blend Apple Mix for Press"</f>
        <v>Organic Blend Apple Mix for Press</v>
      </c>
      <c r="H1824" s="18" t="str">
        <f t="shared" si="182"/>
        <v>LBS</v>
      </c>
      <c r="I1824" s="19">
        <v>1</v>
      </c>
      <c r="J1824" s="20">
        <v>1</v>
      </c>
    </row>
    <row r="1825" spans="1:10" ht="15.75" thickBot="1" x14ac:dyDescent="0.3">
      <c r="A1825" t="s">
        <v>31</v>
      </c>
      <c r="B1825" s="15" t="str">
        <f>"""Manzana NAV"",""MANZANA"",""99000772"",""44"","" "",""22"",""False"",""43"",""0.00000000000000000000"",""12"",""Organic Blend Apple Mix for Press"",""50220"",""False"",""29"","""",""50210"",""False"",""18"","""",""11"",""AMPJ90"",""2"",""10000"",""1"",""FJ9990"",""14"",""11.00000000000000000000"",""45"",""11."&amp;"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Press","50220","False","29","","50210","False","18","","11","AMPJ90","2","10000","1","FJ9990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825" s="15"/>
      <c r="D1825" s="16" t="str">
        <f>"FJ9990"</f>
        <v>FJ9990</v>
      </c>
      <c r="E1825" s="16">
        <v>10000</v>
      </c>
      <c r="F1825" s="16" t="str">
        <f>"AMPJ90"</f>
        <v>AMPJ90</v>
      </c>
      <c r="G1825" s="17" t="str">
        <f>"Organic Blend Apple Mix for Press"</f>
        <v>Organic Blend Apple Mix for Press</v>
      </c>
      <c r="H1825" s="18" t="str">
        <f t="shared" si="182"/>
        <v>LBS</v>
      </c>
      <c r="I1825" s="19">
        <v>11</v>
      </c>
      <c r="J1825" s="20">
        <v>11</v>
      </c>
    </row>
    <row r="1826" spans="1:10" ht="15.75" thickBot="1" x14ac:dyDescent="0.3">
      <c r="A1826" t="s">
        <v>31</v>
      </c>
      <c r="B1826" s="15" t="str">
        <f>"""Manzana NAV"",""MANZANA"",""99000772"",""44"","" "",""22"",""False"",""43"",""0.00000000000000000000"",""12"",""Organic Blend Apple Mix for Pressing Vinegar"",""50220"",""False"",""29"","""",""50210"",""False"",""18"","""",""11"",""AMPV90"",""2"",""10000"",""1"",""IV899"",""14"",""11.00000000000000000000"""&amp;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Pressing Vinegar","50220","False","29","","50210","False","18","","11","AMPV90","2","10000","1","IV899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826" s="15"/>
      <c r="D1826" s="16" t="str">
        <f>"IV899"</f>
        <v>IV899</v>
      </c>
      <c r="E1826" s="16">
        <v>10000</v>
      </c>
      <c r="F1826" s="16" t="str">
        <f>"AMPV90"</f>
        <v>AMPV90</v>
      </c>
      <c r="G1826" s="17" t="str">
        <f>"Organic Blend Apple Mix for Pressing Vinegar"</f>
        <v>Organic Blend Apple Mix for Pressing Vinegar</v>
      </c>
      <c r="H1826" s="18" t="str">
        <f t="shared" si="182"/>
        <v>LBS</v>
      </c>
      <c r="I1826" s="19">
        <v>11</v>
      </c>
      <c r="J1826" s="20">
        <v>11</v>
      </c>
    </row>
    <row r="1827" spans="1:10" ht="15.75" thickBot="1" x14ac:dyDescent="0.3">
      <c r="A1827" t="s">
        <v>31</v>
      </c>
      <c r="B1827" s="15" t="str">
        <f>"""Manzana NAV"",""MANZANA"",""99000772"",""44"","" "",""22"",""False"",""43"",""0.00000000000000000000"",""12"",""Organic Blend Apple Mix for Sauce"",""50220"",""False"",""29"","""",""50210"",""False"",""18"","""",""11"",""AMS90"",""2"",""10000"",""1"",""ABL94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10000","1","ABL94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7" s="15"/>
      <c r="D1827" s="16" t="str">
        <f>"ABL94"</f>
        <v>ABL94</v>
      </c>
      <c r="E1827" s="16">
        <v>10000</v>
      </c>
      <c r="F1827" s="16" t="str">
        <f>"AMS90"</f>
        <v>AMS90</v>
      </c>
      <c r="G1827" s="17" t="str">
        <f>"Organic Blend Apple Mix for Sauce"</f>
        <v>Organic Blend Apple Mix for Sauce</v>
      </c>
      <c r="H1827" s="18" t="str">
        <f t="shared" si="182"/>
        <v>LBS</v>
      </c>
      <c r="I1827" s="19">
        <v>1</v>
      </c>
      <c r="J1827" s="20">
        <v>1</v>
      </c>
    </row>
    <row r="1828" spans="1:10" ht="15.75" thickBot="1" x14ac:dyDescent="0.3">
      <c r="A1828" t="s">
        <v>31</v>
      </c>
      <c r="B1828" s="15" t="str">
        <f>"""Manzana NAV"",""MANZANA"",""99000772"",""44"","" "",""22"",""False"",""43"",""0.00000000000000000000"",""12"",""Organic Blend Apple Mix for Sauce"",""50220"",""False"",""29"","""",""50210"",""False"",""18"","""",""11"",""AMS90"",""2"",""10000"",""1"",""ABL95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10000","1","ABL95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8" s="15"/>
      <c r="D1828" s="16" t="str">
        <f>"ABL95"</f>
        <v>ABL95</v>
      </c>
      <c r="E1828" s="16">
        <v>10000</v>
      </c>
      <c r="F1828" s="16" t="str">
        <f>"AMS90"</f>
        <v>AMS90</v>
      </c>
      <c r="G1828" s="17" t="str">
        <f>"Organic Blend Apple Mix for Sauce"</f>
        <v>Organic Blend Apple Mix for Sauce</v>
      </c>
      <c r="H1828" s="18" t="str">
        <f t="shared" si="182"/>
        <v>LBS</v>
      </c>
      <c r="I1828" s="19">
        <v>1</v>
      </c>
      <c r="J1828" s="20">
        <v>1</v>
      </c>
    </row>
    <row r="1829" spans="1:10" ht="15.75" thickBot="1" x14ac:dyDescent="0.3">
      <c r="A1829" t="s">
        <v>31</v>
      </c>
      <c r="B1829" s="15" t="str">
        <f>"""Manzana NAV"",""MANZANA"",""99000772"",""44"","" "",""22"",""False"",""43"",""0.00000000000000000000"",""12"",""Organic Blend Apple Mix for Sauce"",""50220"",""False"",""29"","""",""50210"",""False"",""18"","""",""11"",""AMS90"",""2"",""10000"",""1"",""ABL96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10000","1","ABL96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9" s="15"/>
      <c r="D1829" s="16" t="str">
        <f>"ABL96"</f>
        <v>ABL96</v>
      </c>
      <c r="E1829" s="16">
        <v>10000</v>
      </c>
      <c r="F1829" s="16" t="str">
        <f>"AMS90"</f>
        <v>AMS90</v>
      </c>
      <c r="G1829" s="17" t="str">
        <f>"Organic Blend Apple Mix for Sauce"</f>
        <v>Organic Blend Apple Mix for Sauce</v>
      </c>
      <c r="H1829" s="18" t="str">
        <f t="shared" si="182"/>
        <v>LBS</v>
      </c>
      <c r="I1829" s="19">
        <v>1</v>
      </c>
      <c r="J1829" s="20">
        <v>1</v>
      </c>
    </row>
    <row r="1830" spans="1:10" ht="15.75" thickBot="1" x14ac:dyDescent="0.3">
      <c r="A1830" t="s">
        <v>31</v>
      </c>
      <c r="B1830" s="15" t="str">
        <f>"""Manzana NAV"",""MANZANA"",""99000772"",""44"","" "",""22"",""False"",""43"",""0.00000000000000000000"",""12"",""Organic Blend Apple Mix for Sauce"",""50220"",""False"",""29"","""",""50210"",""False"",""18"","""",""11"",""AMS90"",""2"",""30000"",""1"",""APU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30000","1","APU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30" s="15"/>
      <c r="D1830" s="16" t="str">
        <f>"APU90"</f>
        <v>APU90</v>
      </c>
      <c r="E1830" s="16">
        <v>30000</v>
      </c>
      <c r="F1830" s="16" t="str">
        <f>"AMS90"</f>
        <v>AMS90</v>
      </c>
      <c r="G1830" s="17" t="str">
        <f>"Organic Blend Apple Mix for Sauce"</f>
        <v>Organic Blend Apple Mix for Sauce</v>
      </c>
      <c r="H1830" s="18" t="str">
        <f t="shared" si="182"/>
        <v>LBS</v>
      </c>
      <c r="I1830" s="19">
        <v>1</v>
      </c>
      <c r="J1830" s="20">
        <v>1</v>
      </c>
    </row>
    <row r="1831" spans="1:10" ht="15.75" thickBot="1" x14ac:dyDescent="0.3">
      <c r="A1831" t="s">
        <v>31</v>
      </c>
      <c r="B1831" s="15" t="str">
        <f>"""Manzana NAV"",""MANZANA"",""99000772"",""44"","" "",""22"",""False"",""43"",""0.00000000000000000000"",""12"",""Organic Blend Apple Puree"",""50220"",""False"",""29"","""",""50210"",""True"",""18"","""",""11"",""APU90"",""2"",""10000"",""1"",""ISC05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10000","1","ISC05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31" s="15"/>
      <c r="D1831" s="16" t="str">
        <f>"ISC05"</f>
        <v>ISC05</v>
      </c>
      <c r="E1831" s="16">
        <v>10000</v>
      </c>
      <c r="F1831" s="16" t="str">
        <f t="shared" ref="F1831:F1852" si="185">"APU90"</f>
        <v>APU90</v>
      </c>
      <c r="G1831" s="17" t="str">
        <f t="shared" ref="G1831:G1852" si="186">"Organic Blend Apple Puree"</f>
        <v>Organic Blend Apple Puree</v>
      </c>
      <c r="H1831" s="18" t="str">
        <f t="shared" si="182"/>
        <v>LBS</v>
      </c>
      <c r="I1831" s="19">
        <v>1</v>
      </c>
      <c r="J1831" s="20">
        <v>1</v>
      </c>
    </row>
    <row r="1832" spans="1:10" ht="15.75" thickBot="1" x14ac:dyDescent="0.3">
      <c r="A1832" t="s">
        <v>31</v>
      </c>
      <c r="B1832" s="15" t="str">
        <f>"""Manzana NAV"",""MANZANA"",""99000772"",""44"","" "",""22"",""False"",""43"",""0.00000000000000000000"",""12"",""Organic Blend Apple Puree"",""50220"",""False"",""29"","""",""50210"",""True"",""18"","""",""11"",""APU90"",""2"",""10000"",""1"",""ISC31"",""14"",""0.89740000000000000000"",""45"",""0.8974000000000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10000","1","ISC31","14","0.89740000000000000000","45","0.89740000000000000000","19","","20","0.00000000000000000000","50000","0.00000000000000000000","50230","False","28","","10","Item","13","LBS","21","","3","","42","0.00000000000000000000","50200","False","41","0.00000000000000000000"</v>
      </c>
      <c r="C1832" s="15"/>
      <c r="D1832" s="16" t="str">
        <f>"ISC31"</f>
        <v>ISC31</v>
      </c>
      <c r="E1832" s="16">
        <v>10000</v>
      </c>
      <c r="F1832" s="16" t="str">
        <f t="shared" si="185"/>
        <v>APU90</v>
      </c>
      <c r="G1832" s="17" t="str">
        <f t="shared" si="186"/>
        <v>Organic Blend Apple Puree</v>
      </c>
      <c r="H1832" s="18" t="str">
        <f t="shared" si="182"/>
        <v>LBS</v>
      </c>
      <c r="I1832" s="19">
        <v>0.89739999999999998</v>
      </c>
      <c r="J1832" s="20">
        <v>0.89739999999999998</v>
      </c>
    </row>
    <row r="1833" spans="1:10" ht="15.75" thickBot="1" x14ac:dyDescent="0.3">
      <c r="A1833" t="s">
        <v>31</v>
      </c>
      <c r="B1833" s="15" t="str">
        <f>"""Manzana NAV"",""MANZANA"",""99000772"",""44"","" "",""22"",""False"",""43"",""0.00000000000000000000"",""12"",""Organic Blend Apple Puree"",""50220"",""False"",""29"","""",""50210"",""True"",""18"","""",""11"",""APU90"",""2"",""20000"",""1"",""ISC33"",""14"",""0.89860000000000000000"",""45"",""0.8986000000000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20000","1","ISC33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1833" s="15"/>
      <c r="D1833" s="16" t="str">
        <f>"ISC33"</f>
        <v>ISC33</v>
      </c>
      <c r="E1833" s="16">
        <v>20000</v>
      </c>
      <c r="F1833" s="16" t="str">
        <f t="shared" si="185"/>
        <v>APU90</v>
      </c>
      <c r="G1833" s="17" t="str">
        <f t="shared" si="186"/>
        <v>Organic Blend Apple Puree</v>
      </c>
      <c r="H1833" s="18" t="str">
        <f t="shared" si="182"/>
        <v>LBS</v>
      </c>
      <c r="I1833" s="19">
        <v>0.89859999999999995</v>
      </c>
      <c r="J1833" s="20">
        <v>0.89859999999999995</v>
      </c>
    </row>
    <row r="1834" spans="1:10" ht="15.75" thickBot="1" x14ac:dyDescent="0.3">
      <c r="A1834" t="s">
        <v>31</v>
      </c>
      <c r="B1834" s="15" t="str">
        <f>"""Manzana NAV"",""MANZANA"",""99000772"",""44"","" "",""22"",""False"",""43"",""0.00000000000000000000"",""12"",""Organic Blend Apple Puree"",""50220"",""False"",""29"","""",""50210"",""True"",""18"","""",""11"",""APU90"",""2"",""20000"",""1"",""ISC38"",""14"",""0.70000000000000000000"",""45"",""0.7000000000000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20000","1","ISC38","14","0.70000000000000000000","45","0.70000000000000000000","19","","20","0.00000000000000000000","50000","0.00000000000000000000","50230","False","28","","10","Item","13","LBS","21","","3","","42","0.00000000000000000000","50200","False","41","0.00000000000000000000"</v>
      </c>
      <c r="C1834" s="15"/>
      <c r="D1834" s="16" t="str">
        <f>"ISC38"</f>
        <v>ISC38</v>
      </c>
      <c r="E1834" s="16">
        <v>20000</v>
      </c>
      <c r="F1834" s="16" t="str">
        <f t="shared" si="185"/>
        <v>APU90</v>
      </c>
      <c r="G1834" s="17" t="str">
        <f t="shared" si="186"/>
        <v>Organic Blend Apple Puree</v>
      </c>
      <c r="H1834" s="18" t="str">
        <f t="shared" si="182"/>
        <v>LBS</v>
      </c>
      <c r="I1834" s="19">
        <v>0.7</v>
      </c>
      <c r="J1834" s="20">
        <v>0.7</v>
      </c>
    </row>
    <row r="1835" spans="1:10" ht="15.75" thickBot="1" x14ac:dyDescent="0.3">
      <c r="A1835" t="s">
        <v>31</v>
      </c>
      <c r="B1835" s="15" t="str">
        <f>"""Manzana NAV"",""MANZANA"",""99000772"",""44"","" "",""22"",""False"",""43"",""0.00000000000000000000"",""12"",""Organic Blend Apple Puree"",""50220"",""False"",""29"","""",""50210"",""True"",""18"","""",""11"",""APU90"",""2"",""30000"",""1"",""ISC22"",""14"",""0.89860000000000000000"",""45"",""0.8986000000000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30000","1","ISC22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1835" s="15"/>
      <c r="D1835" s="16" t="str">
        <f>"ISC22"</f>
        <v>ISC22</v>
      </c>
      <c r="E1835" s="16">
        <v>30000</v>
      </c>
      <c r="F1835" s="16" t="str">
        <f t="shared" si="185"/>
        <v>APU90</v>
      </c>
      <c r="G1835" s="17" t="str">
        <f t="shared" si="186"/>
        <v>Organic Blend Apple Puree</v>
      </c>
      <c r="H1835" s="18" t="str">
        <f t="shared" si="182"/>
        <v>LBS</v>
      </c>
      <c r="I1835" s="19">
        <v>0.89859999999999995</v>
      </c>
      <c r="J1835" s="20">
        <v>0.89859999999999995</v>
      </c>
    </row>
    <row r="1836" spans="1:10" ht="15.75" thickBot="1" x14ac:dyDescent="0.3">
      <c r="A1836" t="s">
        <v>31</v>
      </c>
      <c r="B1836" s="15" t="str">
        <f>"""Manzana NAV"",""MANZANA"",""99000772"",""44"","" "",""22"",""False"",""43"",""0.00000000000000000000"",""12"",""Organic Blend Apple Puree"",""50220"",""False"",""29"","""",""50210"",""True"",""18"","""",""11"",""APU90"",""2"",""30000"",""1"",""ISC32"",""14"",""0.92870000000000000000"",""45"",""0.9287000000000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30000","1","ISC32","14","0.92870000000000000000","45","0.92870000000000000000","19","","20","0.00000000000000000000","50000","0.00000000000000000000","50230","False","28","","10","Item","13","LBS","21","","3","","42","0.00000000000000000000","50200","False","41","0.00000000000000000000"</v>
      </c>
      <c r="C1836" s="15"/>
      <c r="D1836" s="16" t="str">
        <f>"ISC32"</f>
        <v>ISC32</v>
      </c>
      <c r="E1836" s="16">
        <v>30000</v>
      </c>
      <c r="F1836" s="16" t="str">
        <f t="shared" si="185"/>
        <v>APU90</v>
      </c>
      <c r="G1836" s="17" t="str">
        <f t="shared" si="186"/>
        <v>Organic Blend Apple Puree</v>
      </c>
      <c r="H1836" s="18" t="str">
        <f t="shared" si="182"/>
        <v>LBS</v>
      </c>
      <c r="I1836" s="19">
        <v>0.92869999999999997</v>
      </c>
      <c r="J1836" s="20">
        <v>0.92869999999999997</v>
      </c>
    </row>
    <row r="1837" spans="1:10" ht="15.75" thickBot="1" x14ac:dyDescent="0.3">
      <c r="A1837" t="s">
        <v>31</v>
      </c>
      <c r="B1837" s="15" t="str">
        <f>"""Manzana NAV"",""MANZANA"",""99000772"",""44"","" "",""22"",""False"",""43"",""0.00000000000000000000"",""12"",""Organic Blend Apple Puree"",""50220"",""False"",""29"","""",""50210"",""True"",""18"","""",""11"",""APU90"",""2"",""30000"",""1"",""ISC34"",""14"",""0.90500000000000000000"",""45"",""0.9050000000000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30000","1","ISC34","14","0.90500000000000000000","45","0.90500000000000000000","19","","20","0.00000000000000000000","50000","0.00000000000000000000","50230","False","28","","10","Item","13","LBS","21","","3","","42","0.00000000000000000000","50200","False","41","0.00000000000000000000"</v>
      </c>
      <c r="C1837" s="15"/>
      <c r="D1837" s="16" t="str">
        <f>"ISC34"</f>
        <v>ISC34</v>
      </c>
      <c r="E1837" s="16">
        <v>30000</v>
      </c>
      <c r="F1837" s="16" t="str">
        <f t="shared" si="185"/>
        <v>APU90</v>
      </c>
      <c r="G1837" s="17" t="str">
        <f t="shared" si="186"/>
        <v>Organic Blend Apple Puree</v>
      </c>
      <c r="H1837" s="18" t="str">
        <f t="shared" si="182"/>
        <v>LBS</v>
      </c>
      <c r="I1837" s="19">
        <v>0.90500000000000003</v>
      </c>
      <c r="J1837" s="20">
        <v>0.90500000000000003</v>
      </c>
    </row>
    <row r="1838" spans="1:10" ht="15.75" thickBot="1" x14ac:dyDescent="0.3">
      <c r="A1838" t="s">
        <v>31</v>
      </c>
      <c r="B1838" s="15" t="str">
        <f>"""Manzana NAV"",""MANZANA"",""99000772"",""44"","" "",""22"",""False"",""43"",""0.00000000000000000000"",""12"",""Organic Blend Apple Puree"",""50220"",""False"",""29"","""",""50210"",""True"",""18"","""",""11"",""APU90"",""2"",""40000"",""1"",""ISC06"",""14"",""0.99000000000000000000"",""45"",""0.9900000000000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06","14","0.99000000000000000000","45","0.99000000000000000000","19","","20","0.00000000000000000000","50000","0.00000000000000000000","50230","False","28","","10","Item","13","LBS","21","","3","","42","0.00000000000000000000","50200","False","41","0.00000000000000000000"</v>
      </c>
      <c r="C1838" s="15"/>
      <c r="D1838" s="16" t="str">
        <f>"ISC06"</f>
        <v>ISC06</v>
      </c>
      <c r="E1838" s="16">
        <v>40000</v>
      </c>
      <c r="F1838" s="16" t="str">
        <f t="shared" si="185"/>
        <v>APU90</v>
      </c>
      <c r="G1838" s="17" t="str">
        <f t="shared" si="186"/>
        <v>Organic Blend Apple Puree</v>
      </c>
      <c r="H1838" s="18" t="str">
        <f t="shared" si="182"/>
        <v>LBS</v>
      </c>
      <c r="I1838" s="19">
        <v>0.99</v>
      </c>
      <c r="J1838" s="20">
        <v>0.99</v>
      </c>
    </row>
    <row r="1839" spans="1:10" ht="15.75" thickBot="1" x14ac:dyDescent="0.3">
      <c r="A1839" t="s">
        <v>31</v>
      </c>
      <c r="B1839" s="15" t="str">
        <f>"""Manzana NAV"",""MANZANA"",""99000772"",""44"","" "",""22"",""False"",""43"",""0.00000000000000000000"",""12"",""Organic Blend Apple Puree"",""50220"",""False"",""29"","""",""50210"",""True"",""18"","""",""11"",""APU90"",""2"",""40000"",""1"",""ISC17"",""14"",""0.92360000000000000000"",""45"",""0.9236000000000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17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1839" s="15"/>
      <c r="D1839" s="16" t="str">
        <f>"ISC17"</f>
        <v>ISC17</v>
      </c>
      <c r="E1839" s="16">
        <v>40000</v>
      </c>
      <c r="F1839" s="16" t="str">
        <f t="shared" si="185"/>
        <v>APU90</v>
      </c>
      <c r="G1839" s="17" t="str">
        <f t="shared" si="186"/>
        <v>Organic Blend Apple Puree</v>
      </c>
      <c r="H1839" s="18" t="str">
        <f t="shared" si="182"/>
        <v>LBS</v>
      </c>
      <c r="I1839" s="19">
        <v>0.92359999999999998</v>
      </c>
      <c r="J1839" s="20">
        <v>0.92359999999999998</v>
      </c>
    </row>
    <row r="1840" spans="1:10" ht="15.75" thickBot="1" x14ac:dyDescent="0.3">
      <c r="A1840" t="s">
        <v>31</v>
      </c>
      <c r="B1840" s="15" t="str">
        <f>"""Manzana NAV"",""MANZANA"",""99000772"",""44"","" "",""22"",""False"",""43"",""0.00000000000000000000"",""12"",""Organic Blend Apple Puree"",""50220"",""False"",""29"","""",""50210"",""True"",""18"","""",""11"",""APU90"",""2"",""40000"",""1"",""ISC19"",""14"",""0.92360000000000000000"",""45"",""0.9236000000000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19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1840" s="15"/>
      <c r="D1840" s="16" t="str">
        <f>"ISC19"</f>
        <v>ISC19</v>
      </c>
      <c r="E1840" s="16">
        <v>40000</v>
      </c>
      <c r="F1840" s="16" t="str">
        <f t="shared" si="185"/>
        <v>APU90</v>
      </c>
      <c r="G1840" s="17" t="str">
        <f t="shared" si="186"/>
        <v>Organic Blend Apple Puree</v>
      </c>
      <c r="H1840" s="18" t="str">
        <f t="shared" si="182"/>
        <v>LBS</v>
      </c>
      <c r="I1840" s="19">
        <v>0.92359999999999998</v>
      </c>
      <c r="J1840" s="20">
        <v>0.92359999999999998</v>
      </c>
    </row>
    <row r="1841" spans="1:10" ht="15.75" thickBot="1" x14ac:dyDescent="0.3">
      <c r="A1841" t="s">
        <v>31</v>
      </c>
      <c r="B1841" s="15" t="str">
        <f>"""Manzana NAV"",""MANZANA"",""99000772"",""44"","" "",""22"",""False"",""43"",""0.00000000000000000000"",""12"",""Organic Blend Apple Puree"",""50220"",""False"",""29"","""",""50210"",""True"",""18"","""",""11"",""APU90"",""2"",""40000"",""1"",""ISC28"",""14"",""0.71850000000000000000"",""45"",""0.7185000000000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28","14","0.71850000000000000000","45","0.71850000000000000000","19","","20","0.00000000000000000000","50000","0.00000000000000000000","50230","False","28","","10","Item","13","LBS","21","","3","","42","0.00000000000000000000","50200","False","41","0.00000000000000000000"</v>
      </c>
      <c r="C1841" s="15"/>
      <c r="D1841" s="16" t="str">
        <f>"ISC28"</f>
        <v>ISC28</v>
      </c>
      <c r="E1841" s="16">
        <v>40000</v>
      </c>
      <c r="F1841" s="16" t="str">
        <f t="shared" si="185"/>
        <v>APU90</v>
      </c>
      <c r="G1841" s="17" t="str">
        <f t="shared" si="186"/>
        <v>Organic Blend Apple Puree</v>
      </c>
      <c r="H1841" s="18" t="str">
        <f t="shared" si="182"/>
        <v>LBS</v>
      </c>
      <c r="I1841" s="19">
        <v>0.71850000000000003</v>
      </c>
      <c r="J1841" s="20">
        <v>0.71850000000000003</v>
      </c>
    </row>
    <row r="1842" spans="1:10" ht="15.75" thickBot="1" x14ac:dyDescent="0.3">
      <c r="A1842" t="s">
        <v>31</v>
      </c>
      <c r="B1842" s="15" t="str">
        <f>"""Manzana NAV"",""MANZANA"",""99000772"",""44"","" "",""22"",""False"",""43"",""0.00000000000000000000"",""12"",""Organic Blend Apple Puree"",""50220"",""False"",""29"","""",""50210"",""True"",""18"","""",""11"",""APU90"",""2"",""40000"",""1"",""ISC36"",""14"",""0.69000000000000000000"",""45"",""0.6900000000000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36","14","0.69000000000000000000","45","0.69000000000000000000","19","","20","0.00000000000000000000","50000","0.00000000000000000000","50230","False","28","","10","Item","13","LBS","21","","3","","42","0.00000000000000000000","50200","False","41","0.00000000000000000000"</v>
      </c>
      <c r="C1842" s="15"/>
      <c r="D1842" s="16" t="str">
        <f>"ISC36"</f>
        <v>ISC36</v>
      </c>
      <c r="E1842" s="16">
        <v>40000</v>
      </c>
      <c r="F1842" s="16" t="str">
        <f t="shared" si="185"/>
        <v>APU90</v>
      </c>
      <c r="G1842" s="17" t="str">
        <f t="shared" si="186"/>
        <v>Organic Blend Apple Puree</v>
      </c>
      <c r="H1842" s="18" t="str">
        <f t="shared" si="182"/>
        <v>LBS</v>
      </c>
      <c r="I1842" s="19">
        <v>0.69</v>
      </c>
      <c r="J1842" s="20">
        <v>0.69</v>
      </c>
    </row>
    <row r="1843" spans="1:10" ht="15.75" thickBot="1" x14ac:dyDescent="0.3">
      <c r="A1843" t="s">
        <v>31</v>
      </c>
      <c r="B1843" s="15" t="str">
        <f>"""Manzana NAV"",""MANZANA"",""99000772"",""44"","" "",""22"",""False"",""43"",""0.00000000000000000000"",""12"",""Organic Blend Apple Puree"",""50220"",""False"",""29"","""",""50210"",""True"",""18"","""",""11"",""APU90"",""2"",""40000"",""1"",""ISC37"",""14"",""0.92340000000000000000"",""45"",""0.9234000000000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37","14","0.92340000000000000000","45","0.92340000000000000000","19","","20","0.00000000000000000000","50000","0.00000000000000000000","50230","False","28","","10","Item","13","LBS","21","","3","","42","0.00000000000000000000","50200","False","41","0.00000000000000000000"</v>
      </c>
      <c r="C1843" s="15"/>
      <c r="D1843" s="16" t="str">
        <f>"ISC37"</f>
        <v>ISC37</v>
      </c>
      <c r="E1843" s="16">
        <v>40000</v>
      </c>
      <c r="F1843" s="16" t="str">
        <f t="shared" si="185"/>
        <v>APU90</v>
      </c>
      <c r="G1843" s="17" t="str">
        <f t="shared" si="186"/>
        <v>Organic Blend Apple Puree</v>
      </c>
      <c r="H1843" s="18" t="str">
        <f t="shared" si="182"/>
        <v>LBS</v>
      </c>
      <c r="I1843" s="19">
        <v>0.9234</v>
      </c>
      <c r="J1843" s="20">
        <v>0.9234</v>
      </c>
    </row>
    <row r="1844" spans="1:10" ht="15.75" thickBot="1" x14ac:dyDescent="0.3">
      <c r="A1844" t="s">
        <v>31</v>
      </c>
      <c r="B1844" s="15" t="str">
        <f>"""Manzana NAV"",""MANZANA"",""99000772"",""44"","" "",""22"",""False"",""43"",""0.00000000000000000000"",""12"",""Organic Blend Apple Puree"",""50220"",""False"",""29"","""",""50210"",""True"",""18"","""",""11"",""APU90"",""2"",""50000"",""1"",""ISC09"",""14"",""0.85050000000000000000"",""45"",""0.8505000000000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09","14","0.85050000000000000000","45","0.85050000000000000000","19","","20","0.00000000000000000000","50000","0.00000000000000000000","50230","False","28","","10","Item","13","LBS","21","","3","","42","0.00000000000000000000","50200","False","41","0.00000000000000000000"</v>
      </c>
      <c r="C1844" s="15"/>
      <c r="D1844" s="16" t="str">
        <f>"ISC09"</f>
        <v>ISC09</v>
      </c>
      <c r="E1844" s="16">
        <v>50000</v>
      </c>
      <c r="F1844" s="16" t="str">
        <f t="shared" si="185"/>
        <v>APU90</v>
      </c>
      <c r="G1844" s="17" t="str">
        <f t="shared" si="186"/>
        <v>Organic Blend Apple Puree</v>
      </c>
      <c r="H1844" s="18" t="str">
        <f t="shared" si="182"/>
        <v>LBS</v>
      </c>
      <c r="I1844" s="19">
        <v>0.85050000000000003</v>
      </c>
      <c r="J1844" s="20">
        <v>0.85050000000000003</v>
      </c>
    </row>
    <row r="1845" spans="1:10" ht="15.75" thickBot="1" x14ac:dyDescent="0.3">
      <c r="A1845" t="s">
        <v>31</v>
      </c>
      <c r="B1845" s="15" t="str">
        <f>"""Manzana NAV"",""MANZANA"",""99000772"",""44"","" "",""22"",""False"",""43"",""0.00000000000000000000"",""12"",""Organic Blend Apple Puree"",""50220"",""False"",""29"","""",""50210"",""True"",""18"","""",""11"",""APU90"",""2"",""50000"",""1"",""ISC10"",""14"",""0.89860000000000000000"",""45"",""0.8986000000000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10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1845" s="15"/>
      <c r="D1845" s="16" t="str">
        <f>"ISC10"</f>
        <v>ISC10</v>
      </c>
      <c r="E1845" s="16">
        <v>50000</v>
      </c>
      <c r="F1845" s="16" t="str">
        <f t="shared" si="185"/>
        <v>APU90</v>
      </c>
      <c r="G1845" s="17" t="str">
        <f t="shared" si="186"/>
        <v>Organic Blend Apple Puree</v>
      </c>
      <c r="H1845" s="18" t="str">
        <f t="shared" si="182"/>
        <v>LBS</v>
      </c>
      <c r="I1845" s="19">
        <v>0.89859999999999995</v>
      </c>
      <c r="J1845" s="20">
        <v>0.89859999999999995</v>
      </c>
    </row>
    <row r="1846" spans="1:10" ht="15.75" thickBot="1" x14ac:dyDescent="0.3">
      <c r="A1846" t="s">
        <v>31</v>
      </c>
      <c r="B1846" s="15" t="str">
        <f>"""Manzana NAV"",""MANZANA"",""99000772"",""44"","" "",""22"",""False"",""43"",""0.00000000000000000000"",""12"",""Organic Blend Apple Puree"",""50220"",""False"",""29"","""",""50210"",""True"",""18"","""",""11"",""APU90"",""2"",""50000"",""1"",""ISC16"",""14"",""0.92900000000000000000"",""45"",""0.9290000000000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16","14","0.92900000000000000000","45","0.92900000000000000000","19","","20","0.00000000000000000000","50000","0.00000000000000000000","50230","False","28","","10","Item","13","LBS","21","","3","","42","0.00000000000000000000","50200","False","41","0.00000000000000000000"</v>
      </c>
      <c r="C1846" s="15"/>
      <c r="D1846" s="16" t="str">
        <f>"ISC16"</f>
        <v>ISC16</v>
      </c>
      <c r="E1846" s="16">
        <v>50000</v>
      </c>
      <c r="F1846" s="16" t="str">
        <f t="shared" si="185"/>
        <v>APU90</v>
      </c>
      <c r="G1846" s="17" t="str">
        <f t="shared" si="186"/>
        <v>Organic Blend Apple Puree</v>
      </c>
      <c r="H1846" s="18" t="str">
        <f t="shared" si="182"/>
        <v>LBS</v>
      </c>
      <c r="I1846" s="19">
        <v>0.92900000000000005</v>
      </c>
      <c r="J1846" s="20">
        <v>0.92900000000000005</v>
      </c>
    </row>
    <row r="1847" spans="1:10" ht="15.75" thickBot="1" x14ac:dyDescent="0.3">
      <c r="A1847" t="s">
        <v>31</v>
      </c>
      <c r="B1847" s="15" t="str">
        <f>"""Manzana NAV"",""MANZANA"",""99000772"",""44"","" "",""22"",""False"",""43"",""0.00000000000000000000"",""12"",""Organic Blend Apple Puree"",""50220"",""False"",""29"","""",""50210"",""True"",""18"","""",""11"",""APU90"",""2"",""50000"",""1"",""ISC35"",""14"",""0.75980000000000000000"",""45"",""0.7598000000000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35","14","0.75980000000000000000","45","0.75980000000000000000","19","","20","0.00000000000000000000","50000","0.00000000000000000000","50230","False","28","","10","Item","13","LBS","21","","3","","42","0.00000000000000000000","50200","False","41","0.00000000000000000000"</v>
      </c>
      <c r="C1847" s="15"/>
      <c r="D1847" s="16" t="str">
        <f>"ISC35"</f>
        <v>ISC35</v>
      </c>
      <c r="E1847" s="16">
        <v>50000</v>
      </c>
      <c r="F1847" s="16" t="str">
        <f t="shared" si="185"/>
        <v>APU90</v>
      </c>
      <c r="G1847" s="17" t="str">
        <f t="shared" si="186"/>
        <v>Organic Blend Apple Puree</v>
      </c>
      <c r="H1847" s="18" t="str">
        <f t="shared" si="182"/>
        <v>LBS</v>
      </c>
      <c r="I1847" s="19">
        <v>0.75980000000000003</v>
      </c>
      <c r="J1847" s="20">
        <v>0.75980000000000003</v>
      </c>
    </row>
    <row r="1848" spans="1:10" ht="15.75" thickBot="1" x14ac:dyDescent="0.3">
      <c r="A1848" t="s">
        <v>31</v>
      </c>
      <c r="B1848" s="15" t="str">
        <f>"""Manzana NAV"",""MANZANA"",""99000772"",""44"","" "",""22"",""False"",""43"",""0.00000000000000000000"",""12"",""Organic Blend Apple Puree"",""50220"",""False"",""29"","""",""50210"",""True"",""18"","""",""11"",""APU90"",""2"",""60000"",""1"",""ISC08"",""14"",""0.85800000000000000000"",""45"",""0.8580000000000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60000","1","ISC08","14","0.85800000000000000000","45","0.85800000000000000000","19","","20","0.00000000000000000000","50000","0.00000000000000000000","50230","False","28","","10","Item","13","LBS","21","","3","","42","0.00000000000000000000","50200","False","41","0.00000000000000000000"</v>
      </c>
      <c r="C1848" s="15"/>
      <c r="D1848" s="16" t="str">
        <f>"ISC08"</f>
        <v>ISC08</v>
      </c>
      <c r="E1848" s="16">
        <v>60000</v>
      </c>
      <c r="F1848" s="16" t="str">
        <f t="shared" si="185"/>
        <v>APU90</v>
      </c>
      <c r="G1848" s="17" t="str">
        <f t="shared" si="186"/>
        <v>Organic Blend Apple Puree</v>
      </c>
      <c r="H1848" s="18" t="str">
        <f t="shared" si="182"/>
        <v>LBS</v>
      </c>
      <c r="I1848" s="19">
        <v>0.85799999999999998</v>
      </c>
      <c r="J1848" s="20">
        <v>0.85799999999999998</v>
      </c>
    </row>
    <row r="1849" spans="1:10" ht="15.75" thickBot="1" x14ac:dyDescent="0.3">
      <c r="A1849" t="s">
        <v>31</v>
      </c>
      <c r="B1849" s="15" t="str">
        <f>"""Manzana NAV"",""MANZANA"",""99000772"",""44"","" "",""22"",""False"",""43"",""0.00000000000000000000"",""12"",""Organic Blend Apple Puree"",""50220"",""False"",""29"","""",""50210"",""True"",""18"","""",""11"",""APU90"",""2"",""60000"",""1"",""ISC21"",""14"",""0.92900000000000000000"",""45"",""0.9290000000000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60000","1","ISC21","14","0.92900000000000000000","45","0.92900000000000000000","19","","20","0.00000000000000000000","50000","0.00000000000000000000","50230","False","28","","10","Item","13","LBS","21","","3","","42","0.00000000000000000000","50200","False","41","0.00000000000000000000"</v>
      </c>
      <c r="C1849" s="15"/>
      <c r="D1849" s="16" t="str">
        <f>"ISC21"</f>
        <v>ISC21</v>
      </c>
      <c r="E1849" s="16">
        <v>60000</v>
      </c>
      <c r="F1849" s="16" t="str">
        <f t="shared" si="185"/>
        <v>APU90</v>
      </c>
      <c r="G1849" s="17" t="str">
        <f t="shared" si="186"/>
        <v>Organic Blend Apple Puree</v>
      </c>
      <c r="H1849" s="18" t="str">
        <f t="shared" si="182"/>
        <v>LBS</v>
      </c>
      <c r="I1849" s="19">
        <v>0.92900000000000005</v>
      </c>
      <c r="J1849" s="20">
        <v>0.92900000000000005</v>
      </c>
    </row>
    <row r="1850" spans="1:10" ht="15.75" thickBot="1" x14ac:dyDescent="0.3">
      <c r="A1850" t="s">
        <v>31</v>
      </c>
      <c r="B1850" s="15" t="str">
        <f>"""Manzana NAV"",""MANZANA"",""99000772"",""44"","" "",""22"",""False"",""43"",""0.00000000000000000000"",""12"",""Organic Blend Apple Puree"",""50220"",""False"",""29"","""",""50210"",""True"",""18"","""",""11"",""APU90"",""2"",""70000"",""1"",""ISC15"",""14"",""0.84330000000000000000"",""45"",""0.8433000000000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70000","1","ISC15","14","0.84330000000000000000","45","0.84330000000000000000","19","","20","0.00000000000000000000","50000","0.00000000000000000000","50230","False","28","","10","Item","13","LBS","21","","3","","42","0.00000000000000000000","50200","False","41","0.00000000000000000000"</v>
      </c>
      <c r="C1850" s="15"/>
      <c r="D1850" s="16" t="str">
        <f>"ISC15"</f>
        <v>ISC15</v>
      </c>
      <c r="E1850" s="16">
        <v>70000</v>
      </c>
      <c r="F1850" s="16" t="str">
        <f t="shared" si="185"/>
        <v>APU90</v>
      </c>
      <c r="G1850" s="17" t="str">
        <f t="shared" si="186"/>
        <v>Organic Blend Apple Puree</v>
      </c>
      <c r="H1850" s="18" t="str">
        <f t="shared" si="182"/>
        <v>LBS</v>
      </c>
      <c r="I1850" s="19">
        <v>0.84330000000000005</v>
      </c>
      <c r="J1850" s="20">
        <v>0.84330000000000005</v>
      </c>
    </row>
    <row r="1851" spans="1:10" ht="15.75" thickBot="1" x14ac:dyDescent="0.3">
      <c r="A1851" t="s">
        <v>31</v>
      </c>
      <c r="B1851" s="15" t="str">
        <f>"""Manzana NAV"",""MANZANA"",""99000772"",""44"","" "",""22"",""False"",""43"",""0.00000000000000000000"",""12"",""Organic Blend Apple Puree"",""50220"",""False"",""29"","""",""50210"",""True"",""18"","""",""11"",""APU90"",""2"",""80000"",""1"",""ISC29"",""14"",""0.67340000000000000000"",""45"",""0.6734000000000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80000","1","ISC29","14","0.67340000000000000000","45","0.67340000000000000000","19","","20","0.00000000000000000000","50000","0.00000000000000000000","50230","False","28","","10","Item","13","LBS","21","","3","","42","0.00000000000000000000","50200","False","41","0.00000000000000000000"</v>
      </c>
      <c r="C1851" s="15"/>
      <c r="D1851" s="16" t="str">
        <f>"ISC29"</f>
        <v>ISC29</v>
      </c>
      <c r="E1851" s="16">
        <v>80000</v>
      </c>
      <c r="F1851" s="16" t="str">
        <f t="shared" si="185"/>
        <v>APU90</v>
      </c>
      <c r="G1851" s="17" t="str">
        <f t="shared" si="186"/>
        <v>Organic Blend Apple Puree</v>
      </c>
      <c r="H1851" s="18" t="str">
        <f t="shared" si="182"/>
        <v>LBS</v>
      </c>
      <c r="I1851" s="19">
        <v>0.6734</v>
      </c>
      <c r="J1851" s="20">
        <v>0.6734</v>
      </c>
    </row>
    <row r="1852" spans="1:10" ht="15.75" thickBot="1" x14ac:dyDescent="0.3">
      <c r="A1852" t="s">
        <v>31</v>
      </c>
      <c r="B1852" s="15" t="str">
        <f>"""Manzana NAV"",""MANZANA"",""99000772"",""44"","" "",""22"",""False"",""43"",""0.00000000000000000000"",""12"",""Organic Blend Apple Puree"",""50220"",""False"",""29"","""",""50210"",""True"",""18"","""",""11"",""APU90"",""2"",""90000"",""1"",""ISC30"",""14"",""0.36860000000000000000"",""45"",""0.3686000000000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90000","1","ISC30","14","0.36860000000000000000","45","0.36860000000000000000","19","","20","0.00000000000000000000","50000","0.00000000000000000000","50230","False","28","","10","Item","13","LBS","21","","3","","42","0.00000000000000000000","50200","False","41","0.00000000000000000000"</v>
      </c>
      <c r="C1852" s="15"/>
      <c r="D1852" s="16" t="str">
        <f>"ISC30"</f>
        <v>ISC30</v>
      </c>
      <c r="E1852" s="16">
        <v>90000</v>
      </c>
      <c r="F1852" s="16" t="str">
        <f t="shared" si="185"/>
        <v>APU90</v>
      </c>
      <c r="G1852" s="17" t="str">
        <f t="shared" si="186"/>
        <v>Organic Blend Apple Puree</v>
      </c>
      <c r="H1852" s="18" t="str">
        <f t="shared" si="182"/>
        <v>LBS</v>
      </c>
      <c r="I1852" s="19">
        <v>0.36859999999999998</v>
      </c>
      <c r="J1852" s="20">
        <v>0.36859999999999998</v>
      </c>
    </row>
    <row r="1853" spans="1:10" ht="15.75" thickBot="1" x14ac:dyDescent="0.3">
      <c r="A1853" t="s">
        <v>31</v>
      </c>
      <c r="B1853" s="15" t="str">
        <f>"""Manzana NAV"",""MANZANA"",""99000772"",""44"","" "",""22"",""False"",""43"",""0.00000000000000000000"",""12"",""Organic Blend Apples - Copack"",""50220"",""False"",""29"","""",""50210"",""False"",""18"","""",""11"",""ABL97"",""2"",""10000"",""1"",""AMPV92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Copack","50220","False","29","","50210","False","18","","11","ABL97","2","10000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3" s="15"/>
      <c r="D1853" s="16" t="str">
        <f>"AMPV92"</f>
        <v>AMPV92</v>
      </c>
      <c r="E1853" s="16">
        <v>10000</v>
      </c>
      <c r="F1853" s="16" t="str">
        <f>"ABL97"</f>
        <v>ABL97</v>
      </c>
      <c r="G1853" s="17" t="str">
        <f>"Organic Blend Apples - Copack"</f>
        <v>Organic Blend Apples - Copack</v>
      </c>
      <c r="H1853" s="18" t="str">
        <f t="shared" si="182"/>
        <v>LBS</v>
      </c>
      <c r="I1853" s="19">
        <v>1</v>
      </c>
      <c r="J1853" s="20">
        <v>1</v>
      </c>
    </row>
    <row r="1854" spans="1:10" ht="15.75" thickBot="1" x14ac:dyDescent="0.3">
      <c r="A1854" t="s">
        <v>31</v>
      </c>
      <c r="B1854" s="15" t="str">
        <f>"""Manzana NAV"",""MANZANA"",""99000772"",""44"","" "",""22"",""False"",""43"",""0.00000000000000000000"",""12"",""Organic Blend Apples - Copack"",""50220"",""False"",""29"","""",""50210"",""False"",""18"","""",""11"",""ABL97"",""2"",""10000"",""1"",""AMS93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Copack","50220","False","29","","50210","False","18","","11","ABL97","2","10000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4" s="15"/>
      <c r="D1854" s="16" t="str">
        <f>"AMS93"</f>
        <v>AMS93</v>
      </c>
      <c r="E1854" s="16">
        <v>10000</v>
      </c>
      <c r="F1854" s="16" t="str">
        <f>"ABL97"</f>
        <v>ABL97</v>
      </c>
      <c r="G1854" s="17" t="str">
        <f>"Organic Blend Apples - Copack"</f>
        <v>Organic Blend Apples - Copack</v>
      </c>
      <c r="H1854" s="18" t="str">
        <f t="shared" si="182"/>
        <v>LBS</v>
      </c>
      <c r="I1854" s="19">
        <v>1</v>
      </c>
      <c r="J1854" s="20">
        <v>1</v>
      </c>
    </row>
    <row r="1855" spans="1:10" ht="15.75" thickBot="1" x14ac:dyDescent="0.3">
      <c r="A1855" t="s">
        <v>31</v>
      </c>
      <c r="B1855" s="15" t="str">
        <f>"""Manzana NAV"",""MANZANA"",""99000772"",""44"","" "",""22"",""False"",""43"",""0.00000000000000000000"",""12"",""Organic Blend Apples - Elim"",""50220"",""True"",""29"","""",""50210"",""False"",""18"","""",""11"",""ABL94"",""2"",""50000"",""1"",""AMPJ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Apples - Elim","50220","True","29","","50210","False","18","","11","ABL94","2","50000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55" s="15"/>
      <c r="D1855" s="16" t="str">
        <f>"AMPJ90"</f>
        <v>AMPJ90</v>
      </c>
      <c r="E1855" s="16">
        <v>50000</v>
      </c>
      <c r="F1855" s="16" t="str">
        <f>"ABL94"</f>
        <v>ABL94</v>
      </c>
      <c r="G1855" s="17" t="str">
        <f>"Organic Blend Apples - Elim"</f>
        <v>Organic Blend Apples - Elim</v>
      </c>
      <c r="H1855" s="18" t="str">
        <f t="shared" si="182"/>
        <v>LBS</v>
      </c>
      <c r="I1855" s="19">
        <v>1</v>
      </c>
      <c r="J1855" s="20">
        <v>1</v>
      </c>
    </row>
    <row r="1856" spans="1:10" ht="15.75" thickBot="1" x14ac:dyDescent="0.3">
      <c r="A1856" t="s">
        <v>31</v>
      </c>
      <c r="B1856" s="15" t="str">
        <f>"""Manzana NAV"",""MANZANA"",""99000772"",""44"","" "",""22"",""False"",""43"",""0.00000000000000000000"",""12"",""Organic Blend Apples - Elim"",""50220"",""True"",""29"","""",""50210"",""False"",""18"","""",""11"",""ABL94"",""2"",""50000"",""1"",""AMPV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Apples - Elim","50220","True","29","","50210","False","18","","11","ABL94","2","50000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56" s="15"/>
      <c r="D1856" s="16" t="str">
        <f>"AMPV90"</f>
        <v>AMPV90</v>
      </c>
      <c r="E1856" s="16">
        <v>50000</v>
      </c>
      <c r="F1856" s="16" t="str">
        <f>"ABL94"</f>
        <v>ABL94</v>
      </c>
      <c r="G1856" s="17" t="str">
        <f>"Organic Blend Apples - Elim"</f>
        <v>Organic Blend Apples - Elim</v>
      </c>
      <c r="H1856" s="18" t="str">
        <f t="shared" si="182"/>
        <v>LBS</v>
      </c>
      <c r="I1856" s="19">
        <v>1</v>
      </c>
      <c r="J1856" s="20">
        <v>1</v>
      </c>
    </row>
    <row r="1857" spans="1:10" ht="15.75" thickBot="1" x14ac:dyDescent="0.3">
      <c r="A1857" t="s">
        <v>31</v>
      </c>
      <c r="B1857" s="15" t="str">
        <f>"""Manzana NAV"",""MANZANA"",""99000772"",""44"","" "",""22"",""False"",""43"",""0.00000000000000000000"",""12"",""Organic Blend Apples - HP"",""50220"",""False"",""29"","""",""50210"",""False"",""18"","""",""11"",""ABL91"",""2"",""10000"",""1"",""AMPJ90"",""14"",""1.00000000000000000000"",""45"",""1.00000000000"&amp;"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HP","50220","False","29","","50210","False","18","","11","ABL91","2","10000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7" s="15"/>
      <c r="D1857" s="16" t="str">
        <f>"AMPJ90"</f>
        <v>AMPJ90</v>
      </c>
      <c r="E1857" s="16">
        <v>10000</v>
      </c>
      <c r="F1857" s="16" t="str">
        <f>"ABL91"</f>
        <v>ABL91</v>
      </c>
      <c r="G1857" s="17" t="str">
        <f>"Organic Blend Apples - HP"</f>
        <v>Organic Blend Apples - HP</v>
      </c>
      <c r="H1857" s="18" t="str">
        <f t="shared" si="182"/>
        <v>LBS</v>
      </c>
      <c r="I1857" s="19">
        <v>1</v>
      </c>
      <c r="J1857" s="20">
        <v>1</v>
      </c>
    </row>
    <row r="1858" spans="1:10" ht="15.75" thickBot="1" x14ac:dyDescent="0.3">
      <c r="A1858" t="s">
        <v>31</v>
      </c>
      <c r="B1858" s="15" t="str">
        <f>"""Manzana NAV"",""MANZANA"",""99000772"",""44"","" "",""22"",""False"",""43"",""0.00000000000000000000"",""12"",""Organic Blend Apples - HP"",""50220"",""False"",""29"","""",""50210"",""False"",""18"","""",""11"",""ABL91"",""2"",""20000"",""1"",""AMPV90"",""14"",""1.00000000000000000000"",""45"",""1.00000000000"&amp;"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HP","50220","False","29","","50210","False","18","","11","ABL91","2","20000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8" s="15"/>
      <c r="D1858" s="16" t="str">
        <f>"AMPV90"</f>
        <v>AMPV90</v>
      </c>
      <c r="E1858" s="16">
        <v>20000</v>
      </c>
      <c r="F1858" s="16" t="str">
        <f>"ABL91"</f>
        <v>ABL91</v>
      </c>
      <c r="G1858" s="17" t="str">
        <f>"Organic Blend Apples - HP"</f>
        <v>Organic Blend Apples - HP</v>
      </c>
      <c r="H1858" s="18" t="str">
        <f t="shared" si="182"/>
        <v>LBS</v>
      </c>
      <c r="I1858" s="19">
        <v>1</v>
      </c>
      <c r="J1858" s="20">
        <v>1</v>
      </c>
    </row>
    <row r="1859" spans="1:10" ht="15.75" thickBot="1" x14ac:dyDescent="0.3">
      <c r="A1859" t="s">
        <v>31</v>
      </c>
      <c r="B1859" s="15" t="str">
        <f>"""Manzana NAV"",""MANZANA"",""99000772"",""44"","" "",""22"",""False"",""43"",""0.00000000000000000000"",""12"",""Organic Blend Apples - HP"",""50220"",""False"",""29"","""",""50210"",""False"",""18"","""",""11"",""ABL91"",""2"",""20000"",""1"",""AMS90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HP","50220","False","29","","50210","False","18","","11","ABL91","2","20000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9" s="15"/>
      <c r="D1859" s="16" t="str">
        <f>"AMS90"</f>
        <v>AMS90</v>
      </c>
      <c r="E1859" s="16">
        <v>20000</v>
      </c>
      <c r="F1859" s="16" t="str">
        <f>"ABL91"</f>
        <v>ABL91</v>
      </c>
      <c r="G1859" s="17" t="str">
        <f>"Organic Blend Apples - HP"</f>
        <v>Organic Blend Apples - HP</v>
      </c>
      <c r="H1859" s="18" t="str">
        <f t="shared" si="182"/>
        <v>LBS</v>
      </c>
      <c r="I1859" s="19">
        <v>1</v>
      </c>
      <c r="J1859" s="20">
        <v>1</v>
      </c>
    </row>
    <row r="1860" spans="1:10" ht="15.75" thickBot="1" x14ac:dyDescent="0.3">
      <c r="A1860" t="s">
        <v>31</v>
      </c>
      <c r="B1860" s="15" t="str">
        <f>"""Manzana NAV"",""MANZANA"",""99000772"",""44"","" "",""22"",""False"",""43"",""0.00000000000000000000"",""12"",""Organic Blend Apples - OR#2"",""50220"",""False"",""29"","""",""50210"",""False"",""18"","""",""11"",""ABL92"",""2"",""30000"",""1"",""AMPJ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OR#2","50220","False","29","","50210","False","18","","11","ABL92","2","30000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0" s="15"/>
      <c r="D1860" s="16" t="str">
        <f>"AMPJ90"</f>
        <v>AMPJ90</v>
      </c>
      <c r="E1860" s="16">
        <v>30000</v>
      </c>
      <c r="F1860" s="16" t="str">
        <f>"ABL92"</f>
        <v>ABL92</v>
      </c>
      <c r="G1860" s="17" t="str">
        <f>"Organic Blend Apples - OR#2"</f>
        <v>Organic Blend Apples - OR#2</v>
      </c>
      <c r="H1860" s="18" t="str">
        <f t="shared" si="182"/>
        <v>LBS</v>
      </c>
      <c r="I1860" s="19">
        <v>1</v>
      </c>
      <c r="J1860" s="20">
        <v>1</v>
      </c>
    </row>
    <row r="1861" spans="1:10" ht="15.75" thickBot="1" x14ac:dyDescent="0.3">
      <c r="A1861" t="s">
        <v>31</v>
      </c>
      <c r="B1861" s="15" t="str">
        <f>"""Manzana NAV"",""MANZANA"",""99000772"",""44"","" "",""22"",""False"",""43"",""0.00000000000000000000"",""12"",""Organic Blend Apples - OR#2"",""50220"",""False"",""29"","""",""50210"",""False"",""18"","""",""11"",""ABL92"",""2"",""30000"",""1"",""AMPV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OR#2","50220","False","29","","50210","False","18","","11","ABL92","2","30000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1" s="15"/>
      <c r="D1861" s="16" t="str">
        <f>"AMPV90"</f>
        <v>AMPV90</v>
      </c>
      <c r="E1861" s="16">
        <v>30000</v>
      </c>
      <c r="F1861" s="16" t="str">
        <f>"ABL92"</f>
        <v>ABL92</v>
      </c>
      <c r="G1861" s="17" t="str">
        <f>"Organic Blend Apples - OR#2"</f>
        <v>Organic Blend Apples - OR#2</v>
      </c>
      <c r="H1861" s="18" t="str">
        <f t="shared" si="182"/>
        <v>LBS</v>
      </c>
      <c r="I1861" s="19">
        <v>1</v>
      </c>
      <c r="J1861" s="20">
        <v>1</v>
      </c>
    </row>
    <row r="1862" spans="1:10" ht="15.75" thickBot="1" x14ac:dyDescent="0.3">
      <c r="A1862" t="s">
        <v>31</v>
      </c>
      <c r="B1862" s="15" t="str">
        <f>"""Manzana NAV"",""MANZANA"",""99000772"",""44"","" "",""22"",""False"",""43"",""0.00000000000000000000"",""12"",""Organic Blend Apples - OR#2"",""50220"",""False"",""29"","""",""50210"",""False"",""18"","""",""11"",""ABL92"",""2"",""30000"",""1"",""AMS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OR#2","50220","False","29","","50210","False","18","","11","ABL92","2","30000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2" s="15"/>
      <c r="D1862" s="16" t="str">
        <f>"AMS90"</f>
        <v>AMS90</v>
      </c>
      <c r="E1862" s="16">
        <v>30000</v>
      </c>
      <c r="F1862" s="16" t="str">
        <f>"ABL92"</f>
        <v>ABL92</v>
      </c>
      <c r="G1862" s="17" t="str">
        <f>"Organic Blend Apples - OR#2"</f>
        <v>Organic Blend Apples - OR#2</v>
      </c>
      <c r="H1862" s="18" t="str">
        <f t="shared" si="182"/>
        <v>LBS</v>
      </c>
      <c r="I1862" s="19">
        <v>1</v>
      </c>
      <c r="J1862" s="20">
        <v>1</v>
      </c>
    </row>
    <row r="1863" spans="1:10" ht="15.75" thickBot="1" x14ac:dyDescent="0.3">
      <c r="A1863" t="s">
        <v>31</v>
      </c>
      <c r="B1863" s="15" t="str">
        <f>"""Manzana NAV"",""MANZANA"",""99000772"",""44"","" "",""22"",""False"",""43"",""0.00000000000000000000"",""12"",""Organic Blend Apples - PHC"",""50220"",""False"",""29"","""",""50210"",""False"",""18"","""",""11"",""ABL93"",""2"",""40000"",""1"",""AMPJ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","50220","False","29","","50210","False","18","","11","ABL93","2","40000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3" s="15"/>
      <c r="D1863" s="16" t="str">
        <f>"AMPJ90"</f>
        <v>AMPJ90</v>
      </c>
      <c r="E1863" s="16">
        <v>40000</v>
      </c>
      <c r="F1863" s="16" t="str">
        <f>"ABL93"</f>
        <v>ABL93</v>
      </c>
      <c r="G1863" s="17" t="str">
        <f>"Organic Blend Apples - PHC"</f>
        <v>Organic Blend Apples - PHC</v>
      </c>
      <c r="H1863" s="18" t="str">
        <f t="shared" si="182"/>
        <v>LBS</v>
      </c>
      <c r="I1863" s="19">
        <v>1</v>
      </c>
      <c r="J1863" s="20">
        <v>1</v>
      </c>
    </row>
    <row r="1864" spans="1:10" ht="15.75" thickBot="1" x14ac:dyDescent="0.3">
      <c r="A1864" t="s">
        <v>31</v>
      </c>
      <c r="B1864" s="15" t="str">
        <f>"""Manzana NAV"",""MANZANA"",""99000772"",""44"","" "",""22"",""False"",""43"",""0.00000000000000000000"",""12"",""Organic Blend Apples - PHC"",""50220"",""False"",""29"","""",""50210"",""False"",""18"","""",""11"",""ABL93"",""2"",""40000"",""1"",""AMPV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","50220","False","29","","50210","False","18","","11","ABL93","2","40000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4" s="15"/>
      <c r="D1864" s="16" t="str">
        <f>"AMPV90"</f>
        <v>AMPV90</v>
      </c>
      <c r="E1864" s="16">
        <v>40000</v>
      </c>
      <c r="F1864" s="16" t="str">
        <f>"ABL93"</f>
        <v>ABL93</v>
      </c>
      <c r="G1864" s="17" t="str">
        <f>"Organic Blend Apples - PHC"</f>
        <v>Organic Blend Apples - PHC</v>
      </c>
      <c r="H1864" s="18" t="str">
        <f t="shared" si="182"/>
        <v>LBS</v>
      </c>
      <c r="I1864" s="19">
        <v>1</v>
      </c>
      <c r="J1864" s="20">
        <v>1</v>
      </c>
    </row>
    <row r="1865" spans="1:10" ht="15.75" thickBot="1" x14ac:dyDescent="0.3">
      <c r="A1865" t="s">
        <v>31</v>
      </c>
      <c r="B1865" s="15" t="str">
        <f>"""Manzana NAV"",""MANZANA"",""99000772"",""44"","" "",""22"",""False"",""43"",""0.00000000000000000000"",""12"",""Organic Blend Apples - PHC JUICE"",""50220"",""False"",""29"","""",""50210"",""False"",""18"","""",""11"",""ABL93"",""2"",""40000"",""1"",""AMS90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JUICE","50220","False","29","","50210","False","18","","11","ABL93","2","40000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5" s="15"/>
      <c r="D1865" s="16" t="str">
        <f>"AMS90"</f>
        <v>AMS90</v>
      </c>
      <c r="E1865" s="16">
        <v>40000</v>
      </c>
      <c r="F1865" s="16" t="str">
        <f>"ABL93"</f>
        <v>ABL93</v>
      </c>
      <c r="G1865" s="17" t="str">
        <f>"Organic Blend Apples - PHC JUICE"</f>
        <v>Organic Blend Apples - PHC JUICE</v>
      </c>
      <c r="H1865" s="18" t="str">
        <f t="shared" si="182"/>
        <v>LBS</v>
      </c>
      <c r="I1865" s="19">
        <v>1</v>
      </c>
      <c r="J1865" s="20">
        <v>1</v>
      </c>
    </row>
    <row r="1866" spans="1:10" ht="15.75" thickBot="1" x14ac:dyDescent="0.3">
      <c r="A1866" t="s">
        <v>31</v>
      </c>
      <c r="B1866" s="15" t="str">
        <f>"""Manzana NAV"",""MANZANA"",""99000772"",""44"","" "",""22"",""False"",""43"",""0.00000000000000000000"",""12"",""Organic Blend Apples - PHC SAUCE"",""50220"",""False"",""29"","""",""50210"",""False"",""18"","""",""11"",""ABL93-S"",""2"",""45000"",""1"",""AMS90"",""14"",""0.00000000000000000000"",""45"",""0.000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SAUCE","50220","False","29","","50210","False","18","","11","ABL93-S","2","45000","1","AMS90","14","0.00000000000000000000","45","0.00000000000000000000","19","","20","0.00000000000000000000","50000","0.00000000000000000000","50230","False","28","","10","Item","13","LBS","21","","3","","42","0.00000000000000000000","50200","True","41","0.00000000000000000000"</v>
      </c>
      <c r="C1866" s="15"/>
      <c r="D1866" s="16" t="str">
        <f>"AMS90"</f>
        <v>AMS90</v>
      </c>
      <c r="E1866" s="16">
        <v>45000</v>
      </c>
      <c r="F1866" s="16" t="str">
        <f>"ABL93-S"</f>
        <v>ABL93-S</v>
      </c>
      <c r="G1866" s="17" t="str">
        <f>"Organic Blend Apples - PHC SAUCE"</f>
        <v>Organic Blend Apples - PHC SAUCE</v>
      </c>
      <c r="H1866" s="18" t="str">
        <f t="shared" si="182"/>
        <v>LBS</v>
      </c>
      <c r="I1866" s="19">
        <v>0</v>
      </c>
      <c r="J1866" s="20">
        <v>0</v>
      </c>
    </row>
    <row r="1867" spans="1:10" ht="15.75" thickBot="1" x14ac:dyDescent="0.3">
      <c r="A1867" t="s">
        <v>31</v>
      </c>
      <c r="B1867" s="15" t="str">
        <f>"""Manzana NAV"",""MANZANA"",""99000772"",""44"","" "",""22"",""False"",""43"",""0.00000000000000000000"",""12"",""Organic Blend Apples - PHC VINEGAR"",""50220"",""False"",""29"","""",""50210"",""False"",""18"","""",""11"",""ABL93-V"",""2"",""45000"",""1"",""AMPV90"",""14"",""1.00000000000000000000"",""45"",""1."&amp;"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VINEGAR","50220","False","29","","50210","False","18","","11","ABL93-V","2","45000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7" s="15"/>
      <c r="D1867" s="16" t="str">
        <f>"AMPV90"</f>
        <v>AMPV90</v>
      </c>
      <c r="E1867" s="16">
        <v>45000</v>
      </c>
      <c r="F1867" s="16" t="str">
        <f>"ABL93-V"</f>
        <v>ABL93-V</v>
      </c>
      <c r="G1867" s="17" t="str">
        <f>"Organic Blend Apples - PHC VINEGAR"</f>
        <v>Organic Blend Apples - PHC VINEGAR</v>
      </c>
      <c r="H1867" s="18" t="str">
        <f t="shared" si="182"/>
        <v>LBS</v>
      </c>
      <c r="I1867" s="19">
        <v>1</v>
      </c>
      <c r="J1867" s="20">
        <v>1</v>
      </c>
    </row>
    <row r="1868" spans="1:10" ht="15.75" thickBot="1" x14ac:dyDescent="0.3">
      <c r="A1868" t="s">
        <v>31</v>
      </c>
      <c r="B1868" s="15" t="str">
        <f>"""Manzana NAV"",""MANZANA"",""99000772"",""44"","" "",""22"",""False"",""43"",""0.00000000000000000000"",""12"",""Organic Blend Apples - PHC VINEGAR"",""50220"",""False"",""29"","""",""50210"",""False"",""18"","""",""11"",""ABL93-V"",""2"",""47500"",""1"",""AMS90"",""14"",""0.00000000000000000000"",""45"",""0.0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VINEGAR","50220","False","29","","50210","False","18","","11","ABL93-V","2","47500","1","AMS90","14","0.00000000000000000000","45","0.00000000000000000000","19","","20","0.00000000000000000000","50000","0.00000000000000000000","50230","False","28","","10","Item","13","LBS","21","","3","","42","0.00000000000000000000","50200","True","41","0.00000000000000000000"</v>
      </c>
      <c r="C1868" s="15"/>
      <c r="D1868" s="16" t="str">
        <f>"AMS90"</f>
        <v>AMS90</v>
      </c>
      <c r="E1868" s="16">
        <v>47500</v>
      </c>
      <c r="F1868" s="16" t="str">
        <f>"ABL93-V"</f>
        <v>ABL93-V</v>
      </c>
      <c r="G1868" s="17" t="str">
        <f>"Organic Blend Apples - PHC VINEGAR"</f>
        <v>Organic Blend Apples - PHC VINEGAR</v>
      </c>
      <c r="H1868" s="18" t="str">
        <f t="shared" si="182"/>
        <v>LBS</v>
      </c>
      <c r="I1868" s="19">
        <v>0</v>
      </c>
      <c r="J1868" s="20">
        <v>0</v>
      </c>
    </row>
    <row r="1869" spans="1:10" ht="15.75" thickBot="1" x14ac:dyDescent="0.3">
      <c r="A1869" t="s">
        <v>31</v>
      </c>
      <c r="B1869" s="15" t="str">
        <f>"""Manzana NAV"",""MANZANA"",""99000772"",""44"","" "",""22"",""False"",""43"",""0.00000000000000000000"",""12"",""Organic Blend Apples - Sort-outs"",""50220"",""False"",""29"","""",""50210"",""False"",""18"","""",""11"",""ABL95"",""2"",""60000"",""1"",""AMPV90"",""14"",""1.00000000000000000000"",""45"",""1.0000"&amp;"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Apples - Sort-outs","50220","False","29","","50210","False","18","","11","ABL95","2","60000","1","AMPV90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1869" s="15"/>
      <c r="D1869" s="16" t="str">
        <f>"AMPV90"</f>
        <v>AMPV90</v>
      </c>
      <c r="E1869" s="16">
        <v>60000</v>
      </c>
      <c r="F1869" s="16" t="str">
        <f>"ABL95"</f>
        <v>ABL95</v>
      </c>
      <c r="G1869" s="17" t="str">
        <f>"Organic Blend Apples - Sort-outs"</f>
        <v>Organic Blend Apples - Sort-outs</v>
      </c>
      <c r="H1869" s="18" t="str">
        <f t="shared" si="182"/>
        <v>LBS</v>
      </c>
      <c r="I1869" s="19">
        <v>1</v>
      </c>
      <c r="J1869" s="20">
        <v>1</v>
      </c>
    </row>
    <row r="1870" spans="1:10" ht="15.75" thickBot="1" x14ac:dyDescent="0.3">
      <c r="A1870" t="s">
        <v>31</v>
      </c>
      <c r="B1870" s="15" t="str">
        <f>"""Manzana NAV"",""MANZANA"",""99000772"",""44"","" "",""22"",""False"",""43"",""0.00000000000000000000"",""12"",""Organic Blend Apples - Vinegar"",""50220"",""False"",""29"","""",""50210"",""False"",""18"","""",""11"",""ABL90"",""2"",""10000"",""1"",""AMPV90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Vinegar","50220","False","29","","50210","False","18","","11","ABL90","2","10000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0" s="15"/>
      <c r="D1870" s="16" t="str">
        <f>"AMPV90"</f>
        <v>AMPV90</v>
      </c>
      <c r="E1870" s="16">
        <v>10000</v>
      </c>
      <c r="F1870" s="16" t="str">
        <f>"ABL90"</f>
        <v>ABL90</v>
      </c>
      <c r="G1870" s="17" t="str">
        <f>"Organic Blend Apples - Vinegar"</f>
        <v>Organic Blend Apples - Vinegar</v>
      </c>
      <c r="H1870" s="18" t="str">
        <f t="shared" si="182"/>
        <v>LBS</v>
      </c>
      <c r="I1870" s="19">
        <v>1</v>
      </c>
      <c r="J1870" s="20">
        <v>1</v>
      </c>
    </row>
    <row r="1871" spans="1:10" ht="15.75" thickBot="1" x14ac:dyDescent="0.3">
      <c r="A1871" t="s">
        <v>31</v>
      </c>
      <c r="B1871" s="15" t="str">
        <f>"""Manzana NAV"",""MANZANA"",""99000772"",""44"","" "",""22"",""False"",""43"",""0.00000000000000000000"",""12"",""Organic Blend Apples for SAUCE - PEELERS"",""50220"",""False"",""29"","""",""50210"",""False"",""18"","""",""11"",""ABL89"",""2"",""5000"",""1"",""AMPJ90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for SAUCE - PEELERS","50220","False","29","","50210","False","18","","11","ABL89","2","5000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1" s="15"/>
      <c r="D1871" s="16" t="str">
        <f>"AMPJ90"</f>
        <v>AMPJ90</v>
      </c>
      <c r="E1871" s="16">
        <v>5000</v>
      </c>
      <c r="F1871" s="16" t="str">
        <f>"ABL89"</f>
        <v>ABL89</v>
      </c>
      <c r="G1871" s="17" t="str">
        <f>"Organic Blend Apples for SAUCE - PEELERS"</f>
        <v>Organic Blend Apples for SAUCE - PEELERS</v>
      </c>
      <c r="H1871" s="18" t="str">
        <f t="shared" si="182"/>
        <v>LBS</v>
      </c>
      <c r="I1871" s="19">
        <v>1</v>
      </c>
      <c r="J1871" s="20">
        <v>1</v>
      </c>
    </row>
    <row r="1872" spans="1:10" ht="15.75" thickBot="1" x14ac:dyDescent="0.3">
      <c r="A1872" t="s">
        <v>31</v>
      </c>
      <c r="B1872" s="15" t="str">
        <f>"""Manzana NAV"",""MANZANA"",""99000772"",""44"","" "",""22"",""False"",""43"",""0.00000000000000000000"",""12"",""Organic Blend Apples for SAUCE - PEELERS"",""50220"",""False"",""29"","""",""50210"",""False"",""18"","""",""11"",""ABL89"",""2"",""5000"",""1"",""AMPV90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for SAUCE - PEELERS","50220","False","29","","50210","False","18","","11","ABL89","2","5000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2" s="15"/>
      <c r="D1872" s="16" t="str">
        <f>"AMPV90"</f>
        <v>AMPV90</v>
      </c>
      <c r="E1872" s="16">
        <v>5000</v>
      </c>
      <c r="F1872" s="16" t="str">
        <f>"ABL89"</f>
        <v>ABL89</v>
      </c>
      <c r="G1872" s="17" t="str">
        <f>"Organic Blend Apples for SAUCE - PEELERS"</f>
        <v>Organic Blend Apples for SAUCE - PEELERS</v>
      </c>
      <c r="H1872" s="18" t="str">
        <f t="shared" si="182"/>
        <v>LBS</v>
      </c>
      <c r="I1872" s="19">
        <v>1</v>
      </c>
      <c r="J1872" s="20">
        <v>1</v>
      </c>
    </row>
    <row r="1873" spans="1:10" ht="15.75" thickBot="1" x14ac:dyDescent="0.3">
      <c r="A1873" t="s">
        <v>31</v>
      </c>
      <c r="B1873" s="15" t="str">
        <f>"""Manzana NAV"",""MANZANA"",""99000772"",""44"","" "",""22"",""False"",""43"",""0.00000000000000000000"",""12"",""Organic Blend Apples for SAUCE - PEELERS"",""50220"",""False"",""29"","""",""50210"",""False"",""18"","""",""11"",""ABL89"",""2"",""10000"",""1"",""AMS90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for SAUCE - PEELERS","50220","False","29","","50210","False","18","","11","ABL89","2","10000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3" s="15"/>
      <c r="D1873" s="16" t="str">
        <f>"AMS90"</f>
        <v>AMS90</v>
      </c>
      <c r="E1873" s="16">
        <v>10000</v>
      </c>
      <c r="F1873" s="16" t="str">
        <f>"ABL89"</f>
        <v>ABL89</v>
      </c>
      <c r="G1873" s="17" t="str">
        <f>"Organic Blend Apples for SAUCE - PEELERS"</f>
        <v>Organic Blend Apples for SAUCE - PEELERS</v>
      </c>
      <c r="H1873" s="18" t="str">
        <f t="shared" si="182"/>
        <v>LBS</v>
      </c>
      <c r="I1873" s="19">
        <v>1</v>
      </c>
      <c r="J1873" s="20">
        <v>1</v>
      </c>
    </row>
    <row r="1874" spans="1:10" ht="15.75" thickBot="1" x14ac:dyDescent="0.3">
      <c r="A1874" t="s">
        <v>31</v>
      </c>
      <c r="B1874" s="15" t="str">
        <f>"""Manzana NAV"",""MANZANA"",""99000772"",""44"","" "",""22"",""False"",""43"",""0.00000000000000000000"",""12"",""Organic Blend Peels and Cores"",""50220"",""False"",""29"","""",""50210"",""False"",""18"","""",""11"",""ABL96"",""2"",""70000"",""1"",""AMPJ90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Peels and Cores","50220","False","29","","50210","False","18","","11","ABL96","2","70000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74" s="15"/>
      <c r="D1874" s="16" t="str">
        <f>"AMPJ90"</f>
        <v>AMPJ90</v>
      </c>
      <c r="E1874" s="16">
        <v>70000</v>
      </c>
      <c r="F1874" s="16" t="str">
        <f>"ABL96"</f>
        <v>ABL96</v>
      </c>
      <c r="G1874" s="17" t="str">
        <f>"Organic Blend Peels and Cores"</f>
        <v>Organic Blend Peels and Cores</v>
      </c>
      <c r="H1874" s="18" t="str">
        <f t="shared" si="182"/>
        <v>LBS</v>
      </c>
      <c r="I1874" s="19">
        <v>1</v>
      </c>
      <c r="J1874" s="20">
        <v>1</v>
      </c>
    </row>
    <row r="1875" spans="1:10" ht="15.75" thickBot="1" x14ac:dyDescent="0.3">
      <c r="A1875" t="s">
        <v>31</v>
      </c>
      <c r="B1875" s="15" t="str">
        <f>"""Manzana NAV"",""MANZANA"",""99000772"",""44"","" "",""22"",""False"",""43"",""0.00000000000000000000"",""12"",""Organic Blend Peels and Cores"",""50220"",""False"",""29"","""",""50210"",""False"",""18"","""",""11"",""ABL96"",""2"",""70000"",""1"",""AMPV90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Peels and Cores","50220","False","29","","50210","False","18","","11","ABL96","2","70000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75" s="15"/>
      <c r="D1875" s="16" t="str">
        <f>"AMPV90"</f>
        <v>AMPV90</v>
      </c>
      <c r="E1875" s="16">
        <v>70000</v>
      </c>
      <c r="F1875" s="16" t="str">
        <f>"ABL96"</f>
        <v>ABL96</v>
      </c>
      <c r="G1875" s="17" t="str">
        <f>"Organic Blend Peels and Cores"</f>
        <v>Organic Blend Peels and Cores</v>
      </c>
      <c r="H1875" s="18" t="str">
        <f t="shared" ref="H1875:H1885" si="187">"LBS"</f>
        <v>LBS</v>
      </c>
      <c r="I1875" s="19">
        <v>1</v>
      </c>
      <c r="J1875" s="20">
        <v>1</v>
      </c>
    </row>
    <row r="1876" spans="1:10" ht="15.75" thickBot="1" x14ac:dyDescent="0.3">
      <c r="A1876" t="s">
        <v>31</v>
      </c>
      <c r="B1876" s="15" t="str">
        <f>"""Manzana NAV"",""MANZANA"",""99000772"",""44"","" "",""22"",""False"",""43"",""0.00000000000000000000"",""12"",""Organic Cane Sugar"",""50220"",""False"",""29"","""",""50210"",""False"",""18"","""",""11"",""I0004"",""2"",""20000"",""1"",""ISC17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17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6" s="15"/>
      <c r="D1876" s="16" t="str">
        <f>"ISC17"</f>
        <v>ISC17</v>
      </c>
      <c r="E1876" s="16">
        <v>20000</v>
      </c>
      <c r="F1876" s="16" t="str">
        <f>"I0004"</f>
        <v>I0004</v>
      </c>
      <c r="G1876" s="17" t="str">
        <f>"Organic Cane Sugar"</f>
        <v>Organic Cane Sugar</v>
      </c>
      <c r="H1876" s="18" t="str">
        <f t="shared" si="187"/>
        <v>LBS</v>
      </c>
      <c r="I1876" s="19">
        <v>6.7000000000000004E-2</v>
      </c>
      <c r="J1876" s="20">
        <v>6.7000000000000004E-2</v>
      </c>
    </row>
    <row r="1877" spans="1:10" ht="15.75" thickBot="1" x14ac:dyDescent="0.3">
      <c r="A1877" t="s">
        <v>31</v>
      </c>
      <c r="B1877" s="15" t="str">
        <f>"""Manzana NAV"",""MANZANA"",""99000772"",""44"","" "",""22"",""False"",""43"",""0.00000000000000000000"",""12"",""Organic Cane Sugar"",""50220"",""False"",""29"","""",""50210"",""False"",""18"","""",""11"",""I0004"",""2"",""20000"",""1"",""ISC18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18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7" s="15"/>
      <c r="D1877" s="16" t="str">
        <f>"ISC18"</f>
        <v>ISC18</v>
      </c>
      <c r="E1877" s="16">
        <v>20000</v>
      </c>
      <c r="F1877" s="16" t="str">
        <f>"I0004"</f>
        <v>I0004</v>
      </c>
      <c r="G1877" s="17" t="str">
        <f>"Organic Cane Sugar"</f>
        <v>Organic Cane Sugar</v>
      </c>
      <c r="H1877" s="18" t="str">
        <f t="shared" si="187"/>
        <v>LBS</v>
      </c>
      <c r="I1877" s="19">
        <v>6.7000000000000004E-2</v>
      </c>
      <c r="J1877" s="20">
        <v>6.7000000000000004E-2</v>
      </c>
    </row>
    <row r="1878" spans="1:10" ht="15.75" thickBot="1" x14ac:dyDescent="0.3">
      <c r="A1878" t="s">
        <v>31</v>
      </c>
      <c r="B1878" s="15" t="str">
        <f>"""Manzana NAV"",""MANZANA"",""99000772"",""44"","" "",""22"",""False"",""43"",""0.00000000000000000000"",""12"",""Organic Cane Sugar"",""50220"",""False"",""29"","""",""50210"",""False"",""18"","""",""11"",""I0004"",""2"",""20000"",""1"",""ISC19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19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8" s="15"/>
      <c r="D1878" s="16" t="str">
        <f>"ISC19"</f>
        <v>ISC19</v>
      </c>
      <c r="E1878" s="16">
        <v>20000</v>
      </c>
      <c r="F1878" s="16" t="str">
        <f>"I0004"</f>
        <v>I0004</v>
      </c>
      <c r="G1878" s="17" t="str">
        <f>"Organic Cane Sugar"</f>
        <v>Organic Cane Sugar</v>
      </c>
      <c r="H1878" s="18" t="str">
        <f t="shared" si="187"/>
        <v>LBS</v>
      </c>
      <c r="I1878" s="19">
        <v>6.7000000000000004E-2</v>
      </c>
      <c r="J1878" s="20">
        <v>6.7000000000000004E-2</v>
      </c>
    </row>
    <row r="1879" spans="1:10" ht="15.75" thickBot="1" x14ac:dyDescent="0.3">
      <c r="A1879" t="s">
        <v>31</v>
      </c>
      <c r="B1879" s="15" t="str">
        <f>"""Manzana NAV"",""MANZANA"",""99000772"",""44"","" "",""22"",""False"",""43"",""0.00000000000000000000"",""12"",""Organic Cane Sugar"",""50220"",""False"",""29"","""",""50210"",""False"",""18"","""",""11"",""I0004"",""2"",""20000"",""1"",""ISC20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20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9" s="15"/>
      <c r="D1879" s="16" t="str">
        <f>"ISC20"</f>
        <v>ISC20</v>
      </c>
      <c r="E1879" s="16">
        <v>20000</v>
      </c>
      <c r="F1879" s="16" t="str">
        <f>"I0004"</f>
        <v>I0004</v>
      </c>
      <c r="G1879" s="17" t="str">
        <f>"Organic Cane Sugar"</f>
        <v>Organic Cane Sugar</v>
      </c>
      <c r="H1879" s="18" t="str">
        <f t="shared" si="187"/>
        <v>LBS</v>
      </c>
      <c r="I1879" s="19">
        <v>6.7000000000000004E-2</v>
      </c>
      <c r="J1879" s="20">
        <v>6.7000000000000004E-2</v>
      </c>
    </row>
    <row r="1880" spans="1:10" ht="15.75" thickBot="1" x14ac:dyDescent="0.3">
      <c r="A1880" t="s">
        <v>31</v>
      </c>
      <c r="B1880" s="15" t="str">
        <f>"""Manzana NAV"",""MANZANA"",""99000772"",""44"","" "",""22"",""False"",""43"",""0.00000000000000000000"",""12"",""Organic Carrot Juice Concentrate"",""50220"",""False"",""29"","""",""50210"",""False"",""18"","""",""11"",""I0025"",""2"",""10000"",""1"",""ISC37"",""14"",""0.03100000000000000000"",""45"",""0.03100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Carrot Juice Concentrate","50220","False","29","","50210","False","18","","11","I0025","2","10000","1","ISC37","14","0.03100000000000000000","45","0.03100000000000000000","19","","20","0.00000000000000000000","50000","0.00000000000000000000","50230","False","28","","10","Item","13","LBS","21","","3","","42","0.00000000000000000000","50200","False","41","0.00000000000000000000"</v>
      </c>
      <c r="C1880" s="15"/>
      <c r="D1880" s="16" t="str">
        <f>"ISC37"</f>
        <v>ISC37</v>
      </c>
      <c r="E1880" s="16">
        <v>10000</v>
      </c>
      <c r="F1880" s="16" t="str">
        <f>"I0025"</f>
        <v>I0025</v>
      </c>
      <c r="G1880" s="17" t="str">
        <f>"Organic Carrot Juice Concentrate"</f>
        <v>Organic Carrot Juice Concentrate</v>
      </c>
      <c r="H1880" s="18" t="str">
        <f t="shared" si="187"/>
        <v>LBS</v>
      </c>
      <c r="I1880" s="19">
        <v>3.1E-2</v>
      </c>
      <c r="J1880" s="20">
        <v>3.1E-2</v>
      </c>
    </row>
    <row r="1881" spans="1:10" ht="15.75" thickBot="1" x14ac:dyDescent="0.3">
      <c r="A1881" t="s">
        <v>31</v>
      </c>
      <c r="B1881" s="15" t="str">
        <f>"""Manzana NAV"",""MANZANA"",""99000772"",""44"","" "",""22"",""False"",""43"",""0.00000000000000000000"",""12"",""Organic Chia Seeds - Cust-owned"",""50220"",""False"",""29"","""",""50210"",""False"",""18"","""",""11"",""I9009"",""2"",""50000"",""1"",""ISC30"",""14"",""0.04450000000000000000"",""45"",""0.044500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Chia Seeds - Cust-owned","50220","False","29","","50210","False","18","","11","I9009","2","50000","1","ISC30","14","0.04450000000000000000","45","0.04450000000000000000","19","","20","0.00000000000000000000","50000","0.00000000000000000000","50230","False","28","","10","Item","13","LBS","21","","3","","42","0.00000000000000000000","50200","False","41","0.00000000000000000000"</v>
      </c>
      <c r="C1881" s="15"/>
      <c r="D1881" s="16" t="str">
        <f>"ISC30"</f>
        <v>ISC30</v>
      </c>
      <c r="E1881" s="16">
        <v>50000</v>
      </c>
      <c r="F1881" s="16" t="str">
        <f>"I9009"</f>
        <v>I9009</v>
      </c>
      <c r="G1881" s="17" t="str">
        <f>"Organic Chia Seeds - Cust-owned"</f>
        <v>Organic Chia Seeds - Cust-owned</v>
      </c>
      <c r="H1881" s="18" t="str">
        <f t="shared" si="187"/>
        <v>LBS</v>
      </c>
      <c r="I1881" s="19">
        <v>4.4499999999999998E-2</v>
      </c>
      <c r="J1881" s="20">
        <v>4.4499999999999998E-2</v>
      </c>
    </row>
    <row r="1882" spans="1:10" ht="15.75" thickBot="1" x14ac:dyDescent="0.3">
      <c r="A1882" t="s">
        <v>31</v>
      </c>
      <c r="B1882" s="15" t="str">
        <f>"""Manzana NAV"",""MANZANA"",""99000772"",""44"","" "",""22"",""False"",""43"",""0.00000000000000000000"",""12"",""Organic Cinnamon"",""50220"",""False"",""29"","""",""50210"",""False"",""18"","""",""11"",""I0005"",""2"",""25000"",""1"",""ISC13"",""14"",""0.03600000000000000000"",""45"",""0.03600000000000000000"""&amp;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","50220","False","29","","50210","False","18","","11","I0005","2","25000","1","ISC13","14","0.03600000000000000000","45","0.03600000000000000000","19","","20","0.00000000000000000000","50000","0.00000000000000000000","50230","False","28","","10","Item","13","LBS","21","","3","","42","0.00000000000000000000","50200","False","41","0.00000000000000000000"</v>
      </c>
      <c r="C1882" s="15"/>
      <c r="D1882" s="16" t="str">
        <f>"ISC13"</f>
        <v>ISC13</v>
      </c>
      <c r="E1882" s="16">
        <v>25000</v>
      </c>
      <c r="F1882" s="16" t="str">
        <f>"I0005"</f>
        <v>I0005</v>
      </c>
      <c r="G1882" s="17" t="str">
        <f>"Organic Cinnamon"</f>
        <v>Organic Cinnamon</v>
      </c>
      <c r="H1882" s="18" t="str">
        <f t="shared" si="187"/>
        <v>LBS</v>
      </c>
      <c r="I1882" s="19">
        <v>3.5999999999999997E-2</v>
      </c>
      <c r="J1882" s="20">
        <v>3.5999999999999997E-2</v>
      </c>
    </row>
    <row r="1883" spans="1:10" ht="15.75" thickBot="1" x14ac:dyDescent="0.3">
      <c r="A1883" t="s">
        <v>31</v>
      </c>
      <c r="B1883" s="15" t="str">
        <f>"""Manzana NAV"",""MANZANA"",""99000772"",""44"","" "",""22"",""False"",""43"",""0.00000000000000000000"",""12"",""Organic Cinnamon"",""50220"",""False"",""29"","""",""50210"",""False"",""18"","""",""11"",""I0005"",""2"",""40000"",""1"",""ISC02"",""14"",""0.03600000000000000000"",""45"",""0.03600000000000000000"""&amp;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","50220","False","29","","50210","False","18","","11","I0005","2","40000","1","ISC02","14","0.03600000000000000000","45","0.03600000000000000000","19","","20","0.00000000000000000000","50000","0.00000000000000000000","50230","False","28","","10","Item","13","LBS","21","","3","","42","0.00000000000000000000","50200","False","41","0.00000000000000000000"</v>
      </c>
      <c r="C1883" s="15"/>
      <c r="D1883" s="16" t="str">
        <f>"ISC02"</f>
        <v>ISC02</v>
      </c>
      <c r="E1883" s="16">
        <v>40000</v>
      </c>
      <c r="F1883" s="16" t="str">
        <f>"I0005"</f>
        <v>I0005</v>
      </c>
      <c r="G1883" s="17" t="str">
        <f>"Organic Cinnamon"</f>
        <v>Organic Cinnamon</v>
      </c>
      <c r="H1883" s="18" t="str">
        <f t="shared" si="187"/>
        <v>LBS</v>
      </c>
      <c r="I1883" s="19">
        <v>3.5999999999999997E-2</v>
      </c>
      <c r="J1883" s="20">
        <v>3.5999999999999997E-2</v>
      </c>
    </row>
    <row r="1884" spans="1:10" ht="15.75" thickBot="1" x14ac:dyDescent="0.3">
      <c r="A1884" t="s">
        <v>31</v>
      </c>
      <c r="B1884" s="15" t="str">
        <f>"""Manzana NAV"",""MANZANA"",""99000772"",""44"","" "",""22"",""False"",""43"",""0.00000000000000000000"",""12"",""Organic Cinnamon"",""50220"",""False"",""29"","""",""50210"",""False"",""18"","""",""11"",""I0005"",""2"",""40000"",""1"",""ISC08"",""14"",""0.03600000000000000000"",""45"",""0.03600000000000000000"""&amp;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","50220","False","29","","50210","False","18","","11","I0005","2","40000","1","ISC08","14","0.03600000000000000000","45","0.03600000000000000000","19","","20","0.00000000000000000000","50000","0.00000000000000000000","50230","False","28","","10","Item","13","LBS","21","","3","","42","0.00000000000000000000","50200","False","41","0.00000000000000000000"</v>
      </c>
      <c r="C1884" s="15"/>
      <c r="D1884" s="16" t="str">
        <f>"ISC08"</f>
        <v>ISC08</v>
      </c>
      <c r="E1884" s="16">
        <v>40000</v>
      </c>
      <c r="F1884" s="16" t="str">
        <f>"I0005"</f>
        <v>I0005</v>
      </c>
      <c r="G1884" s="17" t="str">
        <f>"Organic Cinnamon"</f>
        <v>Organic Cinnamon</v>
      </c>
      <c r="H1884" s="18" t="str">
        <f t="shared" si="187"/>
        <v>LBS</v>
      </c>
      <c r="I1884" s="19">
        <v>3.5999999999999997E-2</v>
      </c>
      <c r="J1884" s="20">
        <v>3.5999999999999997E-2</v>
      </c>
    </row>
    <row r="1885" spans="1:10" ht="15.75" thickBot="1" x14ac:dyDescent="0.3">
      <c r="A1885" t="s">
        <v>31</v>
      </c>
      <c r="B1885" s="15" t="str">
        <f>"""Manzana NAV"",""MANZANA"",""99000772"",""44"","" "",""22"",""False"",""43"",""0.00000000000000000000"",""12"",""Organic Cinnamon - Cust-owned"",""50220"",""False"",""29"","""",""50210"",""False"",""18"","""",""11"",""I9012"",""2"",""40000"",""1"",""ISC29"",""14"",""0.03000000000000000000"",""45"",""0.03000000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 - Cust-owned","50220","False","29","","50210","False","18","","11","I9012","2","40000","1","ISC29","14","0.03000000000000000000","45","0.03000000000000000000","19","","20","0.00000000000000000000","50000","0.00000000000000000000","50230","False","28","","10","Item","13","LBS","21","","3","","42","0.00000000000000000000","50200","False","41","0.00000000000000000000"</v>
      </c>
      <c r="C1885" s="15"/>
      <c r="D1885" s="16" t="str">
        <f>"ISC29"</f>
        <v>ISC29</v>
      </c>
      <c r="E1885" s="16">
        <v>40000</v>
      </c>
      <c r="F1885" s="16" t="str">
        <f>"I9012"</f>
        <v>I9012</v>
      </c>
      <c r="G1885" s="17" t="str">
        <f>"Organic Cinnamon - Cust-owned"</f>
        <v>Organic Cinnamon - Cust-owned</v>
      </c>
      <c r="H1885" s="18" t="str">
        <f t="shared" si="187"/>
        <v>LBS</v>
      </c>
      <c r="I1885" s="19">
        <v>0.03</v>
      </c>
      <c r="J1885" s="20">
        <v>0.03</v>
      </c>
    </row>
    <row r="1886" spans="1:10" ht="15.75" thickBot="1" x14ac:dyDescent="0.3">
      <c r="A1886" t="s">
        <v>31</v>
      </c>
      <c r="B1886" s="15" t="str">
        <f>"""Manzana NAV"",""MANZANA"",""99000772"",""44"","" "",""22"",""False"",""43"",""0.00000000000000000000"",""12"",""Organic Cinnamon Leaf Oil"",""50220"",""False"",""29"","""",""50210"",""False"",""18"","""",""11"",""I0013"",""2"",""25000"",""1"",""IJ027"",""14"",""0.98460000000000000000"",""45"",""0.984600000000"&amp;"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Cinnamon Leaf Oil","50220","False","29","","50210","False","18","","11","I0013","2","25000","1","IJ027","14","0.98460000000000000000","45","0.98460000000000000000","19","","20","0.00000000000000000000","50000","0.00000000000000000000","50230","False","28","","10","Item","13","OZ","21","","3","","42","0.00000000000000000000","50200","False","41","0.00000000000000000000"</v>
      </c>
      <c r="C1886" s="15"/>
      <c r="D1886" s="16" t="str">
        <f>"IJ027"</f>
        <v>IJ027</v>
      </c>
      <c r="E1886" s="16">
        <v>25000</v>
      </c>
      <c r="F1886" s="16" t="str">
        <f>"I0013"</f>
        <v>I0013</v>
      </c>
      <c r="G1886" s="17" t="str">
        <f>"Organic Cinnamon Leaf Oil"</f>
        <v>Organic Cinnamon Leaf Oil</v>
      </c>
      <c r="H1886" s="18" t="str">
        <f>"OZ"</f>
        <v>OZ</v>
      </c>
      <c r="I1886" s="19">
        <v>0.98460000000000003</v>
      </c>
      <c r="J1886" s="20">
        <v>0.98460000000000003</v>
      </c>
    </row>
    <row r="1887" spans="1:10" ht="15.75" thickBot="1" x14ac:dyDescent="0.3">
      <c r="A1887" t="s">
        <v>31</v>
      </c>
      <c r="B1887" s="15" t="str">
        <f>"""Manzana NAV"",""MANZANA"",""99000772"",""44"","" "",""22"",""False"",""43"",""0.00000000000000000000"",""12"",""Organic Cinnamon Leaf Oil"",""50220"",""False"",""29"","""",""50210"",""False"",""18"","""",""11"",""I0013"",""2"",""30000"",""1"",""IJ042"",""14"",""0.00200000000000000000"",""45"",""0.002000000000"&amp;"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Cinnamon Leaf Oil","50220","False","29","","50210","False","18","","11","I0013","2","30000","1","IJ042","14","0.00200000000000000000","45","0.00200000000000000000","19","","20","0.00000000000000000000","50000","0.00000000000000000000","50230","False","28","","10","Item","13","OZ","21","","3","","42","0.00000000000000000000","50200","False","41","0.00000000000000000000"</v>
      </c>
      <c r="C1887" s="15"/>
      <c r="D1887" s="16" t="str">
        <f>"IJ042"</f>
        <v>IJ042</v>
      </c>
      <c r="E1887" s="16">
        <v>30000</v>
      </c>
      <c r="F1887" s="16" t="str">
        <f>"I0013"</f>
        <v>I0013</v>
      </c>
      <c r="G1887" s="17" t="str">
        <f>"Organic Cinnamon Leaf Oil"</f>
        <v>Organic Cinnamon Leaf Oil</v>
      </c>
      <c r="H1887" s="18" t="str">
        <f>"OZ"</f>
        <v>OZ</v>
      </c>
      <c r="I1887" s="19">
        <v>2E-3</v>
      </c>
      <c r="J1887" s="20">
        <v>2E-3</v>
      </c>
    </row>
    <row r="1888" spans="1:10" ht="15.75" thickBot="1" x14ac:dyDescent="0.3">
      <c r="A1888" t="s">
        <v>31</v>
      </c>
      <c r="B1888" s="15" t="str">
        <f>"""Manzana NAV"",""MANZANA"",""99000772"",""44"","" "",""22"",""False"",""43"",""0.00000000000000000000"",""12"",""Organic Cinnamon Leaf Oil"",""50220"",""False"",""29"","""",""50210"",""False"",""18"","""",""11"",""I0013"",""2"",""40000"",""1"",""IJ017"",""14"",""0.49230000000000000000"",""45"",""0.492300000000"&amp;"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Cinnamon Leaf Oil","50220","False","29","","50210","False","18","","11","I0013","2","40000","1","IJ017","14","0.49230000000000000000","45","0.49230000000000000000","19","","20","0.00000000000000000000","50000","0.00000000000000000000","50230","False","28","","10","Item","13","OZ","21","","3","","42","0.00000000000000000000","50200","False","41","0.00000000000000000000"</v>
      </c>
      <c r="C1888" s="15"/>
      <c r="D1888" s="16" t="str">
        <f>"IJ017"</f>
        <v>IJ017</v>
      </c>
      <c r="E1888" s="16">
        <v>40000</v>
      </c>
      <c r="F1888" s="16" t="str">
        <f>"I0013"</f>
        <v>I0013</v>
      </c>
      <c r="G1888" s="17" t="str">
        <f>"Organic Cinnamon Leaf Oil"</f>
        <v>Organic Cinnamon Leaf Oil</v>
      </c>
      <c r="H1888" s="18" t="str">
        <f>"OZ"</f>
        <v>OZ</v>
      </c>
      <c r="I1888" s="19">
        <v>0.49230000000000002</v>
      </c>
      <c r="J1888" s="20">
        <v>0.49230000000000002</v>
      </c>
    </row>
    <row r="1889" spans="1:10" ht="15.75" thickBot="1" x14ac:dyDescent="0.3">
      <c r="A1889" t="s">
        <v>31</v>
      </c>
      <c r="B1889" s="15" t="str">
        <f>"""Manzana NAV"",""MANZANA"",""99000772"",""44"","" "",""22"",""False"",""43"",""0.00000000000000000000"",""12"",""Organic Citric Acid - Cust-owned"",""50220"",""False"",""29"","""",""50210"",""False"",""18"","""",""11"",""I9010"",""2"",""60000"",""1"",""ISC29"",""14"",""0.01000000000000000000"",""45"",""0.01000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Citric Acid - Cust-owned","50220","False","29","","50210","False","18","","11","I9010","2","60000","1","ISC29","14","0.01000000000000000000","45","0.01000000000000000000","19","","20","0.00000000000000000000","50000","0.00000000000000000000","50230","False","28","","10","Item","13","LBS","21","","3","","42","0.00000000000000000000","50200","False","41","0.00000000000000000000"</v>
      </c>
      <c r="C1889" s="15"/>
      <c r="D1889" s="16" t="str">
        <f>"ISC29"</f>
        <v>ISC29</v>
      </c>
      <c r="E1889" s="16">
        <v>60000</v>
      </c>
      <c r="F1889" s="16" t="str">
        <f>"I9010"</f>
        <v>I9010</v>
      </c>
      <c r="G1889" s="17" t="str">
        <f>"Organic Citric Acid - Cust-owned"</f>
        <v>Organic Citric Acid - Cust-owned</v>
      </c>
      <c r="H1889" s="18" t="str">
        <f>"LBS"</f>
        <v>LBS</v>
      </c>
      <c r="I1889" s="19">
        <v>0.01</v>
      </c>
      <c r="J1889" s="20">
        <v>0.01</v>
      </c>
    </row>
    <row r="1890" spans="1:10" ht="15.75" thickBot="1" x14ac:dyDescent="0.3">
      <c r="A1890" t="s">
        <v>31</v>
      </c>
      <c r="B1890" s="15" t="str">
        <f>"""Manzana NAV"",""MANZANA"",""99000772"",""44"","" "",""22"",""False"",""43"",""0.00000000000000000000"",""12"",""Organic Citric Acid - Cust-owned"",""50220"",""False"",""29"","""",""50210"",""False"",""18"","""",""11"",""I9010"",""2"",""80000"",""1"",""ISC30"",""14"",""0.01000000000000000000"",""45"",""0.01000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Citric Acid - Cust-owned","50220","False","29","","50210","False","18","","11","I9010","2","80000","1","ISC30","14","0.01000000000000000000","45","0.01000000000000000000","19","","20","0.00000000000000000000","50000","0.00000000000000000000","50230","False","28","","10","Item","13","LBS","21","","3","","42","0.00000000000000000000","50200","False","41","0.00000000000000000000"</v>
      </c>
      <c r="C1890" s="15"/>
      <c r="D1890" s="16" t="str">
        <f>"ISC30"</f>
        <v>ISC30</v>
      </c>
      <c r="E1890" s="16">
        <v>80000</v>
      </c>
      <c r="F1890" s="16" t="str">
        <f>"I9010"</f>
        <v>I9010</v>
      </c>
      <c r="G1890" s="17" t="str">
        <f>"Organic Citric Acid - Cust-owned"</f>
        <v>Organic Citric Acid - Cust-owned</v>
      </c>
      <c r="H1890" s="18" t="str">
        <f>"LBS"</f>
        <v>LBS</v>
      </c>
      <c r="I1890" s="19">
        <v>0.01</v>
      </c>
      <c r="J1890" s="20">
        <v>0.01</v>
      </c>
    </row>
    <row r="1891" spans="1:10" ht="15.75" thickBot="1" x14ac:dyDescent="0.3">
      <c r="A1891" t="s">
        <v>31</v>
      </c>
      <c r="B1891" s="15" t="str">
        <f>"""Manzana NAV"",""MANZANA"",""99000772"",""44"","" "",""22"",""False"",""43"",""0.00000000000000000000"",""12"",""Organic Coconut Milk - Cust-owned"",""50220"",""False"",""29"","""",""50210"",""False"",""18"","""",""11"",""I9011"",""2"",""30000"",""1"",""ISC29"",""14"",""0.04000000000000000000"",""45"",""0.0400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Coconut Milk - Cust-owned","50220","False","29","","50210","False","18","","11","I9011","2","30000","1","ISC29","14","0.04000000000000000000","45","0.04000000000000000000","19","","20","0.00000000000000000000","50000","0.00000000000000000000","50230","False","28","","10","Item","13","LBS","21","","3","","42","0.00000000000000000000","50200","False","41","0.00000000000000000000"</v>
      </c>
      <c r="C1891" s="15"/>
      <c r="D1891" s="16" t="str">
        <f>"ISC29"</f>
        <v>ISC29</v>
      </c>
      <c r="E1891" s="16">
        <v>30000</v>
      </c>
      <c r="F1891" s="16" t="str">
        <f>"I9011"</f>
        <v>I9011</v>
      </c>
      <c r="G1891" s="17" t="str">
        <f>"Organic Coconut Milk - Cust-owned"</f>
        <v>Organic Coconut Milk - Cust-owned</v>
      </c>
      <c r="H1891" s="18" t="str">
        <f>"LBS"</f>
        <v>LBS</v>
      </c>
      <c r="I1891" s="19">
        <v>0.04</v>
      </c>
      <c r="J1891" s="20">
        <v>0.04</v>
      </c>
    </row>
    <row r="1892" spans="1:10" ht="15.75" thickBot="1" x14ac:dyDescent="0.3">
      <c r="A1892" t="s">
        <v>31</v>
      </c>
      <c r="B1892" s="15" t="str">
        <f>"""Manzana NAV"",""MANZANA"",""99000772"",""44"","" "",""22"",""False"",""43"",""0.00000000000000000000"",""12"",""Organic Coconut Milk - Cust-owned"",""50220"",""False"",""29"","""",""50210"",""False"",""18"","""",""11"",""I9011"",""2"",""40000"",""1"",""ISC30"",""14"",""0.08000000000000000000"",""45"",""0.0800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Coconut Milk - Cust-owned","50220","False","29","","50210","False","18","","11","I9011","2","40000","1","ISC30","14","0.08000000000000000000","45","0.08000000000000000000","19","","20","0.00000000000000000000","50000","0.00000000000000000000","50230","False","28","","10","Item","13","LBS","21","","3","","42","0.00000000000000000000","50200","False","41","0.00000000000000000000"</v>
      </c>
      <c r="C1892" s="15"/>
      <c r="D1892" s="16" t="str">
        <f>"ISC30"</f>
        <v>ISC30</v>
      </c>
      <c r="E1892" s="16">
        <v>40000</v>
      </c>
      <c r="F1892" s="16" t="str">
        <f>"I9011"</f>
        <v>I9011</v>
      </c>
      <c r="G1892" s="17" t="str">
        <f>"Organic Coconut Milk - Cust-owned"</f>
        <v>Organic Coconut Milk - Cust-owned</v>
      </c>
      <c r="H1892" s="18" t="str">
        <f>"LBS"</f>
        <v>LBS</v>
      </c>
      <c r="I1892" s="19">
        <v>0.08</v>
      </c>
      <c r="J1892" s="20">
        <v>0.08</v>
      </c>
    </row>
    <row r="1893" spans="1:10" ht="15.75" thickBot="1" x14ac:dyDescent="0.3">
      <c r="A1893" t="s">
        <v>31</v>
      </c>
      <c r="B1893" s="15" t="str">
        <f>"""Manzana NAV"",""MANZANA"",""99000772"",""44"","" "",""22"",""False"",""43"",""0.00000000000000000000"",""12"",""Organic Coconut Water Concentrate - Cust-owned"",""50220"",""False"",""29"","""",""50210"",""False"",""18"","""",""11"",""I9015"",""2"",""70000"",""1"",""ISC30"",""14"",""0.01580000000000000000"""&amp;",""45"",""0.01580000000000000000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Coconut Water Concentrate - Cust-owned","50220","False","29","","50210","False","18","","11","I9015","2","70000","1","ISC30","14","0.01580000000000000000","45","0.01580000000000000000","19","","20","0.00000000000000000000","50000","0.00000000000000000000","50230","False","28","","10","Item","13","LBS","21","","3","","42","0.00000000000000000000","50200","False","41","0.00000000000000000000"</v>
      </c>
      <c r="C1893" s="15"/>
      <c r="D1893" s="16" t="str">
        <f>"ISC30"</f>
        <v>ISC30</v>
      </c>
      <c r="E1893" s="16">
        <v>70000</v>
      </c>
      <c r="F1893" s="16" t="str">
        <f>"I9015"</f>
        <v>I9015</v>
      </c>
      <c r="G1893" s="17" t="str">
        <f>"Organic Coconut Water Concentrate - Cust-owned"</f>
        <v>Organic Coconut Water Concentrate - Cust-owned</v>
      </c>
      <c r="H1893" s="18" t="str">
        <f>"LBS"</f>
        <v>LBS</v>
      </c>
      <c r="I1893" s="19">
        <v>1.5800000000000002E-2</v>
      </c>
      <c r="J1893" s="20">
        <v>1.5800000000000002E-2</v>
      </c>
    </row>
    <row r="1894" spans="1:10" ht="15.75" thickBot="1" x14ac:dyDescent="0.3">
      <c r="A1894" t="s">
        <v>31</v>
      </c>
      <c r="B1894" s="15" t="str">
        <f>"""Manzana NAV"",""MANZANA"",""99000772"",""44"","" "",""22"",""False"",""43"",""0.00000000000000000000"",""12"",""Organic Concord Grape Juice"",""50220"",""False"",""29"","""",""50210"",""False"",""18"","""",""11"",""I0008"",""2"",""30000"",""1"",""IJ043"",""14"",""0.50000000000000000000"",""45"",""0.5000000000"&amp;"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Concord Grape Juice","50220","False","29","","50210","False","18","","11","I0008","2","30000","1","IJ043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1894" s="15"/>
      <c r="D1894" s="16" t="str">
        <f>"IJ043"</f>
        <v>IJ043</v>
      </c>
      <c r="E1894" s="16">
        <v>30000</v>
      </c>
      <c r="F1894" s="16" t="str">
        <f>"I0008"</f>
        <v>I0008</v>
      </c>
      <c r="G1894" s="17" t="str">
        <f>"Organic Concord Grape Juice"</f>
        <v>Organic Concord Grape Juice</v>
      </c>
      <c r="H1894" s="18" t="str">
        <f>"GAL"</f>
        <v>GAL</v>
      </c>
      <c r="I1894" s="19">
        <v>0.5</v>
      </c>
      <c r="J1894" s="20">
        <v>0.5</v>
      </c>
    </row>
    <row r="1895" spans="1:10" ht="15.75" thickBot="1" x14ac:dyDescent="0.3">
      <c r="A1895" t="s">
        <v>31</v>
      </c>
      <c r="B1895" s="15" t="str">
        <f>"""Manzana NAV"",""MANZANA"",""99000772"",""44"","" "",""22"",""False"",""43"",""0.00000000000000000000"",""12"",""Organic Concord Grape Juice"",""50220"",""False"",""29"","""",""50210"",""False"",""18"","""",""11"",""I0008"",""2"",""40000"",""1"",""IJ015"",""14"",""0.25000000000000000000"",""45"",""0.2500000000"&amp;"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Concord Grape Juice","50220","False","29","","50210","False","18","","11","I0008","2","40000","1","IJ015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895" s="15"/>
      <c r="D1895" s="16" t="str">
        <f>"IJ015"</f>
        <v>IJ015</v>
      </c>
      <c r="E1895" s="16">
        <v>40000</v>
      </c>
      <c r="F1895" s="16" t="str">
        <f>"I0008"</f>
        <v>I0008</v>
      </c>
      <c r="G1895" s="17" t="str">
        <f>"Organic Concord Grape Juice"</f>
        <v>Organic Concord Grape Juice</v>
      </c>
      <c r="H1895" s="18" t="str">
        <f>"GAL"</f>
        <v>GAL</v>
      </c>
      <c r="I1895" s="19">
        <v>0.25</v>
      </c>
      <c r="J1895" s="20">
        <v>0.25</v>
      </c>
    </row>
    <row r="1896" spans="1:10" ht="15.75" thickBot="1" x14ac:dyDescent="0.3">
      <c r="A1896" t="s">
        <v>31</v>
      </c>
      <c r="B1896" s="15" t="str">
        <f>"""Manzana NAV"",""MANZANA"",""99000772"",""44"","" "",""22"",""False"",""43"",""0.00000000000000000000"",""12"",""Organic Cranberry Concentrate"",""50220"",""False"",""29"","""",""50210"",""False"",""18"","""",""11"",""I0014"",""2"",""40000"",""1"",""IJ020"",""14"",""0.49230000000000000000"",""45"",""0.49230000"&amp;"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Cranberry Concentrate","50220","False","29","","50210","False","18","","11","I0014","2","40000","1","IJ020","14","0.49230000000000000000","45","0.49230000000000000000","19","","20","0.00000000000000000000","50000","0.00000000000000000000","50230","False","28","","10","Item","13","OZ","21","","3","","42","0.00000000000000000000","50200","False","41","0.00000000000000000000"</v>
      </c>
      <c r="C1896" s="15"/>
      <c r="D1896" s="16" t="str">
        <f>"IJ020"</f>
        <v>IJ020</v>
      </c>
      <c r="E1896" s="16">
        <v>40000</v>
      </c>
      <c r="F1896" s="16" t="str">
        <f>"I0014"</f>
        <v>I0014</v>
      </c>
      <c r="G1896" s="17" t="str">
        <f>"Organic Cranberry Concentrate"</f>
        <v>Organic Cranberry Concentrate</v>
      </c>
      <c r="H1896" s="18" t="str">
        <f>"OZ"</f>
        <v>OZ</v>
      </c>
      <c r="I1896" s="19">
        <v>0.49230000000000002</v>
      </c>
      <c r="J1896" s="20">
        <v>0.49230000000000002</v>
      </c>
    </row>
    <row r="1897" spans="1:10" ht="15.75" thickBot="1" x14ac:dyDescent="0.3">
      <c r="A1897" t="s">
        <v>31</v>
      </c>
      <c r="B1897" s="15" t="str">
        <f>"""Manzana NAV"",""MANZANA"",""99000772"",""44"","" "",""22"",""False"",""43"",""0.00000000000000000000"",""12"",""Organic Dessicated Macaroon - Cust-owned"",""50220"",""False"",""29"","""",""50210"",""False"",""18"","""",""11"",""I9014"",""2"",""60000"",""1"",""ISC30"",""14"",""0.03000000000000000000"",""45"","&amp;"""0.03000000000000000000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Dessicated Macaroon - Cust-owned","50220","False","29","","50210","False","18","","11","I9014","2","60000","1","ISC30","14","0.03000000000000000000","45","0.03000000000000000000","19","","20","0.00000000000000000000","50000","0.00000000000000000000","50230","False","28","","10","Item","13","LBS","21","","3","","42","0.00000000000000000000","50200","False","41","0.00000000000000000000"</v>
      </c>
      <c r="C1897" s="15"/>
      <c r="D1897" s="16" t="str">
        <f>"ISC30"</f>
        <v>ISC30</v>
      </c>
      <c r="E1897" s="16">
        <v>60000</v>
      </c>
      <c r="F1897" s="16" t="str">
        <f>"I9014"</f>
        <v>I9014</v>
      </c>
      <c r="G1897" s="17" t="str">
        <f>"Organic Dessicated Macaroon - Cust-owned"</f>
        <v>Organic Dessicated Macaroon - Cust-owned</v>
      </c>
      <c r="H1897" s="18" t="str">
        <f t="shared" ref="H1897:H1960" si="188">"LBS"</f>
        <v>LBS</v>
      </c>
      <c r="I1897" s="19">
        <v>0.03</v>
      </c>
      <c r="J1897" s="20">
        <v>0.03</v>
      </c>
    </row>
    <row r="1898" spans="1:10" ht="15.75" thickBot="1" x14ac:dyDescent="0.3">
      <c r="A1898" t="s">
        <v>31</v>
      </c>
      <c r="B1898" s="15" t="str">
        <f>"""Manzana NAV"",""MANZANA"",""99000772"",""44"","" "",""22"",""False"",""43"",""0.00000000000000000000"",""12"",""Organic Gala Apple Mix for Pressing Juice"",""50220"",""False"",""29"","""",""50210"",""False"",""18"","""",""11"",""AMPJ95"",""2"",""10000"",""1"",""FJ9960"",""14"",""11.00000000000000000000"","""&amp;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Gala Apple Mix for Pressing Juice","50220","False","29","","50210","False","18","","11","AMPJ95","2","10000","1","FJ9960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898" s="15"/>
      <c r="D1898" s="16" t="str">
        <f>"FJ9960"</f>
        <v>FJ9960</v>
      </c>
      <c r="E1898" s="16">
        <v>10000</v>
      </c>
      <c r="F1898" s="16" t="str">
        <f>"AMPJ95"</f>
        <v>AMPJ95</v>
      </c>
      <c r="G1898" s="17" t="str">
        <f>"Organic Gala Apple Mix for Pressing Juice"</f>
        <v>Organic Gala Apple Mix for Pressing Juice</v>
      </c>
      <c r="H1898" s="18" t="str">
        <f t="shared" si="188"/>
        <v>LBS</v>
      </c>
      <c r="I1898" s="19">
        <v>11</v>
      </c>
      <c r="J1898" s="20">
        <v>11</v>
      </c>
    </row>
    <row r="1899" spans="1:10" ht="15.75" thickBot="1" x14ac:dyDescent="0.3">
      <c r="A1899" t="s">
        <v>31</v>
      </c>
      <c r="B1899" s="15" t="str">
        <f>"""Manzana NAV"",""MANZANA"",""99000772"",""44"","" "",""22"",""False"",""43"",""0.00000000000000000000"",""12"",""Organic Gala Apples - HP"",""50220"",""False"",""29"","""",""50210"",""False"",""18"","""",""11"",""AGA91"",""2"",""10000"",""1"",""AMPJ95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10000","1","AMPJ95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99" s="15"/>
      <c r="D1899" s="16" t="str">
        <f>"AMPJ95"</f>
        <v>AMPJ95</v>
      </c>
      <c r="E1899" s="16">
        <v>10000</v>
      </c>
      <c r="F1899" s="16" t="str">
        <f>"AGA91"</f>
        <v>AGA91</v>
      </c>
      <c r="G1899" s="17" t="str">
        <f>"Organic Gala Apples - HP"</f>
        <v>Organic Gala Apples - HP</v>
      </c>
      <c r="H1899" s="18" t="str">
        <f t="shared" si="188"/>
        <v>LBS</v>
      </c>
      <c r="I1899" s="19">
        <v>1</v>
      </c>
      <c r="J1899" s="20">
        <v>1</v>
      </c>
    </row>
    <row r="1900" spans="1:10" ht="15.75" thickBot="1" x14ac:dyDescent="0.3">
      <c r="A1900" t="s">
        <v>31</v>
      </c>
      <c r="B1900" s="15" t="str">
        <f>"""Manzana NAV"",""MANZANA"",""99000772"",""44"","" "",""22"",""False"",""43"",""0.00000000000000000000"",""12"",""Organic Gala Apples - HP"",""50220"",""False"",""29"","""",""50210"",""False"",""18"","""",""11"",""AGA91"",""2"",""50000"",""1"",""AMS90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50000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0" s="15"/>
      <c r="D1900" s="16" t="str">
        <f>"AMS90"</f>
        <v>AMS90</v>
      </c>
      <c r="E1900" s="16">
        <v>50000</v>
      </c>
      <c r="F1900" s="16" t="str">
        <f>"AGA91"</f>
        <v>AGA91</v>
      </c>
      <c r="G1900" s="17" t="str">
        <f>"Organic Gala Apples - HP"</f>
        <v>Organic Gala Apples - HP</v>
      </c>
      <c r="H1900" s="18" t="str">
        <f t="shared" si="188"/>
        <v>LBS</v>
      </c>
      <c r="I1900" s="19">
        <v>1</v>
      </c>
      <c r="J1900" s="20">
        <v>1</v>
      </c>
    </row>
    <row r="1901" spans="1:10" ht="15.75" thickBot="1" x14ac:dyDescent="0.3">
      <c r="A1901" t="s">
        <v>31</v>
      </c>
      <c r="B1901" s="15" t="str">
        <f>"""Manzana NAV"",""MANZANA"",""99000772"",""44"","" "",""22"",""False"",""43"",""0.00000000000000000000"",""12"",""Organic Gala Apples - HP"",""50220"",""False"",""29"","""",""50210"",""False"",""18"","""",""11"",""AGA91"",""2"",""80000"",""1"",""AMPJ90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80000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1" s="15"/>
      <c r="D1901" s="16" t="str">
        <f>"AMPJ90"</f>
        <v>AMPJ90</v>
      </c>
      <c r="E1901" s="16">
        <v>80000</v>
      </c>
      <c r="F1901" s="16" t="str">
        <f>"AGA91"</f>
        <v>AGA91</v>
      </c>
      <c r="G1901" s="17" t="str">
        <f>"Organic Gala Apples - HP"</f>
        <v>Organic Gala Apples - HP</v>
      </c>
      <c r="H1901" s="18" t="str">
        <f t="shared" si="188"/>
        <v>LBS</v>
      </c>
      <c r="I1901" s="19">
        <v>1</v>
      </c>
      <c r="J1901" s="20">
        <v>1</v>
      </c>
    </row>
    <row r="1902" spans="1:10" ht="15.75" thickBot="1" x14ac:dyDescent="0.3">
      <c r="A1902" t="s">
        <v>31</v>
      </c>
      <c r="B1902" s="15" t="str">
        <f>"""Manzana NAV"",""MANZANA"",""99000772"",""44"","" "",""22"",""False"",""43"",""0.00000000000000000000"",""12"",""Organic Gala Apples - HP"",""50220"",""False"",""29"","""",""50210"",""False"",""18"","""",""11"",""AGA91"",""2"",""90000"",""1"",""AMPV90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90000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2" s="15"/>
      <c r="D1902" s="16" t="str">
        <f>"AMPV90"</f>
        <v>AMPV90</v>
      </c>
      <c r="E1902" s="16">
        <v>90000</v>
      </c>
      <c r="F1902" s="16" t="str">
        <f>"AGA91"</f>
        <v>AGA91</v>
      </c>
      <c r="G1902" s="17" t="str">
        <f>"Organic Gala Apples - HP"</f>
        <v>Organic Gala Apples - HP</v>
      </c>
      <c r="H1902" s="18" t="str">
        <f t="shared" si="188"/>
        <v>LBS</v>
      </c>
      <c r="I1902" s="19">
        <v>1</v>
      </c>
      <c r="J1902" s="20">
        <v>1</v>
      </c>
    </row>
    <row r="1903" spans="1:10" ht="15.75" thickBot="1" x14ac:dyDescent="0.3">
      <c r="A1903" t="s">
        <v>31</v>
      </c>
      <c r="B1903" s="15" t="str">
        <f>"""Manzana NAV"",""MANZANA"",""99000772"",""44"","" "",""22"",""False"",""43"",""0.00000000000000000000"",""12"",""Organic Gala Apples - OR#2"",""50220"",""False"",""29"","""",""50210"",""False"",""18"","""",""11"",""AGA92"",""2"",""20000"",""1"",""AMPJ95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20000","1","AMPJ95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3" s="15"/>
      <c r="D1903" s="16" t="str">
        <f>"AMPJ95"</f>
        <v>AMPJ95</v>
      </c>
      <c r="E1903" s="16">
        <v>20000</v>
      </c>
      <c r="F1903" s="16" t="str">
        <f>"AGA92"</f>
        <v>AGA92</v>
      </c>
      <c r="G1903" s="17" t="str">
        <f>"Organic Gala Apples - OR#2"</f>
        <v>Organic Gala Apples - OR#2</v>
      </c>
      <c r="H1903" s="18" t="str">
        <f t="shared" si="188"/>
        <v>LBS</v>
      </c>
      <c r="I1903" s="19">
        <v>1</v>
      </c>
      <c r="J1903" s="20">
        <v>1</v>
      </c>
    </row>
    <row r="1904" spans="1:10" ht="15.75" thickBot="1" x14ac:dyDescent="0.3">
      <c r="A1904" t="s">
        <v>31</v>
      </c>
      <c r="B1904" s="15" t="str">
        <f>"""Manzana NAV"",""MANZANA"",""99000772"",""44"","" "",""22"",""False"",""43"",""0.00000000000000000000"",""12"",""Organic Gala Apples - OR#2"",""50220"",""False"",""29"","""",""50210"",""False"",""18"","""",""11"",""AGA92"",""2"",""60000"",""1"",""AMS90"",""14"",""1.00000000000000000000"",""45"",""1.00000000000"&amp;"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60000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4" s="15"/>
      <c r="D1904" s="16" t="str">
        <f>"AMS90"</f>
        <v>AMS90</v>
      </c>
      <c r="E1904" s="16">
        <v>60000</v>
      </c>
      <c r="F1904" s="16" t="str">
        <f>"AGA92"</f>
        <v>AGA92</v>
      </c>
      <c r="G1904" s="17" t="str">
        <f>"Organic Gala Apples - OR#2"</f>
        <v>Organic Gala Apples - OR#2</v>
      </c>
      <c r="H1904" s="18" t="str">
        <f t="shared" si="188"/>
        <v>LBS</v>
      </c>
      <c r="I1904" s="19">
        <v>1</v>
      </c>
      <c r="J1904" s="20">
        <v>1</v>
      </c>
    </row>
    <row r="1905" spans="1:10" ht="15.75" thickBot="1" x14ac:dyDescent="0.3">
      <c r="A1905" t="s">
        <v>31</v>
      </c>
      <c r="B1905" s="15" t="str">
        <f>"""Manzana NAV"",""MANZANA"",""99000772"",""44"","" "",""22"",""False"",""43"",""0.00000000000000000000"",""12"",""Organic Gala Apples - OR#2"",""50220"",""False"",""29"","""",""50210"",""False"",""18"","""",""11"",""AGA92"",""2"",""90000"",""1"",""AMPJ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90000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5" s="15"/>
      <c r="D1905" s="16" t="str">
        <f>"AMPJ90"</f>
        <v>AMPJ90</v>
      </c>
      <c r="E1905" s="16">
        <v>90000</v>
      </c>
      <c r="F1905" s="16" t="str">
        <f>"AGA92"</f>
        <v>AGA92</v>
      </c>
      <c r="G1905" s="17" t="str">
        <f>"Organic Gala Apples - OR#2"</f>
        <v>Organic Gala Apples - OR#2</v>
      </c>
      <c r="H1905" s="18" t="str">
        <f t="shared" si="188"/>
        <v>LBS</v>
      </c>
      <c r="I1905" s="19">
        <v>1</v>
      </c>
      <c r="J1905" s="20">
        <v>1</v>
      </c>
    </row>
    <row r="1906" spans="1:10" ht="15.75" thickBot="1" x14ac:dyDescent="0.3">
      <c r="A1906" t="s">
        <v>31</v>
      </c>
      <c r="B1906" s="15" t="str">
        <f>"""Manzana NAV"",""MANZANA"",""99000772"",""44"","" "",""22"",""False"",""43"",""0.00000000000000000000"",""12"",""Organic Gala Apples - OR#2"",""50220"",""False"",""29"","""",""50210"",""False"",""18"","""",""11"",""AGA92"",""2"",""100000"",""1"",""AMPV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100000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6" s="15"/>
      <c r="D1906" s="16" t="str">
        <f>"AMPV90"</f>
        <v>AMPV90</v>
      </c>
      <c r="E1906" s="16">
        <v>100000</v>
      </c>
      <c r="F1906" s="16" t="str">
        <f>"AGA92"</f>
        <v>AGA92</v>
      </c>
      <c r="G1906" s="17" t="str">
        <f>"Organic Gala Apples - OR#2"</f>
        <v>Organic Gala Apples - OR#2</v>
      </c>
      <c r="H1906" s="18" t="str">
        <f t="shared" si="188"/>
        <v>LBS</v>
      </c>
      <c r="I1906" s="19">
        <v>1</v>
      </c>
      <c r="J1906" s="20">
        <v>1</v>
      </c>
    </row>
    <row r="1907" spans="1:10" ht="15.75" thickBot="1" x14ac:dyDescent="0.3">
      <c r="A1907" t="s">
        <v>31</v>
      </c>
      <c r="B1907" s="15" t="str">
        <f>"""Manzana NAV"",""MANZANA"",""99000772"",""44"","" "",""22"",""False"",""43"",""0.00000000000000000000"",""12"",""Organic Gala Apples - PHC JUICE"",""50220"",""False"",""29"","""",""50210"",""False"",""18"","""",""11"",""AGA93"",""2"",""65000"",""1"",""AMS90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JUICE","50220","False","29","","50210","False","18","","11","AGA93","2","65000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7" s="15"/>
      <c r="D1907" s="16" t="str">
        <f>"AMS90"</f>
        <v>AMS90</v>
      </c>
      <c r="E1907" s="16">
        <v>65000</v>
      </c>
      <c r="F1907" s="16" t="str">
        <f>"AGA93"</f>
        <v>AGA93</v>
      </c>
      <c r="G1907" s="17" t="str">
        <f>"Organic Gala Apples - PHC JUICE"</f>
        <v>Organic Gala Apples - PHC JUICE</v>
      </c>
      <c r="H1907" s="18" t="str">
        <f t="shared" si="188"/>
        <v>LBS</v>
      </c>
      <c r="I1907" s="19">
        <v>1</v>
      </c>
      <c r="J1907" s="20">
        <v>1</v>
      </c>
    </row>
    <row r="1908" spans="1:10" ht="15.75" thickBot="1" x14ac:dyDescent="0.3">
      <c r="A1908" t="s">
        <v>31</v>
      </c>
      <c r="B1908" s="15" t="str">
        <f>"""Manzana NAV"",""MANZANA"",""99000772"",""44"","" "",""22"",""False"",""43"",""0.00000000000000000000"",""12"",""Organic Gala Apples - PHC JUICE"",""50220"",""False"",""29"","""",""50210"",""False"",""18"","""",""11"",""AGA93"",""2"",""95000"",""1"",""AMPJ90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JUICE","50220","False","29","","50210","False","18","","11","AGA93","2","95000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8" s="15"/>
      <c r="D1908" s="16" t="str">
        <f>"AMPJ90"</f>
        <v>AMPJ90</v>
      </c>
      <c r="E1908" s="16">
        <v>95000</v>
      </c>
      <c r="F1908" s="16" t="str">
        <f>"AGA93"</f>
        <v>AGA93</v>
      </c>
      <c r="G1908" s="17" t="str">
        <f>"Organic Gala Apples - PHC JUICE"</f>
        <v>Organic Gala Apples - PHC JUICE</v>
      </c>
      <c r="H1908" s="18" t="str">
        <f t="shared" si="188"/>
        <v>LBS</v>
      </c>
      <c r="I1908" s="19">
        <v>1</v>
      </c>
      <c r="J1908" s="20">
        <v>1</v>
      </c>
    </row>
    <row r="1909" spans="1:10" ht="15.75" thickBot="1" x14ac:dyDescent="0.3">
      <c r="A1909" t="s">
        <v>31</v>
      </c>
      <c r="B1909" s="15" t="str">
        <f>"""Manzana NAV"",""MANZANA"",""99000772"",""44"","" "",""22"",""False"",""43"",""0.00000000000000000000"",""12"",""Organic Gala Apples - PHC JUICE"",""50220"",""False"",""29"","""",""50210"",""False"",""18"","""",""11"",""AGA93"",""2"",""105000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JUICE","50220","False","29","","50210","False","18","","11","AGA93","2","105000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9" s="15"/>
      <c r="D1909" s="16" t="str">
        <f>"AMPV90"</f>
        <v>AMPV90</v>
      </c>
      <c r="E1909" s="16">
        <v>105000</v>
      </c>
      <c r="F1909" s="16" t="str">
        <f>"AGA93"</f>
        <v>AGA93</v>
      </c>
      <c r="G1909" s="17" t="str">
        <f>"Organic Gala Apples - PHC JUICE"</f>
        <v>Organic Gala Apples - PHC JUICE</v>
      </c>
      <c r="H1909" s="18" t="str">
        <f t="shared" si="188"/>
        <v>LBS</v>
      </c>
      <c r="I1909" s="19">
        <v>1</v>
      </c>
      <c r="J1909" s="20">
        <v>1</v>
      </c>
    </row>
    <row r="1910" spans="1:10" ht="15.75" thickBot="1" x14ac:dyDescent="0.3">
      <c r="A1910" t="s">
        <v>31</v>
      </c>
      <c r="B1910" s="15" t="str">
        <f>"""Manzana NAV"",""MANZANA"",""99000772"",""44"","" "",""22"",""False"",""43"",""0.00000000000000000000"",""12"",""Organic Gala Apples - PHC Sauce Peelers"",""50220"",""False"",""29"","""",""50210"",""False"",""18"","""",""11"",""AGA93-P"",""2"",""30000"",""1"",""AMPJ95"",""14"",""1.00000000000000000000"",""45"&amp;"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30000","1","AMPJ95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0" s="15"/>
      <c r="D1910" s="16" t="str">
        <f>"AMPJ95"</f>
        <v>AMPJ95</v>
      </c>
      <c r="E1910" s="16">
        <v>30000</v>
      </c>
      <c r="F1910" s="16" t="str">
        <f>"AGA93-P"</f>
        <v>AGA93-P</v>
      </c>
      <c r="G1910" s="17" t="str">
        <f>"Organic Gala Apples - PHC Sauce Peelers"</f>
        <v>Organic Gala Apples - PHC Sauce Peelers</v>
      </c>
      <c r="H1910" s="18" t="str">
        <f t="shared" si="188"/>
        <v>LBS</v>
      </c>
      <c r="I1910" s="19">
        <v>1</v>
      </c>
      <c r="J1910" s="20">
        <v>1</v>
      </c>
    </row>
    <row r="1911" spans="1:10" ht="15.75" thickBot="1" x14ac:dyDescent="0.3">
      <c r="A1911" t="s">
        <v>31</v>
      </c>
      <c r="B1911" s="15" t="str">
        <f>"""Manzana NAV"",""MANZANA"",""99000772"",""44"","" "",""22"",""False"",""43"",""0.00000000000000000000"",""12"",""Organic Gala Apples - PHC Sauce Peelers"",""50220"",""False"",""29"","""",""50210"",""False"",""18"","""",""11"",""AGA93-P"",""2"",""70000"",""1"",""AMS90"",""14"",""1.00000000000000000000"",""45"""&amp;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70000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1" s="15"/>
      <c r="D1911" s="16" t="str">
        <f>"AMS90"</f>
        <v>AMS90</v>
      </c>
      <c r="E1911" s="16">
        <v>70000</v>
      </c>
      <c r="F1911" s="16" t="str">
        <f>"AGA93-P"</f>
        <v>AGA93-P</v>
      </c>
      <c r="G1911" s="17" t="str">
        <f>"Organic Gala Apples - PHC Sauce Peelers"</f>
        <v>Organic Gala Apples - PHC Sauce Peelers</v>
      </c>
      <c r="H1911" s="18" t="str">
        <f t="shared" si="188"/>
        <v>LBS</v>
      </c>
      <c r="I1911" s="19">
        <v>1</v>
      </c>
      <c r="J1911" s="20">
        <v>1</v>
      </c>
    </row>
    <row r="1912" spans="1:10" ht="15.75" thickBot="1" x14ac:dyDescent="0.3">
      <c r="A1912" t="s">
        <v>31</v>
      </c>
      <c r="B1912" s="15" t="str">
        <f>"""Manzana NAV"",""MANZANA"",""99000772"",""44"","" "",""22"",""False"",""43"",""0.00000000000000000000"",""12"",""Organic Gala Apples - PHC Sauce Peelers"",""50220"",""False"",""29"","""",""50210"",""False"",""18"","""",""11"",""AGA93-P"",""2"",""100000"",""1"",""AMPJ90"",""14"",""1.00000000000000000000"",""4"&amp;"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100000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2" s="15"/>
      <c r="D1912" s="16" t="str">
        <f>"AMPJ90"</f>
        <v>AMPJ90</v>
      </c>
      <c r="E1912" s="16">
        <v>100000</v>
      </c>
      <c r="F1912" s="16" t="str">
        <f>"AGA93-P"</f>
        <v>AGA93-P</v>
      </c>
      <c r="G1912" s="17" t="str">
        <f>"Organic Gala Apples - PHC Sauce Peelers"</f>
        <v>Organic Gala Apples - PHC Sauce Peelers</v>
      </c>
      <c r="H1912" s="18" t="str">
        <f t="shared" si="188"/>
        <v>LBS</v>
      </c>
      <c r="I1912" s="19">
        <v>1</v>
      </c>
      <c r="J1912" s="20">
        <v>1</v>
      </c>
    </row>
    <row r="1913" spans="1:10" ht="15.75" thickBot="1" x14ac:dyDescent="0.3">
      <c r="A1913" t="s">
        <v>31</v>
      </c>
      <c r="B1913" s="15" t="str">
        <f>"""Manzana NAV"",""MANZANA"",""99000772"",""44"","" "",""22"",""False"",""43"",""0.00000000000000000000"",""12"",""Organic Gala Apples - PHC Sauce Peelers"",""50220"",""False"",""29"","""",""50210"",""False"",""18"","""",""11"",""AGA93-P"",""2"",""110000"",""1"",""AMPV90"",""14"",""1.00000000000000000000"",""4"&amp;"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110000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3" s="15"/>
      <c r="D1913" s="16" t="str">
        <f>"AMPV90"</f>
        <v>AMPV90</v>
      </c>
      <c r="E1913" s="16">
        <v>110000</v>
      </c>
      <c r="F1913" s="16" t="str">
        <f>"AGA93-P"</f>
        <v>AGA93-P</v>
      </c>
      <c r="G1913" s="17" t="str">
        <f>"Organic Gala Apples - PHC Sauce Peelers"</f>
        <v>Organic Gala Apples - PHC Sauce Peelers</v>
      </c>
      <c r="H1913" s="18" t="str">
        <f t="shared" si="188"/>
        <v>LBS</v>
      </c>
      <c r="I1913" s="19">
        <v>1</v>
      </c>
      <c r="J1913" s="20">
        <v>1</v>
      </c>
    </row>
    <row r="1914" spans="1:10" ht="15.75" thickBot="1" x14ac:dyDescent="0.3">
      <c r="A1914" t="s">
        <v>31</v>
      </c>
      <c r="B1914" s="15" t="str">
        <f>"""Manzana NAV"",""MANZANA"",""99000772"",""44"","" "",""22"",""False"",""43"",""0.00000000000000000000"",""12"",""Organic Gala Apples - Vinegar"",""50220"",""False"",""29"","""",""50210"",""False"",""18"","""",""11"",""AGA90"",""2"",""80000"",""1"",""AMPV90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Vinegar","50220","False","29","","50210","False","18","","11","AGA90","2","80000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4" s="15"/>
      <c r="D1914" s="16" t="str">
        <f>"AMPV90"</f>
        <v>AMPV90</v>
      </c>
      <c r="E1914" s="16">
        <v>80000</v>
      </c>
      <c r="F1914" s="16" t="str">
        <f>"AGA90"</f>
        <v>AGA90</v>
      </c>
      <c r="G1914" s="17" t="str">
        <f>"Organic Gala Apples - Vinegar"</f>
        <v>Organic Gala Apples - Vinegar</v>
      </c>
      <c r="H1914" s="18" t="str">
        <f t="shared" si="188"/>
        <v>LBS</v>
      </c>
      <c r="I1914" s="19">
        <v>1</v>
      </c>
      <c r="J1914" s="20">
        <v>1</v>
      </c>
    </row>
    <row r="1915" spans="1:10" ht="15.75" thickBot="1" x14ac:dyDescent="0.3">
      <c r="A1915" t="s">
        <v>31</v>
      </c>
      <c r="B1915" s="15" t="str">
        <f>"""Manzana NAV"",""MANZANA"",""99000772"",""44"","" "",""22"",""False"",""43"",""0.00000000000000000000"",""12"",""Organic Granny Smith - OR#2"",""50220"",""False"",""29"","""",""50210"",""False"",""18"","""",""11"",""AGS92"",""2"",""110000"",""1"",""AMS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OR#2","50220","False","29","","50210","False","18","","11","AGS92","2","110000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5" s="15"/>
      <c r="D1915" s="16" t="str">
        <f>"AMS90"</f>
        <v>AMS90</v>
      </c>
      <c r="E1915" s="16">
        <v>110000</v>
      </c>
      <c r="F1915" s="16" t="str">
        <f>"AGS92"</f>
        <v>AGS92</v>
      </c>
      <c r="G1915" s="17" t="str">
        <f>"Organic Granny Smith - OR#2"</f>
        <v>Organic Granny Smith - OR#2</v>
      </c>
      <c r="H1915" s="18" t="str">
        <f t="shared" si="188"/>
        <v>LBS</v>
      </c>
      <c r="I1915" s="19">
        <v>1</v>
      </c>
      <c r="J1915" s="20">
        <v>1</v>
      </c>
    </row>
    <row r="1916" spans="1:10" ht="15.75" thickBot="1" x14ac:dyDescent="0.3">
      <c r="A1916" t="s">
        <v>31</v>
      </c>
      <c r="B1916" s="15" t="str">
        <f>"""Manzana NAV"",""MANZANA"",""99000772"",""44"","" "",""22"",""False"",""43"",""0.00000000000000000000"",""12"",""Organic Granny Smith - OR#2"",""50220"",""False"",""29"","""",""50210"",""False"",""18"","""",""11"",""AGS92"",""2"",""160000"",""1"",""AMPJ90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OR#2","50220","False","29","","50210","False","18","","11","AGS92","2","160000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6" s="15"/>
      <c r="D1916" s="16" t="str">
        <f>"AMPJ90"</f>
        <v>AMPJ90</v>
      </c>
      <c r="E1916" s="16">
        <v>160000</v>
      </c>
      <c r="F1916" s="16" t="str">
        <f>"AGS92"</f>
        <v>AGS92</v>
      </c>
      <c r="G1916" s="17" t="str">
        <f>"Organic Granny Smith - OR#2"</f>
        <v>Organic Granny Smith - OR#2</v>
      </c>
      <c r="H1916" s="18" t="str">
        <f t="shared" si="188"/>
        <v>LBS</v>
      </c>
      <c r="I1916" s="19">
        <v>1</v>
      </c>
      <c r="J1916" s="20">
        <v>1</v>
      </c>
    </row>
    <row r="1917" spans="1:10" ht="15.75" thickBot="1" x14ac:dyDescent="0.3">
      <c r="A1917" t="s">
        <v>31</v>
      </c>
      <c r="B1917" s="15" t="str">
        <f>"""Manzana NAV"",""MANZANA"",""99000772"",""44"","" "",""22"",""False"",""43"",""0.00000000000000000000"",""12"",""Organic Granny Smith - OR#2"",""50220"",""False"",""29"","""",""50210"",""False"",""18"","""",""11"",""AGS92"",""2"",""200000"",""1"",""AMPV90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OR#2","50220","False","29","","50210","False","18","","11","AGS92","2","200000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7" s="15"/>
      <c r="D1917" s="16" t="str">
        <f>"AMPV90"</f>
        <v>AMPV90</v>
      </c>
      <c r="E1917" s="16">
        <v>200000</v>
      </c>
      <c r="F1917" s="16" t="str">
        <f>"AGS92"</f>
        <v>AGS92</v>
      </c>
      <c r="G1917" s="17" t="str">
        <f>"Organic Granny Smith - OR#2"</f>
        <v>Organic Granny Smith - OR#2</v>
      </c>
      <c r="H1917" s="18" t="str">
        <f t="shared" si="188"/>
        <v>LBS</v>
      </c>
      <c r="I1917" s="19">
        <v>1</v>
      </c>
      <c r="J1917" s="20">
        <v>1</v>
      </c>
    </row>
    <row r="1918" spans="1:10" ht="15.75" thickBot="1" x14ac:dyDescent="0.3">
      <c r="A1918" t="s">
        <v>31</v>
      </c>
      <c r="B1918" s="15" t="str">
        <f>"""Manzana NAV"",""MANZANA"",""99000772"",""44"","" "",""22"",""False"",""43"",""0.00000000000000000000"",""12"",""Organic Granny Smith - PHC"",""50220"",""False"",""29"","""",""50210"",""False"",""18"","""",""11"",""AGS93"",""2"",""120000"",""1"",""AMS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PHC","50220","False","29","","50210","False","18","","11","AGS93","2","120000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8" s="15"/>
      <c r="D1918" s="16" t="str">
        <f>"AMS90"</f>
        <v>AMS90</v>
      </c>
      <c r="E1918" s="16">
        <v>120000</v>
      </c>
      <c r="F1918" s="16" t="str">
        <f>"AGS93"</f>
        <v>AGS93</v>
      </c>
      <c r="G1918" s="17" t="str">
        <f>"Organic Granny Smith - PHC"</f>
        <v>Organic Granny Smith - PHC</v>
      </c>
      <c r="H1918" s="18" t="str">
        <f t="shared" si="188"/>
        <v>LBS</v>
      </c>
      <c r="I1918" s="19">
        <v>1</v>
      </c>
      <c r="J1918" s="20">
        <v>1</v>
      </c>
    </row>
    <row r="1919" spans="1:10" ht="15.75" thickBot="1" x14ac:dyDescent="0.3">
      <c r="A1919" t="s">
        <v>31</v>
      </c>
      <c r="B1919" s="15" t="str">
        <f>"""Manzana NAV"",""MANZANA"",""99000772"",""44"","" "",""22"",""False"",""43"",""0.00000000000000000000"",""12"",""Organic Granny Smith - PHC"",""50220"",""False"",""29"","""",""50210"",""False"",""18"","""",""11"",""AGS93"",""2"",""170000"",""1"",""AMPJ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PHC","50220","False","29","","50210","False","18","","11","AGS93","2","170000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9" s="15"/>
      <c r="D1919" s="16" t="str">
        <f>"AMPJ90"</f>
        <v>AMPJ90</v>
      </c>
      <c r="E1919" s="16">
        <v>170000</v>
      </c>
      <c r="F1919" s="16" t="str">
        <f>"AGS93"</f>
        <v>AGS93</v>
      </c>
      <c r="G1919" s="17" t="str">
        <f>"Organic Granny Smith - PHC"</f>
        <v>Organic Granny Smith - PHC</v>
      </c>
      <c r="H1919" s="18" t="str">
        <f t="shared" si="188"/>
        <v>LBS</v>
      </c>
      <c r="I1919" s="19">
        <v>1</v>
      </c>
      <c r="J1919" s="20">
        <v>1</v>
      </c>
    </row>
    <row r="1920" spans="1:10" ht="15.75" thickBot="1" x14ac:dyDescent="0.3">
      <c r="A1920" t="s">
        <v>31</v>
      </c>
      <c r="B1920" s="15" t="str">
        <f>"""Manzana NAV"",""MANZANA"",""99000772"",""44"","" "",""22"",""False"",""43"",""0.00000000000000000000"",""12"",""Organic Granny Smith - PHC"",""50220"",""False"",""29"","""",""50210"",""False"",""18"","""",""11"",""AGS93"",""2"",""210000"",""1"",""AMPV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PHC","50220","False","29","","50210","False","18","","11","AGS93","2","210000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20" s="15"/>
      <c r="D1920" s="16" t="str">
        <f>"AMPV90"</f>
        <v>AMPV90</v>
      </c>
      <c r="E1920" s="16">
        <v>210000</v>
      </c>
      <c r="F1920" s="16" t="str">
        <f>"AGS93"</f>
        <v>AGS93</v>
      </c>
      <c r="G1920" s="17" t="str">
        <f>"Organic Granny Smith - PHC"</f>
        <v>Organic Granny Smith - PHC</v>
      </c>
      <c r="H1920" s="18" t="str">
        <f t="shared" si="188"/>
        <v>LBS</v>
      </c>
      <c r="I1920" s="19">
        <v>1</v>
      </c>
      <c r="J1920" s="20">
        <v>1</v>
      </c>
    </row>
    <row r="1921" spans="1:10" ht="15.75" thickBot="1" x14ac:dyDescent="0.3">
      <c r="A1921" t="s">
        <v>31</v>
      </c>
      <c r="B1921" s="15" t="str">
        <f>"""Manzana NAV"",""MANZANA"",""99000772"",""44"","" "",""22"",""False"",""43"",""0.00000000000000000000"",""12"",""Organic GRAV Apple Mix for Pressing Juice"",""50220"",""False"",""29"","""",""50210"",""False"",""18"","""",""11"",""AMPJ91"",""2"",""10000"",""1"",""FJ9980"",""14"",""11.00000000000000000000"","""&amp;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Pressing Juice","50220","False","29","","50210","False","18","","11","AMPJ91","2","10000","1","FJ9980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21" s="15"/>
      <c r="D1921" s="16" t="str">
        <f>"FJ9980"</f>
        <v>FJ9980</v>
      </c>
      <c r="E1921" s="16">
        <v>10000</v>
      </c>
      <c r="F1921" s="16" t="str">
        <f>"AMPJ91"</f>
        <v>AMPJ91</v>
      </c>
      <c r="G1921" s="17" t="str">
        <f>"Organic GRAV Apple Mix for Pressing Juice"</f>
        <v>Organic GRAV Apple Mix for Pressing Juice</v>
      </c>
      <c r="H1921" s="18" t="str">
        <f t="shared" si="188"/>
        <v>LBS</v>
      </c>
      <c r="I1921" s="19">
        <v>11</v>
      </c>
      <c r="J1921" s="20">
        <v>11</v>
      </c>
    </row>
    <row r="1922" spans="1:10" ht="15.75" thickBot="1" x14ac:dyDescent="0.3">
      <c r="A1922" t="s">
        <v>31</v>
      </c>
      <c r="B1922" s="15" t="str">
        <f>"""Manzana NAV"",""MANZANA"",""99000772"",""44"","" "",""22"",""False"",""43"",""0.00000000000000000000"",""12"",""Organic GRAV Apple Mix for Pressing Vinegar"",""50220"",""False"",""29"","""",""50210"",""False"",""18"","""",""11"",""AMPV91"",""2"",""10000"",""1"",""IV898"",""14"",""11.00000000000000000000"","&amp;"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Pressing Vinegar","50220","False","29","","50210","False","18","","11","AMPV91","2","10000","1","IV898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22" s="15"/>
      <c r="D1922" s="16" t="str">
        <f>"IV898"</f>
        <v>IV898</v>
      </c>
      <c r="E1922" s="16">
        <v>10000</v>
      </c>
      <c r="F1922" s="16" t="str">
        <f>"AMPV91"</f>
        <v>AMPV91</v>
      </c>
      <c r="G1922" s="17" t="str">
        <f>"Organic GRAV Apple Mix for Pressing Vinegar"</f>
        <v>Organic GRAV Apple Mix for Pressing Vinegar</v>
      </c>
      <c r="H1922" s="18" t="str">
        <f t="shared" si="188"/>
        <v>LBS</v>
      </c>
      <c r="I1922" s="19">
        <v>11</v>
      </c>
      <c r="J1922" s="20">
        <v>11</v>
      </c>
    </row>
    <row r="1923" spans="1:10" ht="15.75" thickBot="1" x14ac:dyDescent="0.3">
      <c r="A1923" t="s">
        <v>31</v>
      </c>
      <c r="B1923" s="15" t="str">
        <f>"""Manzana NAV"",""MANZANA"",""99000772"",""44"","" "",""22"",""False"",""43"",""0.00000000000000000000"",""12"",""Organic GRAV Apple Mix for Sauce"",""50220"",""False"",""29"","""",""50210"",""False"",""18"","""",""11"",""AMS91"",""2"",""10000"",""1"",""AGR94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GR94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3" s="15"/>
      <c r="D1923" s="16" t="str">
        <f>"AGR94"</f>
        <v>AGR94</v>
      </c>
      <c r="E1923" s="16">
        <v>10000</v>
      </c>
      <c r="F1923" s="16" t="str">
        <f>"AMS91"</f>
        <v>AMS91</v>
      </c>
      <c r="G1923" s="17" t="str">
        <f>"Organic GRAV Apple Mix for Sauce"</f>
        <v>Organic GRAV Apple Mix for Sauce</v>
      </c>
      <c r="H1923" s="18" t="str">
        <f t="shared" si="188"/>
        <v>LBS</v>
      </c>
      <c r="I1923" s="19">
        <v>1</v>
      </c>
      <c r="J1923" s="20">
        <v>1</v>
      </c>
    </row>
    <row r="1924" spans="1:10" ht="15.75" thickBot="1" x14ac:dyDescent="0.3">
      <c r="A1924" t="s">
        <v>31</v>
      </c>
      <c r="B1924" s="15" t="str">
        <f>"""Manzana NAV"",""MANZANA"",""99000772"",""44"","" "",""22"",""False"",""43"",""0.00000000000000000000"",""12"",""Organic GRAV Apple Mix for Sauce"",""50220"",""False"",""29"","""",""50210"",""False"",""18"","""",""11"",""AMS91"",""2"",""10000"",""1"",""AGR95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GR95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4" s="15"/>
      <c r="D1924" s="16" t="str">
        <f>"AGR95"</f>
        <v>AGR95</v>
      </c>
      <c r="E1924" s="16">
        <v>10000</v>
      </c>
      <c r="F1924" s="16" t="str">
        <f>"AMS91"</f>
        <v>AMS91</v>
      </c>
      <c r="G1924" s="17" t="str">
        <f>"Organic GRAV Apple Mix for Sauce"</f>
        <v>Organic GRAV Apple Mix for Sauce</v>
      </c>
      <c r="H1924" s="18" t="str">
        <f t="shared" si="188"/>
        <v>LBS</v>
      </c>
      <c r="I1924" s="19">
        <v>1</v>
      </c>
      <c r="J1924" s="20">
        <v>1</v>
      </c>
    </row>
    <row r="1925" spans="1:10" ht="15.75" thickBot="1" x14ac:dyDescent="0.3">
      <c r="A1925" t="s">
        <v>31</v>
      </c>
      <c r="B1925" s="15" t="str">
        <f>"""Manzana NAV"",""MANZANA"",""99000772"",""44"","" "",""22"",""False"",""43"",""0.00000000000000000000"",""12"",""Organic GRAV Apple Mix for Sauce"",""50220"",""False"",""29"","""",""50210"",""False"",""18"","""",""11"",""AMS91"",""2"",""10000"",""1"",""AGR96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GR96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5" s="15"/>
      <c r="D1925" s="16" t="str">
        <f>"AGR96"</f>
        <v>AGR96</v>
      </c>
      <c r="E1925" s="16">
        <v>10000</v>
      </c>
      <c r="F1925" s="16" t="str">
        <f>"AMS91"</f>
        <v>AMS91</v>
      </c>
      <c r="G1925" s="17" t="str">
        <f>"Organic GRAV Apple Mix for Sauce"</f>
        <v>Organic GRAV Apple Mix for Sauce</v>
      </c>
      <c r="H1925" s="18" t="str">
        <f t="shared" si="188"/>
        <v>LBS</v>
      </c>
      <c r="I1925" s="19">
        <v>1</v>
      </c>
      <c r="J1925" s="20">
        <v>1</v>
      </c>
    </row>
    <row r="1926" spans="1:10" ht="15.75" thickBot="1" x14ac:dyDescent="0.3">
      <c r="A1926" t="s">
        <v>31</v>
      </c>
      <c r="B1926" s="15" t="str">
        <f>"""Manzana NAV"",""MANZANA"",""99000772"",""44"","" "",""22"",""False"",""43"",""0.00000000000000000000"",""12"",""Organic GRAV Apple Mix for Sauce"",""50220"",""False"",""29"","""",""50210"",""False"",""18"","""",""11"",""AMS91"",""2"",""10000"",""1"",""APU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PU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6" s="15"/>
      <c r="D1926" s="16" t="str">
        <f>"APU91"</f>
        <v>APU91</v>
      </c>
      <c r="E1926" s="16">
        <v>10000</v>
      </c>
      <c r="F1926" s="16" t="str">
        <f>"AMS91"</f>
        <v>AMS91</v>
      </c>
      <c r="G1926" s="17" t="str">
        <f>"Organic GRAV Apple Mix for Sauce"</f>
        <v>Organic GRAV Apple Mix for Sauce</v>
      </c>
      <c r="H1926" s="18" t="str">
        <f t="shared" si="188"/>
        <v>LBS</v>
      </c>
      <c r="I1926" s="19">
        <v>1</v>
      </c>
      <c r="J1926" s="20">
        <v>1</v>
      </c>
    </row>
    <row r="1927" spans="1:10" ht="15.75" thickBot="1" x14ac:dyDescent="0.3">
      <c r="A1927" t="s">
        <v>31</v>
      </c>
      <c r="B1927" s="15" t="str">
        <f>"""Manzana NAV"",""MANZANA"",""99000772"",""44"","" "",""22"",""False"",""43"",""0.00000000000000000000"",""12"",""Organic Grav Puree"",""50220"",""False"",""29"","""",""50210"",""True"",""18"","""",""11"",""APU91"",""2"",""10000"",""1"",""ISC07"",""14"",""1.00000000000000000000"",""45"",""1.00000000000000000000"&amp;"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Puree","50220","False","29","","50210","True","18","","11","APU91","2","10000","1","ISC07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7" s="15"/>
      <c r="D1927" s="16" t="str">
        <f>"ISC07"</f>
        <v>ISC07</v>
      </c>
      <c r="E1927" s="16">
        <v>10000</v>
      </c>
      <c r="F1927" s="16" t="str">
        <f>"APU91"</f>
        <v>APU91</v>
      </c>
      <c r="G1927" s="17" t="str">
        <f>"Organic Grav Puree"</f>
        <v>Organic Grav Puree</v>
      </c>
      <c r="H1927" s="18" t="str">
        <f t="shared" si="188"/>
        <v>LBS</v>
      </c>
      <c r="I1927" s="19">
        <v>1</v>
      </c>
      <c r="J1927" s="20">
        <v>1</v>
      </c>
    </row>
    <row r="1928" spans="1:10" ht="15.75" thickBot="1" x14ac:dyDescent="0.3">
      <c r="A1928" t="s">
        <v>31</v>
      </c>
      <c r="B1928" s="15" t="str">
        <f>"""Manzana NAV"",""MANZANA"",""99000772"",""44"","" "",""22"",""False"",""43"",""0.00000000000000000000"",""12"",""Organic Grav Puree"",""50220"",""False"",""29"","""",""50210"",""True"",""18"","""",""11"",""APU91"",""2"",""40000"",""1"",""ISC20"",""14"",""0.92360000000000000000"",""45"",""0.92360000000000000000"&amp;"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Puree","50220","False","29","","50210","True","18","","11","APU91","2","40000","1","ISC20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1928" s="15"/>
      <c r="D1928" s="16" t="str">
        <f>"ISC20"</f>
        <v>ISC20</v>
      </c>
      <c r="E1928" s="16">
        <v>40000</v>
      </c>
      <c r="F1928" s="16" t="str">
        <f>"APU91"</f>
        <v>APU91</v>
      </c>
      <c r="G1928" s="17" t="str">
        <f>"Organic Grav Puree"</f>
        <v>Organic Grav Puree</v>
      </c>
      <c r="H1928" s="18" t="str">
        <f t="shared" si="188"/>
        <v>LBS</v>
      </c>
      <c r="I1928" s="19">
        <v>0.92359999999999998</v>
      </c>
      <c r="J1928" s="20">
        <v>0.92359999999999998</v>
      </c>
    </row>
    <row r="1929" spans="1:10" ht="15.75" thickBot="1" x14ac:dyDescent="0.3">
      <c r="A1929" t="s">
        <v>31</v>
      </c>
      <c r="B1929" s="15" t="str">
        <f>"""Manzana NAV"",""MANZANA"",""99000772"",""44"","" "",""22"",""False"",""43"",""0.00000000000000000000"",""12"",""Organic Gravenstein - Peels and Cores"",""50220"",""False"",""29"","""",""50210"",""False"",""18"","""",""11"",""AGR96"",""2"",""50000"",""1"",""AMPJ91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50000","1","AMPJ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9" s="15"/>
      <c r="D1929" s="16" t="str">
        <f>"AMPJ91"</f>
        <v>AMPJ91</v>
      </c>
      <c r="E1929" s="16">
        <v>50000</v>
      </c>
      <c r="F1929" s="16" t="str">
        <f>"AGR96"</f>
        <v>AGR96</v>
      </c>
      <c r="G1929" s="17" t="str">
        <f>"Organic Gravenstein - Peels and Cores"</f>
        <v>Organic Gravenstein - Peels and Cores</v>
      </c>
      <c r="H1929" s="18" t="str">
        <f t="shared" si="188"/>
        <v>LBS</v>
      </c>
      <c r="I1929" s="19">
        <v>1</v>
      </c>
      <c r="J1929" s="20">
        <v>1</v>
      </c>
    </row>
    <row r="1930" spans="1:10" ht="15.75" thickBot="1" x14ac:dyDescent="0.3">
      <c r="A1930" t="s">
        <v>31</v>
      </c>
      <c r="B1930" s="15" t="str">
        <f>"""Manzana NAV"",""MANZANA"",""99000772"",""44"","" "",""22"",""False"",""43"",""0.00000000000000000000"",""12"",""Organic Gravenstein - Peels and Cores"",""50220"",""False"",""29"","""",""50210"",""False"",""18"","""",""11"",""AGR96"",""2"",""70000"",""1"",""AMPV91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70000","1","AMPV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0" s="15"/>
      <c r="D1930" s="16" t="str">
        <f>"AMPV91"</f>
        <v>AMPV91</v>
      </c>
      <c r="E1930" s="16">
        <v>70000</v>
      </c>
      <c r="F1930" s="16" t="str">
        <f>"AGR96"</f>
        <v>AGR96</v>
      </c>
      <c r="G1930" s="17" t="str">
        <f>"Organic Gravenstein - Peels and Cores"</f>
        <v>Organic Gravenstein - Peels and Cores</v>
      </c>
      <c r="H1930" s="18" t="str">
        <f t="shared" si="188"/>
        <v>LBS</v>
      </c>
      <c r="I1930" s="19">
        <v>1</v>
      </c>
      <c r="J1930" s="20">
        <v>1</v>
      </c>
    </row>
    <row r="1931" spans="1:10" ht="15.75" thickBot="1" x14ac:dyDescent="0.3">
      <c r="A1931" t="s">
        <v>31</v>
      </c>
      <c r="B1931" s="15" t="str">
        <f>"""Manzana NAV"",""MANZANA"",""99000772"",""44"","" "",""22"",""False"",""43"",""0.00000000000000000000"",""12"",""Organic Gravenstein - Peels and Cores"",""50220"",""False"",""29"","""",""50210"",""False"",""18"","""",""11"",""AGR96"",""2"",""150000"",""1"",""AMPJ90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150000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1" s="15"/>
      <c r="D1931" s="16" t="str">
        <f>"AMPJ90"</f>
        <v>AMPJ90</v>
      </c>
      <c r="E1931" s="16">
        <v>150000</v>
      </c>
      <c r="F1931" s="16" t="str">
        <f>"AGR96"</f>
        <v>AGR96</v>
      </c>
      <c r="G1931" s="17" t="str">
        <f>"Organic Gravenstein - Peels and Cores"</f>
        <v>Organic Gravenstein - Peels and Cores</v>
      </c>
      <c r="H1931" s="18" t="str">
        <f t="shared" si="188"/>
        <v>LBS</v>
      </c>
      <c r="I1931" s="19">
        <v>1</v>
      </c>
      <c r="J1931" s="20">
        <v>1</v>
      </c>
    </row>
    <row r="1932" spans="1:10" ht="15.75" thickBot="1" x14ac:dyDescent="0.3">
      <c r="A1932" t="s">
        <v>31</v>
      </c>
      <c r="B1932" s="15" t="str">
        <f>"""Manzana NAV"",""MANZANA"",""99000772"",""44"","" "",""22"",""False"",""43"",""0.00000000000000000000"",""12"",""Organic Gravenstein - Peels and Cores"",""50220"",""False"",""29"","""",""50210"",""False"",""18"","""",""11"",""AGR96"",""2"",""180000"",""1"",""AMPV90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180000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2" s="15"/>
      <c r="D1932" s="16" t="str">
        <f>"AMPV90"</f>
        <v>AMPV90</v>
      </c>
      <c r="E1932" s="16">
        <v>180000</v>
      </c>
      <c r="F1932" s="16" t="str">
        <f>"AGR96"</f>
        <v>AGR96</v>
      </c>
      <c r="G1932" s="17" t="str">
        <f>"Organic Gravenstein - Peels and Cores"</f>
        <v>Organic Gravenstein - Peels and Cores</v>
      </c>
      <c r="H1932" s="18" t="str">
        <f t="shared" si="188"/>
        <v>LBS</v>
      </c>
      <c r="I1932" s="19">
        <v>1</v>
      </c>
      <c r="J1932" s="20">
        <v>1</v>
      </c>
    </row>
    <row r="1933" spans="1:10" ht="15.75" thickBot="1" x14ac:dyDescent="0.3">
      <c r="A1933" t="s">
        <v>31</v>
      </c>
      <c r="B1933" s="15" t="str">
        <f>"""Manzana NAV"",""MANZANA"",""99000772"",""44"","" "",""22"",""False"",""43"",""0.00000000000000000000"",""12"",""Organic Gravenstein Apples - Elim"",""50220"",""True"",""29"","""",""50210"",""False"",""18"","""",""11"",""AGR94"",""2"",""40000"",""1"",""AMPJ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40000","1","AMPJ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3" s="15"/>
      <c r="D1933" s="16" t="str">
        <f>"AMPJ91"</f>
        <v>AMPJ91</v>
      </c>
      <c r="E1933" s="16">
        <v>40000</v>
      </c>
      <c r="F1933" s="16" t="str">
        <f>"AGR94"</f>
        <v>AGR94</v>
      </c>
      <c r="G1933" s="17" t="str">
        <f>"Organic Gravenstein Apples - Elim"</f>
        <v>Organic Gravenstein Apples - Elim</v>
      </c>
      <c r="H1933" s="18" t="str">
        <f t="shared" si="188"/>
        <v>LBS</v>
      </c>
      <c r="I1933" s="19">
        <v>1</v>
      </c>
      <c r="J1933" s="20">
        <v>1</v>
      </c>
    </row>
    <row r="1934" spans="1:10" ht="15.75" thickBot="1" x14ac:dyDescent="0.3">
      <c r="A1934" t="s">
        <v>31</v>
      </c>
      <c r="B1934" s="15" t="str">
        <f>"""Manzana NAV"",""MANZANA"",""99000772"",""44"","" "",""22"",""False"",""43"",""0.00000000000000000000"",""12"",""Organic Gravenstein Apples - Elim"",""50220"",""True"",""29"","""",""50210"",""False"",""18"","""",""11"",""AGR94"",""2"",""50000"",""1"",""AMPV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50000","1","AMPV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4" s="15"/>
      <c r="D1934" s="16" t="str">
        <f>"AMPV91"</f>
        <v>AMPV91</v>
      </c>
      <c r="E1934" s="16">
        <v>50000</v>
      </c>
      <c r="F1934" s="16" t="str">
        <f>"AGR94"</f>
        <v>AGR94</v>
      </c>
      <c r="G1934" s="17" t="str">
        <f>"Organic Gravenstein Apples - Elim"</f>
        <v>Organic Gravenstein Apples - Elim</v>
      </c>
      <c r="H1934" s="18" t="str">
        <f t="shared" si="188"/>
        <v>LBS</v>
      </c>
      <c r="I1934" s="19">
        <v>1</v>
      </c>
      <c r="J1934" s="20">
        <v>1</v>
      </c>
    </row>
    <row r="1935" spans="1:10" ht="15.75" thickBot="1" x14ac:dyDescent="0.3">
      <c r="A1935" t="s">
        <v>31</v>
      </c>
      <c r="B1935" s="15" t="str">
        <f>"""Manzana NAV"",""MANZANA"",""99000772"",""44"","" "",""22"",""False"",""43"",""0.00000000000000000000"",""12"",""Organic Gravenstein Apples - Elim"",""50220"",""True"",""29"","""",""50210"",""False"",""18"","""",""11"",""AGR94"",""2"",""140000"",""1"",""AMPJ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140000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5" s="15"/>
      <c r="D1935" s="16" t="str">
        <f>"AMPJ90"</f>
        <v>AMPJ90</v>
      </c>
      <c r="E1935" s="16">
        <v>140000</v>
      </c>
      <c r="F1935" s="16" t="str">
        <f>"AGR94"</f>
        <v>AGR94</v>
      </c>
      <c r="G1935" s="17" t="str">
        <f>"Organic Gravenstein Apples - Elim"</f>
        <v>Organic Gravenstein Apples - Elim</v>
      </c>
      <c r="H1935" s="18" t="str">
        <f t="shared" si="188"/>
        <v>LBS</v>
      </c>
      <c r="I1935" s="19">
        <v>1</v>
      </c>
      <c r="J1935" s="20">
        <v>1</v>
      </c>
    </row>
    <row r="1936" spans="1:10" ht="15.75" thickBot="1" x14ac:dyDescent="0.3">
      <c r="A1936" t="s">
        <v>31</v>
      </c>
      <c r="B1936" s="15" t="str">
        <f>"""Manzana NAV"",""MANZANA"",""99000772"",""44"","" "",""22"",""False"",""43"",""0.00000000000000000000"",""12"",""Organic Gravenstein Apples - Elim"",""50220"",""True"",""29"","""",""50210"",""False"",""18"","""",""11"",""AGR94"",""2"",""160000"",""1"",""AMPV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160000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6" s="15"/>
      <c r="D1936" s="16" t="str">
        <f>"AMPV90"</f>
        <v>AMPV90</v>
      </c>
      <c r="E1936" s="16">
        <v>160000</v>
      </c>
      <c r="F1936" s="16" t="str">
        <f>"AGR94"</f>
        <v>AGR94</v>
      </c>
      <c r="G1936" s="17" t="str">
        <f>"Organic Gravenstein Apples - Elim"</f>
        <v>Organic Gravenstein Apples - Elim</v>
      </c>
      <c r="H1936" s="18" t="str">
        <f t="shared" si="188"/>
        <v>LBS</v>
      </c>
      <c r="I1936" s="19">
        <v>1</v>
      </c>
      <c r="J1936" s="20">
        <v>1</v>
      </c>
    </row>
    <row r="1937" spans="1:10" ht="15.75" thickBot="1" x14ac:dyDescent="0.3">
      <c r="A1937" t="s">
        <v>31</v>
      </c>
      <c r="B1937" s="15" t="str">
        <f>"""Manzana NAV"",""MANZANA"",""99000772"",""44"","" "",""22"",""False"",""43"",""0.00000000000000000000"",""12"",""Organic Gravenstein Apples - HP"",""50220"",""False"",""29"","""",""50210"",""False"",""18"","""",""11"",""AGR91"",""2"",""10000"",""1"",""AMPJ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10000","1","AMPJ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37" s="15"/>
      <c r="D1937" s="16" t="str">
        <f>"AMPJ91"</f>
        <v>AMPJ91</v>
      </c>
      <c r="E1937" s="16">
        <v>10000</v>
      </c>
      <c r="F1937" s="16" t="str">
        <f t="shared" ref="F1937:F1942" si="189">"AGR91"</f>
        <v>AGR91</v>
      </c>
      <c r="G1937" s="17" t="str">
        <f t="shared" ref="G1937:G1942" si="190">"Organic Gravenstein Apples - HP"</f>
        <v>Organic Gravenstein Apples - HP</v>
      </c>
      <c r="H1937" s="18" t="str">
        <f t="shared" si="188"/>
        <v>LBS</v>
      </c>
      <c r="I1937" s="19">
        <v>1</v>
      </c>
      <c r="J1937" s="20">
        <v>1</v>
      </c>
    </row>
    <row r="1938" spans="1:10" ht="15.75" thickBot="1" x14ac:dyDescent="0.3">
      <c r="A1938" t="s">
        <v>31</v>
      </c>
      <c r="B1938" s="15" t="str">
        <f>"""Manzana NAV"",""MANZANA"",""99000772"",""44"","" "",""22"",""False"",""43"",""0.00000000000000000000"",""12"",""Organic Gravenstein Apples - HP"",""50220"",""False"",""29"","""",""50210"",""False"",""18"","""",""11"",""AGR91"",""2"",""20000"",""1"",""AMPV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20000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38" s="15"/>
      <c r="D1938" s="16" t="str">
        <f>"AMPV91"</f>
        <v>AMPV91</v>
      </c>
      <c r="E1938" s="16">
        <v>20000</v>
      </c>
      <c r="F1938" s="16" t="str">
        <f t="shared" si="189"/>
        <v>AGR91</v>
      </c>
      <c r="G1938" s="17" t="str">
        <f t="shared" si="190"/>
        <v>Organic Gravenstein Apples - HP</v>
      </c>
      <c r="H1938" s="18" t="str">
        <f t="shared" si="188"/>
        <v>LBS</v>
      </c>
      <c r="I1938" s="19">
        <v>1</v>
      </c>
      <c r="J1938" s="20">
        <v>1</v>
      </c>
    </row>
    <row r="1939" spans="1:10" ht="15.75" thickBot="1" x14ac:dyDescent="0.3">
      <c r="A1939" t="s">
        <v>31</v>
      </c>
      <c r="B1939" s="15" t="str">
        <f>"""Manzana NAV"",""MANZANA"",""99000772"",""44"","" "",""22"",""False"",""43"",""0.00000000000000000000"",""12"",""Organic Gravenstein Apples - HP"",""50220"",""False"",""29"","""",""50210"",""False"",""18"","""",""11"",""AGR91"",""2"",""20000"",""1"",""AMS91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20000","1","AMS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39" s="15"/>
      <c r="D1939" s="16" t="str">
        <f>"AMS91"</f>
        <v>AMS91</v>
      </c>
      <c r="E1939" s="16">
        <v>20000</v>
      </c>
      <c r="F1939" s="16" t="str">
        <f t="shared" si="189"/>
        <v>AGR91</v>
      </c>
      <c r="G1939" s="17" t="str">
        <f t="shared" si="190"/>
        <v>Organic Gravenstein Apples - HP</v>
      </c>
      <c r="H1939" s="18" t="str">
        <f t="shared" si="188"/>
        <v>LBS</v>
      </c>
      <c r="I1939" s="19">
        <v>1</v>
      </c>
      <c r="J1939" s="20">
        <v>1</v>
      </c>
    </row>
    <row r="1940" spans="1:10" ht="15.75" thickBot="1" x14ac:dyDescent="0.3">
      <c r="A1940" t="s">
        <v>31</v>
      </c>
      <c r="B1940" s="15" t="str">
        <f>"""Manzana NAV"",""MANZANA"",""99000772"",""44"","" "",""22"",""False"",""43"",""0.00000000000000000000"",""12"",""Organic Gravenstein Apples - HP"",""50220"",""False"",""29"","""",""50210"",""False"",""18"","""",""11"",""AGR91"",""2"",""80000"",""1"",""AMS90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80000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0" s="15"/>
      <c r="D1940" s="16" t="str">
        <f>"AMS90"</f>
        <v>AMS90</v>
      </c>
      <c r="E1940" s="16">
        <v>80000</v>
      </c>
      <c r="F1940" s="16" t="str">
        <f t="shared" si="189"/>
        <v>AGR91</v>
      </c>
      <c r="G1940" s="17" t="str">
        <f t="shared" si="190"/>
        <v>Organic Gravenstein Apples - HP</v>
      </c>
      <c r="H1940" s="18" t="str">
        <f t="shared" si="188"/>
        <v>LBS</v>
      </c>
      <c r="I1940" s="19">
        <v>1</v>
      </c>
      <c r="J1940" s="20">
        <v>1</v>
      </c>
    </row>
    <row r="1941" spans="1:10" ht="15.75" thickBot="1" x14ac:dyDescent="0.3">
      <c r="A1941" t="s">
        <v>31</v>
      </c>
      <c r="B1941" s="15" t="str">
        <f>"""Manzana NAV"",""MANZANA"",""99000772"",""44"","" "",""22"",""False"",""43"",""0.00000000000000000000"",""12"",""Organic Gravenstein Apples - HP"",""50220"",""False"",""29"","""",""50210"",""False"",""18"","""",""11"",""AGR91"",""2"",""110000"",""1"",""AMPJ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110000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1" s="15"/>
      <c r="D1941" s="16" t="str">
        <f>"AMPJ90"</f>
        <v>AMPJ90</v>
      </c>
      <c r="E1941" s="16">
        <v>110000</v>
      </c>
      <c r="F1941" s="16" t="str">
        <f t="shared" si="189"/>
        <v>AGR91</v>
      </c>
      <c r="G1941" s="17" t="str">
        <f t="shared" si="190"/>
        <v>Organic Gravenstein Apples - HP</v>
      </c>
      <c r="H1941" s="18" t="str">
        <f t="shared" si="188"/>
        <v>LBS</v>
      </c>
      <c r="I1941" s="19">
        <v>1</v>
      </c>
      <c r="J1941" s="20">
        <v>1</v>
      </c>
    </row>
    <row r="1942" spans="1:10" ht="15.75" thickBot="1" x14ac:dyDescent="0.3">
      <c r="A1942" t="s">
        <v>31</v>
      </c>
      <c r="B1942" s="15" t="str">
        <f>"""Manzana NAV"",""MANZANA"",""99000772"",""44"","" "",""22"",""False"",""43"",""0.00000000000000000000"",""12"",""Organic Gravenstein Apples - HP"",""50220"",""False"",""29"","""",""50210"",""False"",""18"","""",""11"",""AGR91"",""2"",""130000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130000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2" s="15"/>
      <c r="D1942" s="16" t="str">
        <f>"AMPV90"</f>
        <v>AMPV90</v>
      </c>
      <c r="E1942" s="16">
        <v>130000</v>
      </c>
      <c r="F1942" s="16" t="str">
        <f t="shared" si="189"/>
        <v>AGR91</v>
      </c>
      <c r="G1942" s="17" t="str">
        <f t="shared" si="190"/>
        <v>Organic Gravenstein Apples - HP</v>
      </c>
      <c r="H1942" s="18" t="str">
        <f t="shared" si="188"/>
        <v>LBS</v>
      </c>
      <c r="I1942" s="19">
        <v>1</v>
      </c>
      <c r="J1942" s="20">
        <v>1</v>
      </c>
    </row>
    <row r="1943" spans="1:10" ht="15.75" thickBot="1" x14ac:dyDescent="0.3">
      <c r="A1943" t="s">
        <v>31</v>
      </c>
      <c r="B1943" s="15" t="str">
        <f>"""Manzana NAV"",""MANZANA"",""99000772"",""44"","" "",""22"",""False"",""43"",""0.00000000000000000000"",""12"",""Organic Gravenstein Apples - OR#2"",""50220"",""False"",""29"","""",""50210"",""False"",""18"","""",""11"",""AGR92"",""2"",""20000"",""1"",""AMPJ91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20000","1","AMPJ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3" s="15"/>
      <c r="D1943" s="16" t="str">
        <f>"AMPJ91"</f>
        <v>AMPJ91</v>
      </c>
      <c r="E1943" s="16">
        <v>20000</v>
      </c>
      <c r="F1943" s="16" t="str">
        <f t="shared" ref="F1943:F1948" si="191">"AGR92"</f>
        <v>AGR92</v>
      </c>
      <c r="G1943" s="17" t="str">
        <f t="shared" ref="G1943:G1948" si="192">"Organic Gravenstein Apples - OR#2"</f>
        <v>Organic Gravenstein Apples - OR#2</v>
      </c>
      <c r="H1943" s="18" t="str">
        <f t="shared" si="188"/>
        <v>LBS</v>
      </c>
      <c r="I1943" s="19">
        <v>1</v>
      </c>
      <c r="J1943" s="20">
        <v>1</v>
      </c>
    </row>
    <row r="1944" spans="1:10" ht="15.75" thickBot="1" x14ac:dyDescent="0.3">
      <c r="A1944" t="s">
        <v>31</v>
      </c>
      <c r="B1944" s="15" t="str">
        <f>"""Manzana NAV"",""MANZANA"",""99000772"",""44"","" "",""22"",""False"",""43"",""0.00000000000000000000"",""12"",""Organic Gravenstein Apples - OR#2"",""50220"",""False"",""29"","""",""50210"",""False"",""18"","""",""11"",""AGR92"",""2"",""30000"",""1"",""AMPV91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30000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4" s="15"/>
      <c r="D1944" s="16" t="str">
        <f>"AMPV91"</f>
        <v>AMPV91</v>
      </c>
      <c r="E1944" s="16">
        <v>30000</v>
      </c>
      <c r="F1944" s="16" t="str">
        <f t="shared" si="191"/>
        <v>AGR92</v>
      </c>
      <c r="G1944" s="17" t="str">
        <f t="shared" si="192"/>
        <v>Organic Gravenstein Apples - OR#2</v>
      </c>
      <c r="H1944" s="18" t="str">
        <f t="shared" si="188"/>
        <v>LBS</v>
      </c>
      <c r="I1944" s="19">
        <v>1</v>
      </c>
      <c r="J1944" s="20">
        <v>1</v>
      </c>
    </row>
    <row r="1945" spans="1:10" ht="15.75" thickBot="1" x14ac:dyDescent="0.3">
      <c r="A1945" t="s">
        <v>31</v>
      </c>
      <c r="B1945" s="15" t="str">
        <f>"""Manzana NAV"",""MANZANA"",""99000772"",""44"","" "",""22"",""False"",""43"",""0.00000000000000000000"",""12"",""Organic Gravenstein Apples - OR#2"",""50220"",""False"",""29"","""",""50210"",""False"",""18"","""",""11"",""AGR92"",""2"",""30000"",""1"",""AMS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30000","1","AMS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5" s="15"/>
      <c r="D1945" s="16" t="str">
        <f>"AMS91"</f>
        <v>AMS91</v>
      </c>
      <c r="E1945" s="16">
        <v>30000</v>
      </c>
      <c r="F1945" s="16" t="str">
        <f t="shared" si="191"/>
        <v>AGR92</v>
      </c>
      <c r="G1945" s="17" t="str">
        <f t="shared" si="192"/>
        <v>Organic Gravenstein Apples - OR#2</v>
      </c>
      <c r="H1945" s="18" t="str">
        <f t="shared" si="188"/>
        <v>LBS</v>
      </c>
      <c r="I1945" s="19">
        <v>1</v>
      </c>
      <c r="J1945" s="20">
        <v>1</v>
      </c>
    </row>
    <row r="1946" spans="1:10" ht="15.75" thickBot="1" x14ac:dyDescent="0.3">
      <c r="A1946" t="s">
        <v>31</v>
      </c>
      <c r="B1946" s="15" t="str">
        <f>"""Manzana NAV"",""MANZANA"",""99000772"",""44"","" "",""22"",""False"",""43"",""0.00000000000000000000"",""12"",""Organic Gravenstein Apples - OR#2"",""50220"",""False"",""29"","""",""50210"",""False"",""18"","""",""11"",""AGR92"",""2"",""90000"",""1"",""AMS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90000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6" s="15"/>
      <c r="D1946" s="16" t="str">
        <f>"AMS90"</f>
        <v>AMS90</v>
      </c>
      <c r="E1946" s="16">
        <v>90000</v>
      </c>
      <c r="F1946" s="16" t="str">
        <f t="shared" si="191"/>
        <v>AGR92</v>
      </c>
      <c r="G1946" s="17" t="str">
        <f t="shared" si="192"/>
        <v>Organic Gravenstein Apples - OR#2</v>
      </c>
      <c r="H1946" s="18" t="str">
        <f t="shared" si="188"/>
        <v>LBS</v>
      </c>
      <c r="I1946" s="19">
        <v>1</v>
      </c>
      <c r="J1946" s="20">
        <v>1</v>
      </c>
    </row>
    <row r="1947" spans="1:10" ht="15.75" thickBot="1" x14ac:dyDescent="0.3">
      <c r="A1947" t="s">
        <v>31</v>
      </c>
      <c r="B1947" s="15" t="str">
        <f>"""Manzana NAV"",""MANZANA"",""99000772"",""44"","" "",""22"",""False"",""43"",""0.00000000000000000000"",""12"",""Organic Gravenstein Apples - OR#2"",""50220"",""False"",""29"","""",""50210"",""False"",""18"","""",""11"",""AGR92"",""2"",""120000"",""1"",""AMPJ90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120000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7" s="15"/>
      <c r="D1947" s="16" t="str">
        <f>"AMPJ90"</f>
        <v>AMPJ90</v>
      </c>
      <c r="E1947" s="16">
        <v>120000</v>
      </c>
      <c r="F1947" s="16" t="str">
        <f t="shared" si="191"/>
        <v>AGR92</v>
      </c>
      <c r="G1947" s="17" t="str">
        <f t="shared" si="192"/>
        <v>Organic Gravenstein Apples - OR#2</v>
      </c>
      <c r="H1947" s="18" t="str">
        <f t="shared" si="188"/>
        <v>LBS</v>
      </c>
      <c r="I1947" s="19">
        <v>1</v>
      </c>
      <c r="J1947" s="20">
        <v>1</v>
      </c>
    </row>
    <row r="1948" spans="1:10" ht="15.75" thickBot="1" x14ac:dyDescent="0.3">
      <c r="A1948" t="s">
        <v>31</v>
      </c>
      <c r="B1948" s="15" t="str">
        <f>"""Manzana NAV"",""MANZANA"",""99000772"",""44"","" "",""22"",""False"",""43"",""0.00000000000000000000"",""12"",""Organic Gravenstein Apples - OR#2"",""50220"",""False"",""29"","""",""50210"",""False"",""18"","""",""11"",""AGR92"",""2"",""140000"",""1"",""AMPV90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140000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8" s="15"/>
      <c r="D1948" s="16" t="str">
        <f>"AMPV90"</f>
        <v>AMPV90</v>
      </c>
      <c r="E1948" s="16">
        <v>140000</v>
      </c>
      <c r="F1948" s="16" t="str">
        <f t="shared" si="191"/>
        <v>AGR92</v>
      </c>
      <c r="G1948" s="17" t="str">
        <f t="shared" si="192"/>
        <v>Organic Gravenstein Apples - OR#2</v>
      </c>
      <c r="H1948" s="18" t="str">
        <f t="shared" si="188"/>
        <v>LBS</v>
      </c>
      <c r="I1948" s="19">
        <v>1</v>
      </c>
      <c r="J1948" s="20">
        <v>1</v>
      </c>
    </row>
    <row r="1949" spans="1:10" ht="15.75" thickBot="1" x14ac:dyDescent="0.3">
      <c r="A1949" t="s">
        <v>31</v>
      </c>
      <c r="B1949" s="15" t="str">
        <f>"""Manzana NAV"",""MANZANA"",""99000772"",""44"","" "",""22"",""False"",""43"",""0.00000000000000000000"",""12"",""Organic Gravenstein Apples - PHC"",""50220"",""False"",""29"","""",""50210"",""False"",""18"","""",""11"",""AGR93"",""2"",""30000"",""1"",""AMPJ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30000","1","AMPJ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9" s="15"/>
      <c r="D1949" s="16" t="str">
        <f>"AMPJ91"</f>
        <v>AMPJ91</v>
      </c>
      <c r="E1949" s="16">
        <v>30000</v>
      </c>
      <c r="F1949" s="16" t="str">
        <f t="shared" ref="F1949:F1954" si="193">"AGR93"</f>
        <v>AGR93</v>
      </c>
      <c r="G1949" s="17" t="str">
        <f t="shared" ref="G1949:G1954" si="194">"Organic Gravenstein Apples - PHC"</f>
        <v>Organic Gravenstein Apples - PHC</v>
      </c>
      <c r="H1949" s="18" t="str">
        <f t="shared" si="188"/>
        <v>LBS</v>
      </c>
      <c r="I1949" s="19">
        <v>1</v>
      </c>
      <c r="J1949" s="20">
        <v>1</v>
      </c>
    </row>
    <row r="1950" spans="1:10" ht="15.75" thickBot="1" x14ac:dyDescent="0.3">
      <c r="A1950" t="s">
        <v>31</v>
      </c>
      <c r="B1950" s="15" t="str">
        <f>"""Manzana NAV"",""MANZANA"",""99000772"",""44"","" "",""22"",""False"",""43"",""0.00000000000000000000"",""12"",""Organic Gravenstein Apples - PHC"",""50220"",""False"",""29"","""",""50210"",""False"",""18"","""",""11"",""AGR93"",""2"",""40000"",""1"",""AMPV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40000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0" s="15"/>
      <c r="D1950" s="16" t="str">
        <f>"AMPV91"</f>
        <v>AMPV91</v>
      </c>
      <c r="E1950" s="16">
        <v>40000</v>
      </c>
      <c r="F1950" s="16" t="str">
        <f t="shared" si="193"/>
        <v>AGR93</v>
      </c>
      <c r="G1950" s="17" t="str">
        <f t="shared" si="194"/>
        <v>Organic Gravenstein Apples - PHC</v>
      </c>
      <c r="H1950" s="18" t="str">
        <f t="shared" si="188"/>
        <v>LBS</v>
      </c>
      <c r="I1950" s="19">
        <v>1</v>
      </c>
      <c r="J1950" s="20">
        <v>1</v>
      </c>
    </row>
    <row r="1951" spans="1:10" ht="15.75" thickBot="1" x14ac:dyDescent="0.3">
      <c r="A1951" t="s">
        <v>31</v>
      </c>
      <c r="B1951" s="15" t="str">
        <f>"""Manzana NAV"",""MANZANA"",""99000772"",""44"","" "",""22"",""False"",""43"",""0.00000000000000000000"",""12"",""Organic Gravenstein Apples - PHC"",""50220"",""False"",""29"","""",""50210"",""False"",""18"","""",""11"",""AGR93"",""2"",""40000"",""1"",""AMS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40000","1","AMS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1" s="15"/>
      <c r="D1951" s="16" t="str">
        <f>"AMS91"</f>
        <v>AMS91</v>
      </c>
      <c r="E1951" s="16">
        <v>40000</v>
      </c>
      <c r="F1951" s="16" t="str">
        <f t="shared" si="193"/>
        <v>AGR93</v>
      </c>
      <c r="G1951" s="17" t="str">
        <f t="shared" si="194"/>
        <v>Organic Gravenstein Apples - PHC</v>
      </c>
      <c r="H1951" s="18" t="str">
        <f t="shared" si="188"/>
        <v>LBS</v>
      </c>
      <c r="I1951" s="19">
        <v>1</v>
      </c>
      <c r="J1951" s="20">
        <v>1</v>
      </c>
    </row>
    <row r="1952" spans="1:10" ht="15.75" thickBot="1" x14ac:dyDescent="0.3">
      <c r="A1952" t="s">
        <v>31</v>
      </c>
      <c r="B1952" s="15" t="str">
        <f>"""Manzana NAV"",""MANZANA"",""99000772"",""44"","" "",""22"",""False"",""43"",""0.00000000000000000000"",""12"",""Organic Gravenstein Apples - PHC"",""50220"",""False"",""29"","""",""50210"",""False"",""18"","""",""11"",""AGR93"",""2"",""100000"",""1"",""AMS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100000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2" s="15"/>
      <c r="D1952" s="16" t="str">
        <f>"AMS90"</f>
        <v>AMS90</v>
      </c>
      <c r="E1952" s="16">
        <v>100000</v>
      </c>
      <c r="F1952" s="16" t="str">
        <f t="shared" si="193"/>
        <v>AGR93</v>
      </c>
      <c r="G1952" s="17" t="str">
        <f t="shared" si="194"/>
        <v>Organic Gravenstein Apples - PHC</v>
      </c>
      <c r="H1952" s="18" t="str">
        <f t="shared" si="188"/>
        <v>LBS</v>
      </c>
      <c r="I1952" s="19">
        <v>1</v>
      </c>
      <c r="J1952" s="20">
        <v>1</v>
      </c>
    </row>
    <row r="1953" spans="1:10" ht="15.75" thickBot="1" x14ac:dyDescent="0.3">
      <c r="A1953" t="s">
        <v>31</v>
      </c>
      <c r="B1953" s="15" t="str">
        <f>"""Manzana NAV"",""MANZANA"",""99000772"",""44"","" "",""22"",""False"",""43"",""0.00000000000000000000"",""12"",""Organic Gravenstein Apples - PHC"",""50220"",""False"",""29"","""",""50210"",""False"",""18"","""",""11"",""AGR93"",""2"",""130000"",""1"",""AMPJ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130000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3" s="15"/>
      <c r="D1953" s="16" t="str">
        <f>"AMPJ90"</f>
        <v>AMPJ90</v>
      </c>
      <c r="E1953" s="16">
        <v>130000</v>
      </c>
      <c r="F1953" s="16" t="str">
        <f t="shared" si="193"/>
        <v>AGR93</v>
      </c>
      <c r="G1953" s="17" t="str">
        <f t="shared" si="194"/>
        <v>Organic Gravenstein Apples - PHC</v>
      </c>
      <c r="H1953" s="18" t="str">
        <f t="shared" si="188"/>
        <v>LBS</v>
      </c>
      <c r="I1953" s="19">
        <v>1</v>
      </c>
      <c r="J1953" s="20">
        <v>1</v>
      </c>
    </row>
    <row r="1954" spans="1:10" ht="15.75" thickBot="1" x14ac:dyDescent="0.3">
      <c r="A1954" t="s">
        <v>31</v>
      </c>
      <c r="B1954" s="15" t="str">
        <f>"""Manzana NAV"",""MANZANA"",""99000772"",""44"","" "",""22"",""False"",""43"",""0.00000000000000000000"",""12"",""Organic Gravenstein Apples - PHC"",""50220"",""False"",""29"","""",""50210"",""False"",""18"","""",""11"",""AGR93"",""2"",""150000"",""1"",""AMPV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150000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4" s="15"/>
      <c r="D1954" s="16" t="str">
        <f>"AMPV90"</f>
        <v>AMPV90</v>
      </c>
      <c r="E1954" s="16">
        <v>150000</v>
      </c>
      <c r="F1954" s="16" t="str">
        <f t="shared" si="193"/>
        <v>AGR93</v>
      </c>
      <c r="G1954" s="17" t="str">
        <f t="shared" si="194"/>
        <v>Organic Gravenstein Apples - PHC</v>
      </c>
      <c r="H1954" s="18" t="str">
        <f t="shared" si="188"/>
        <v>LBS</v>
      </c>
      <c r="I1954" s="19">
        <v>1</v>
      </c>
      <c r="J1954" s="20">
        <v>1</v>
      </c>
    </row>
    <row r="1955" spans="1:10" ht="15.75" thickBot="1" x14ac:dyDescent="0.3">
      <c r="A1955" t="s">
        <v>31</v>
      </c>
      <c r="B1955" s="15" t="str">
        <f>"""Manzana NAV"",""MANZANA"",""99000772"",""44"","" "",""22"",""False"",""43"",""0.00000000000000000000"",""12"",""Organic Gravenstein Apples - Sort-outs"",""50220"",""False"",""29"","""",""50210"",""False"",""18"","""",""11"",""AGR95"",""2"",""60000"",""1"",""AMPV91"",""14"",""1.00000000000000000000"",""45"","""&amp;"1.00000000000000000000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Sort-outs","50220","False","29","","50210","False","18","","11","AGR95","2","60000","1","AMPV91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1955" s="15"/>
      <c r="D1955" s="16" t="str">
        <f>"AMPV91"</f>
        <v>AMPV91</v>
      </c>
      <c r="E1955" s="16">
        <v>60000</v>
      </c>
      <c r="F1955" s="16" t="str">
        <f>"AGR95"</f>
        <v>AGR95</v>
      </c>
      <c r="G1955" s="17" t="str">
        <f>"Organic Gravenstein Apples - Sort-outs"</f>
        <v>Organic Gravenstein Apples - Sort-outs</v>
      </c>
      <c r="H1955" s="18" t="str">
        <f t="shared" si="188"/>
        <v>LBS</v>
      </c>
      <c r="I1955" s="19">
        <v>1</v>
      </c>
      <c r="J1955" s="20">
        <v>1</v>
      </c>
    </row>
    <row r="1956" spans="1:10" ht="15.75" thickBot="1" x14ac:dyDescent="0.3">
      <c r="A1956" t="s">
        <v>31</v>
      </c>
      <c r="B1956" s="15" t="str">
        <f>"""Manzana NAV"",""MANZANA"",""99000772"",""44"","" "",""22"",""False"",""43"",""0.00000000000000000000"",""12"",""Organic Gravenstein Apples - Sort-outs"",""50220"",""False"",""29"","""",""50210"",""False"",""18"","""",""11"",""AGR95"",""2"",""170000"",""1"",""AMPV90"",""14"",""1.00000000000000000000"",""45"","&amp;"""1.00000000000000000000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Sort-outs","50220","False","29","","50210","False","18","","11","AGR95","2","170000","1","AMPV90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1956" s="15"/>
      <c r="D1956" s="16" t="str">
        <f>"AMPV90"</f>
        <v>AMPV90</v>
      </c>
      <c r="E1956" s="16">
        <v>170000</v>
      </c>
      <c r="F1956" s="16" t="str">
        <f>"AGR95"</f>
        <v>AGR95</v>
      </c>
      <c r="G1956" s="17" t="str">
        <f>"Organic Gravenstein Apples - Sort-outs"</f>
        <v>Organic Gravenstein Apples - Sort-outs</v>
      </c>
      <c r="H1956" s="18" t="str">
        <f t="shared" si="188"/>
        <v>LBS</v>
      </c>
      <c r="I1956" s="19">
        <v>1</v>
      </c>
      <c r="J1956" s="20">
        <v>1</v>
      </c>
    </row>
    <row r="1957" spans="1:10" ht="15.75" thickBot="1" x14ac:dyDescent="0.3">
      <c r="A1957" t="s">
        <v>31</v>
      </c>
      <c r="B1957" s="15" t="str">
        <f>"""Manzana NAV"",""MANZANA"",""99000772"",""44"","" "",""22"",""False"",""43"",""0.00000000000000000000"",""12"",""Organic Gravenstein Apples - Vinegar"",""50220"",""False"",""29"","""",""50210"",""False"",""18"","""",""11"",""AGR90"",""2"",""10000"",""1"",""AMPV91"",""14"",""1.00000000000000000000"",""45"",""1."&amp;"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Vinegar","50220","False","29","","50210","False","18","","11","AGR90","2","10000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7" s="15"/>
      <c r="D1957" s="16" t="str">
        <f>"AMPV91"</f>
        <v>AMPV91</v>
      </c>
      <c r="E1957" s="16">
        <v>10000</v>
      </c>
      <c r="F1957" s="16" t="str">
        <f>"AGR90"</f>
        <v>AGR90</v>
      </c>
      <c r="G1957" s="17" t="str">
        <f>"Organic Gravenstein Apples - Vinegar"</f>
        <v>Organic Gravenstein Apples - Vinegar</v>
      </c>
      <c r="H1957" s="18" t="str">
        <f t="shared" si="188"/>
        <v>LBS</v>
      </c>
      <c r="I1957" s="19">
        <v>1</v>
      </c>
      <c r="J1957" s="20">
        <v>1</v>
      </c>
    </row>
    <row r="1958" spans="1:10" ht="15.75" thickBot="1" x14ac:dyDescent="0.3">
      <c r="A1958" t="s">
        <v>31</v>
      </c>
      <c r="B1958" s="15" t="str">
        <f>"""Manzana NAV"",""MANZANA"",""99000772"",""44"","" "",""22"",""False"",""43"",""0.00000000000000000000"",""12"",""Organic Gravenstein Apples - Vinegar"",""50220"",""False"",""29"","""",""50210"",""False"",""18"","""",""11"",""AGR90"",""2"",""120000"",""1"",""AMPV90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Vinegar","50220","False","29","","50210","False","18","","11","AGR90","2","120000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8" s="15"/>
      <c r="D1958" s="16" t="str">
        <f>"AMPV90"</f>
        <v>AMPV90</v>
      </c>
      <c r="E1958" s="16">
        <v>120000</v>
      </c>
      <c r="F1958" s="16" t="str">
        <f>"AGR90"</f>
        <v>AGR90</v>
      </c>
      <c r="G1958" s="17" t="str">
        <f>"Organic Gravenstein Apples - Vinegar"</f>
        <v>Organic Gravenstein Apples - Vinegar</v>
      </c>
      <c r="H1958" s="18" t="str">
        <f t="shared" si="188"/>
        <v>LBS</v>
      </c>
      <c r="I1958" s="19">
        <v>1</v>
      </c>
      <c r="J1958" s="20">
        <v>1</v>
      </c>
    </row>
    <row r="1959" spans="1:10" ht="15.75" thickBot="1" x14ac:dyDescent="0.3">
      <c r="A1959" t="s">
        <v>31</v>
      </c>
      <c r="B1959" s="15" t="str">
        <f>"""Manzana NAV"",""MANZANA"",""99000772"",""44"","" "",""22"",""False"",""43"",""0.00000000000000000000"",""12"",""Organic Honeycrisp Apple Mix for Pressing Juice"",""50220"",""False"",""29"","""",""50210"",""False"",""18"","""",""11"",""AMPJ94"",""2"",""10000"",""1"",""FJ9970"",""14"",""11.00000000000000000"&amp;"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Honeycrisp Apple Mix for Pressing Juice","50220","False","29","","50210","False","18","","11","AMPJ94","2","10000","1","FJ9970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59" s="15"/>
      <c r="D1959" s="16" t="str">
        <f>"FJ9970"</f>
        <v>FJ9970</v>
      </c>
      <c r="E1959" s="16">
        <v>10000</v>
      </c>
      <c r="F1959" s="16" t="str">
        <f>"AMPJ94"</f>
        <v>AMPJ94</v>
      </c>
      <c r="G1959" s="17" t="str">
        <f>"Organic Honeycrisp Apple Mix for Pressing Juice"</f>
        <v>Organic Honeycrisp Apple Mix for Pressing Juice</v>
      </c>
      <c r="H1959" s="18" t="str">
        <f t="shared" si="188"/>
        <v>LBS</v>
      </c>
      <c r="I1959" s="19">
        <v>11</v>
      </c>
      <c r="J1959" s="20">
        <v>11</v>
      </c>
    </row>
    <row r="1960" spans="1:10" ht="15.75" thickBot="1" x14ac:dyDescent="0.3">
      <c r="A1960" t="s">
        <v>31</v>
      </c>
      <c r="B1960" s="15" t="str">
        <f>"""Manzana NAV"",""MANZANA"",""99000772"",""44"","" "",""22"",""False"",""43"",""0.00000000000000000000"",""12"",""Organic Honeycrisp Apples - PHC"",""50220"",""False"",""29"","""",""50210"",""False"",""18"","""",""11"",""AHC93"",""2"",""10000"",""1"",""AMPJ94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10000","1","AMPJ94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0" s="15"/>
      <c r="D1960" s="16" t="str">
        <f>"AMPJ94"</f>
        <v>AMPJ94</v>
      </c>
      <c r="E1960" s="16">
        <v>10000</v>
      </c>
      <c r="F1960" s="16" t="str">
        <f>"AHC93"</f>
        <v>AHC93</v>
      </c>
      <c r="G1960" s="17" t="str">
        <f>"Organic Honeycrisp Apples - PHC"</f>
        <v>Organic Honeycrisp Apples - PHC</v>
      </c>
      <c r="H1960" s="18" t="str">
        <f t="shared" si="188"/>
        <v>LBS</v>
      </c>
      <c r="I1960" s="19">
        <v>1</v>
      </c>
      <c r="J1960" s="20">
        <v>1</v>
      </c>
    </row>
    <row r="1961" spans="1:10" ht="15.75" thickBot="1" x14ac:dyDescent="0.3">
      <c r="A1961" t="s">
        <v>31</v>
      </c>
      <c r="B1961" s="15" t="str">
        <f>"""Manzana NAV"",""MANZANA"",""99000772"",""44"","" "",""22"",""False"",""43"",""0.00000000000000000000"",""12"",""Organic Honeycrisp Apples - PHC"",""50220"",""False"",""29"","""",""50210"",""False"",""18"","""",""11"",""AHC93"",""2"",""130000"",""1"",""AMS90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130000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1" s="15"/>
      <c r="D1961" s="16" t="str">
        <f>"AMS90"</f>
        <v>AMS90</v>
      </c>
      <c r="E1961" s="16">
        <v>130000</v>
      </c>
      <c r="F1961" s="16" t="str">
        <f>"AHC93"</f>
        <v>AHC93</v>
      </c>
      <c r="G1961" s="17" t="str">
        <f>"Organic Honeycrisp Apples - PHC"</f>
        <v>Organic Honeycrisp Apples - PHC</v>
      </c>
      <c r="H1961" s="18" t="str">
        <f t="shared" ref="H1961:H1967" si="195">"LBS"</f>
        <v>LBS</v>
      </c>
      <c r="I1961" s="19">
        <v>1</v>
      </c>
      <c r="J1961" s="20">
        <v>1</v>
      </c>
    </row>
    <row r="1962" spans="1:10" ht="15.75" thickBot="1" x14ac:dyDescent="0.3">
      <c r="A1962" t="s">
        <v>31</v>
      </c>
      <c r="B1962" s="15" t="str">
        <f>"""Manzana NAV"",""MANZANA"",""99000772"",""44"","" "",""22"",""False"",""43"",""0.00000000000000000000"",""12"",""Organic Honeycrisp Apples - PHC"",""50220"",""False"",""29"","""",""50210"",""False"",""18"","""",""11"",""AHC93"",""2"",""180000"",""1"",""AMPJ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180000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2" s="15"/>
      <c r="D1962" s="16" t="str">
        <f>"AMPJ90"</f>
        <v>AMPJ90</v>
      </c>
      <c r="E1962" s="16">
        <v>180000</v>
      </c>
      <c r="F1962" s="16" t="str">
        <f>"AHC93"</f>
        <v>AHC93</v>
      </c>
      <c r="G1962" s="17" t="str">
        <f>"Organic Honeycrisp Apples - PHC"</f>
        <v>Organic Honeycrisp Apples - PHC</v>
      </c>
      <c r="H1962" s="18" t="str">
        <f t="shared" si="195"/>
        <v>LBS</v>
      </c>
      <c r="I1962" s="19">
        <v>1</v>
      </c>
      <c r="J1962" s="20">
        <v>1</v>
      </c>
    </row>
    <row r="1963" spans="1:10" ht="15.75" thickBot="1" x14ac:dyDescent="0.3">
      <c r="A1963" t="s">
        <v>31</v>
      </c>
      <c r="B1963" s="15" t="str">
        <f>"""Manzana NAV"",""MANZANA"",""99000772"",""44"","" "",""22"",""False"",""43"",""0.00000000000000000000"",""12"",""Organic Honeycrisp Apples - PHC"",""50220"",""False"",""29"","""",""50210"",""False"",""18"","""",""11"",""AHC93"",""2"",""220000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220000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3" s="15"/>
      <c r="D1963" s="16" t="str">
        <f>"AMPV90"</f>
        <v>AMPV90</v>
      </c>
      <c r="E1963" s="16">
        <v>220000</v>
      </c>
      <c r="F1963" s="16" t="str">
        <f>"AHC93"</f>
        <v>AHC93</v>
      </c>
      <c r="G1963" s="17" t="str">
        <f>"Organic Honeycrisp Apples - PHC"</f>
        <v>Organic Honeycrisp Apples - PHC</v>
      </c>
      <c r="H1963" s="18" t="str">
        <f t="shared" si="195"/>
        <v>LBS</v>
      </c>
      <c r="I1963" s="19">
        <v>1</v>
      </c>
      <c r="J1963" s="20">
        <v>1</v>
      </c>
    </row>
    <row r="1964" spans="1:10" ht="15.75" thickBot="1" x14ac:dyDescent="0.3">
      <c r="A1964" t="s">
        <v>31</v>
      </c>
      <c r="B1964" s="15" t="str">
        <f>"""Manzana NAV"",""MANZANA"",""99000772"",""44"","" "",""22"",""False"",""43"",""0.00000000000000000000"",""12"",""Organic HoneyCrisp Apples - PHC Sauce Peelers"",""50220"",""False"",""29"","""",""50210"",""False"",""18"","""",""11"",""AHC93-P"",""2"",""20000"",""1"",""AMPJ94"",""14"",""1.0000000000000000000"&amp;"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20000","1","AMPJ94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4" s="15"/>
      <c r="D1964" s="16" t="str">
        <f>"AMPJ94"</f>
        <v>AMPJ94</v>
      </c>
      <c r="E1964" s="16">
        <v>20000</v>
      </c>
      <c r="F1964" s="16" t="str">
        <f>"AHC93-P"</f>
        <v>AHC93-P</v>
      </c>
      <c r="G1964" s="17" t="str">
        <f>"Organic HoneyCrisp Apples - PHC Sauce Peelers"</f>
        <v>Organic HoneyCrisp Apples - PHC Sauce Peelers</v>
      </c>
      <c r="H1964" s="18" t="str">
        <f t="shared" si="195"/>
        <v>LBS</v>
      </c>
      <c r="I1964" s="19">
        <v>1</v>
      </c>
      <c r="J1964" s="20">
        <v>1</v>
      </c>
    </row>
    <row r="1965" spans="1:10" ht="15.75" thickBot="1" x14ac:dyDescent="0.3">
      <c r="A1965" t="s">
        <v>31</v>
      </c>
      <c r="B1965" s="15" t="str">
        <f>"""Manzana NAV"",""MANZANA"",""99000772"",""44"","" "",""22"",""False"",""43"",""0.00000000000000000000"",""12"",""Organic HoneyCrisp Apples - PHC Sauce Peelers"",""50220"",""False"",""29"","""",""50210"",""False"",""18"","""",""11"",""AHC93-P"",""2"",""140000"",""1"",""AMS90"",""14"",""1.0000000000000000000"&amp;"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140000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5" s="15"/>
      <c r="D1965" s="16" t="str">
        <f>"AMS90"</f>
        <v>AMS90</v>
      </c>
      <c r="E1965" s="16">
        <v>140000</v>
      </c>
      <c r="F1965" s="16" t="str">
        <f>"AHC93-P"</f>
        <v>AHC93-P</v>
      </c>
      <c r="G1965" s="17" t="str">
        <f>"Organic HoneyCrisp Apples - PHC Sauce Peelers"</f>
        <v>Organic HoneyCrisp Apples - PHC Sauce Peelers</v>
      </c>
      <c r="H1965" s="18" t="str">
        <f t="shared" si="195"/>
        <v>LBS</v>
      </c>
      <c r="I1965" s="19">
        <v>1</v>
      </c>
      <c r="J1965" s="20">
        <v>1</v>
      </c>
    </row>
    <row r="1966" spans="1:10" ht="15.75" thickBot="1" x14ac:dyDescent="0.3">
      <c r="A1966" t="s">
        <v>31</v>
      </c>
      <c r="B1966" s="15" t="str">
        <f>"""Manzana NAV"",""MANZANA"",""99000772"",""44"","" "",""22"",""False"",""43"",""0.00000000000000000000"",""12"",""Organic HoneyCrisp Apples - PHC Sauce Peelers"",""50220"",""False"",""29"","""",""50210"",""False"",""18"","""",""11"",""AHC93-P"",""2"",""190000"",""1"",""AMPJ90"",""14"",""1.000000000000000000"&amp;"00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190000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6" s="15"/>
      <c r="D1966" s="16" t="str">
        <f>"AMPJ90"</f>
        <v>AMPJ90</v>
      </c>
      <c r="E1966" s="16">
        <v>190000</v>
      </c>
      <c r="F1966" s="16" t="str">
        <f>"AHC93-P"</f>
        <v>AHC93-P</v>
      </c>
      <c r="G1966" s="17" t="str">
        <f>"Organic HoneyCrisp Apples - PHC Sauce Peelers"</f>
        <v>Organic HoneyCrisp Apples - PHC Sauce Peelers</v>
      </c>
      <c r="H1966" s="18" t="str">
        <f t="shared" si="195"/>
        <v>LBS</v>
      </c>
      <c r="I1966" s="19">
        <v>1</v>
      </c>
      <c r="J1966" s="20">
        <v>1</v>
      </c>
    </row>
    <row r="1967" spans="1:10" ht="15.75" thickBot="1" x14ac:dyDescent="0.3">
      <c r="A1967" t="s">
        <v>31</v>
      </c>
      <c r="B1967" s="15" t="str">
        <f>"""Manzana NAV"",""MANZANA"",""99000772"",""44"","" "",""22"",""False"",""43"",""0.00000000000000000000"",""12"",""Organic HoneyCrisp Apples - PHC Sauce Peelers"",""50220"",""False"",""29"","""",""50210"",""False"",""18"","""",""11"",""AHC93-P"",""2"",""230000"",""1"",""AMPV90"",""14"",""1.000000000000000000"&amp;"00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230000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7" s="15"/>
      <c r="D1967" s="16" t="str">
        <f>"AMPV90"</f>
        <v>AMPV90</v>
      </c>
      <c r="E1967" s="16">
        <v>230000</v>
      </c>
      <c r="F1967" s="16" t="str">
        <f>"AHC93-P"</f>
        <v>AHC93-P</v>
      </c>
      <c r="G1967" s="17" t="str">
        <f>"Organic HoneyCrisp Apples - PHC Sauce Peelers"</f>
        <v>Organic HoneyCrisp Apples - PHC Sauce Peelers</v>
      </c>
      <c r="H1967" s="18" t="str">
        <f t="shared" si="195"/>
        <v>LBS</v>
      </c>
      <c r="I1967" s="19">
        <v>1</v>
      </c>
      <c r="J1967" s="20">
        <v>1</v>
      </c>
    </row>
    <row r="1968" spans="1:10" ht="15.75" thickBot="1" x14ac:dyDescent="0.3">
      <c r="A1968" t="s">
        <v>31</v>
      </c>
      <c r="B1968" s="15" t="str">
        <f>"""Manzana NAV"",""MANZANA"",""99000772"",""44"","" "",""22"",""False"",""43"",""0.00000000000000000000"",""12"",""Organic Kosher Imported Vinegar"",""50220"",""False"",""29"","""",""50210"",""False"",""18"","""",""11"",""IV798"",""2"",""20000"",""1"",""IV899J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Kosher Imported Vinegar","50220","False","29","","50210","False","18","","11","IV798","2","20000","1","IV899J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968" s="15"/>
      <c r="D1968" s="16" t="str">
        <f>"IV899J"</f>
        <v>IV899J</v>
      </c>
      <c r="E1968" s="16">
        <v>20000</v>
      </c>
      <c r="F1968" s="16" t="str">
        <f>"IV798"</f>
        <v>IV798</v>
      </c>
      <c r="G1968" s="17" t="str">
        <f>"Organic Kosher Imported Vinegar"</f>
        <v>Organic Kosher Imported Vinegar</v>
      </c>
      <c r="H1968" s="18" t="str">
        <f>"GAL"</f>
        <v>GAL</v>
      </c>
      <c r="I1968" s="19">
        <v>1</v>
      </c>
      <c r="J1968" s="20">
        <v>1</v>
      </c>
    </row>
    <row r="1969" spans="1:10" ht="15.75" thickBot="1" x14ac:dyDescent="0.3">
      <c r="A1969" t="s">
        <v>31</v>
      </c>
      <c r="B1969" s="15" t="str">
        <f>"""Manzana NAV"",""MANZANA"",""99000772"",""44"","" "",""22"",""False"",""43"",""0.00000000000000000000"",""12"",""Organic Lemon Juice Concentrate"",""50220"",""False"",""29"","""",""50210"",""False"",""18"","""",""11"",""I0023"",""2"",""20000"",""1"",""ISC31"",""14"",""0.00240000000000000000"",""45"",""0.002400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20000","1","ISC31","14","0.00240000000000000000","45","0.00240000000000000000","19","","20","0.00000000000000000000","50000","0.00000000000000000000","50230","False","28","","10","Item","13","LBS","21","","3","","42","0.00000000000000000000","50200","False","41","0.00000000000000000000"</v>
      </c>
      <c r="C1969" s="15"/>
      <c r="D1969" s="16" t="str">
        <f>"ISC31"</f>
        <v>ISC31</v>
      </c>
      <c r="E1969" s="16">
        <v>20000</v>
      </c>
      <c r="F1969" s="16" t="str">
        <f>"I0023"</f>
        <v>I0023</v>
      </c>
      <c r="G1969" s="17" t="str">
        <f>"Organic Lemon Juice Concentrate"</f>
        <v>Organic Lemon Juice Concentrate</v>
      </c>
      <c r="H1969" s="18" t="str">
        <f t="shared" ref="H1969:H1980" si="196">"LBS"</f>
        <v>LBS</v>
      </c>
      <c r="I1969" s="19">
        <v>2.3999999999999998E-3</v>
      </c>
      <c r="J1969" s="20">
        <v>2.3999999999999998E-3</v>
      </c>
    </row>
    <row r="1970" spans="1:10" ht="15.75" thickBot="1" x14ac:dyDescent="0.3">
      <c r="A1970" t="s">
        <v>31</v>
      </c>
      <c r="B1970" s="15" t="str">
        <f>"""Manzana NAV"",""MANZANA"",""99000772"",""44"","" "",""22"",""False"",""43"",""0.00000000000000000000"",""12"",""Organic Lemon Juice Concentrate"",""50220"",""False"",""29"","""",""50210"",""False"",""18"","""",""11"",""I0023"",""2"",""20000"",""1"",""ISC36"",""14"",""0.00350000000000000000"",""45"",""0.003500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20000","1","ISC36","14","0.00350000000000000000","45","0.00350000000000000000","19","","20","0.00000000000000000000","50000","0.00000000000000000000","50230","False","28","","10","Item","13","LBS","21","","3","","42","0.00000000000000000000","50200","False","41","0.00000000000000000000"</v>
      </c>
      <c r="C1970" s="15"/>
      <c r="D1970" s="16" t="str">
        <f>"ISC36"</f>
        <v>ISC36</v>
      </c>
      <c r="E1970" s="16">
        <v>20000</v>
      </c>
      <c r="F1970" s="16" t="str">
        <f>"I0023"</f>
        <v>I0023</v>
      </c>
      <c r="G1970" s="17" t="str">
        <f>"Organic Lemon Juice Concentrate"</f>
        <v>Organic Lemon Juice Concentrate</v>
      </c>
      <c r="H1970" s="18" t="str">
        <f t="shared" si="196"/>
        <v>LBS</v>
      </c>
      <c r="I1970" s="19">
        <v>3.5000000000000001E-3</v>
      </c>
      <c r="J1970" s="20">
        <v>3.5000000000000001E-3</v>
      </c>
    </row>
    <row r="1971" spans="1:10" ht="15.75" thickBot="1" x14ac:dyDescent="0.3">
      <c r="A1971" t="s">
        <v>31</v>
      </c>
      <c r="B1971" s="15" t="str">
        <f>"""Manzana NAV"",""MANZANA"",""99000772"",""44"","" "",""22"",""False"",""43"",""0.00000000000000000000"",""12"",""Organic Lemon Juice Concentrate"",""50220"",""False"",""29"","""",""50210"",""False"",""18"","""",""11"",""I0023"",""2"",""30000"",""1"",""ISC35"",""14"",""0.00100000000000000000"",""45"",""0.001000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30000","1","ISC35","14","0.00100000000000000000","45","0.00100000000000000000","19","","20","0.00000000000000000000","50000","0.00000000000000000000","50230","False","28","","10","Item","13","LBS","21","","3","","42","0.00000000000000000000","50200","False","41","0.00000000000000000000"</v>
      </c>
      <c r="C1971" s="15"/>
      <c r="D1971" s="16" t="str">
        <f>"ISC35"</f>
        <v>ISC35</v>
      </c>
      <c r="E1971" s="16">
        <v>30000</v>
      </c>
      <c r="F1971" s="16" t="str">
        <f>"I0023"</f>
        <v>I0023</v>
      </c>
      <c r="G1971" s="17" t="str">
        <f>"Organic Lemon Juice Concentrate"</f>
        <v>Organic Lemon Juice Concentrate</v>
      </c>
      <c r="H1971" s="18" t="str">
        <f t="shared" si="196"/>
        <v>LBS</v>
      </c>
      <c r="I1971" s="19">
        <v>1E-3</v>
      </c>
      <c r="J1971" s="20">
        <v>1E-3</v>
      </c>
    </row>
    <row r="1972" spans="1:10" ht="15.75" thickBot="1" x14ac:dyDescent="0.3">
      <c r="A1972" t="s">
        <v>31</v>
      </c>
      <c r="B1972" s="15" t="str">
        <f>"""Manzana NAV"",""MANZANA"",""99000772"",""44"","" "",""22"",""False"",""43"",""0.00000000000000000000"",""12"",""Organic Lemon Juice Concentrate"",""50220"",""False"",""29"","""",""50210"",""False"",""18"","""",""11"",""I0023"",""2"",""30000"",""1"",""ISC37"",""14"",""0.00260000000000000000"",""45"",""0.002600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30000","1","ISC37","14","0.00260000000000000000","45","0.00260000000000000000","19","","20","0.00000000000000000000","50000","0.00000000000000000000","50230","False","28","","10","Item","13","LBS","21","","3","","42","0.00000000000000000000","50200","False","41","0.00000000000000000000"</v>
      </c>
      <c r="C1972" s="15"/>
      <c r="D1972" s="16" t="str">
        <f>"ISC37"</f>
        <v>ISC37</v>
      </c>
      <c r="E1972" s="16">
        <v>30000</v>
      </c>
      <c r="F1972" s="16" t="str">
        <f>"I0023"</f>
        <v>I0023</v>
      </c>
      <c r="G1972" s="17" t="str">
        <f>"Organic Lemon Juice Concentrate"</f>
        <v>Organic Lemon Juice Concentrate</v>
      </c>
      <c r="H1972" s="18" t="str">
        <f t="shared" si="196"/>
        <v>LBS</v>
      </c>
      <c r="I1972" s="19">
        <v>2.5999999999999999E-3</v>
      </c>
      <c r="J1972" s="20">
        <v>2.5999999999999999E-3</v>
      </c>
    </row>
    <row r="1973" spans="1:10" ht="15.75" thickBot="1" x14ac:dyDescent="0.3">
      <c r="A1973" t="s">
        <v>31</v>
      </c>
      <c r="B1973" s="15" t="str">
        <f>"""Manzana NAV"",""MANZANA"",""99000772"",""44"","" "",""22"",""False"",""43"",""0.00000000000000000000"",""12"",""Organic Mango Puree- Cust-owned"",""50220"",""False"",""29"","""",""50210"",""False"",""18"","""",""11"",""I9002"",""2"",""20000"",""1"",""ISC30"",""14"",""0.15000000000000000000"",""45"",""0.150000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Mango Puree- Cust-owned","50220","False","29","","50210","False","18","","11","I9002","2","20000","1","ISC30","14","0.15000000000000000000","45","0.15000000000000000000","19","","20","0.00000000000000000000","50000","0.00000000000000000000","50230","False","28","","10","Item","13","LBS","21","","3","","42","0.00000000000000000000","50200","False","41","0.00000000000000000000"</v>
      </c>
      <c r="C1973" s="15"/>
      <c r="D1973" s="16" t="str">
        <f>"ISC30"</f>
        <v>ISC30</v>
      </c>
      <c r="E1973" s="16">
        <v>20000</v>
      </c>
      <c r="F1973" s="16" t="str">
        <f>"I9002"</f>
        <v>I9002</v>
      </c>
      <c r="G1973" s="17" t="str">
        <f>"Organic Mango Puree- Cust-owned"</f>
        <v>Organic Mango Puree- Cust-owned</v>
      </c>
      <c r="H1973" s="18" t="str">
        <f t="shared" si="196"/>
        <v>LBS</v>
      </c>
      <c r="I1973" s="19">
        <v>0.15</v>
      </c>
      <c r="J1973" s="20">
        <v>0.15</v>
      </c>
    </row>
    <row r="1974" spans="1:10" ht="15.75" thickBot="1" x14ac:dyDescent="0.3">
      <c r="A1974" t="s">
        <v>31</v>
      </c>
      <c r="B1974" s="15" t="str">
        <f>"""Manzana NAV"",""MANZANA"",""99000772"",""44"","" "",""22"",""False"",""43"",""0.00000000000000000000"",""12"",""Organic Nutmeg - Cust-owned"",""50220"",""False"",""29"","""",""50210"",""False"",""18"","""",""11"",""I9013"",""2"",""70000"",""1"",""ISC29"",""14"",""0.00700000000000000000"",""45"",""0.0070000000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Nutmeg - Cust-owned","50220","False","29","","50210","False","18","","11","I9013","2","70000","1","ISC29","14","0.00700000000000000000","45","0.00700000000000000000","19","","20","0.00000000000000000000","50000","0.00000000000000000000","50230","False","28","","10","Item","13","LBS","21","","3","","42","0.00000000000000000000","50200","False","41","0.00000000000000000000"</v>
      </c>
      <c r="C1974" s="15"/>
      <c r="D1974" s="16" t="str">
        <f>"ISC29"</f>
        <v>ISC29</v>
      </c>
      <c r="E1974" s="16">
        <v>70000</v>
      </c>
      <c r="F1974" s="16" t="str">
        <f>"I9013"</f>
        <v>I9013</v>
      </c>
      <c r="G1974" s="17" t="str">
        <f>"Organic Nutmeg - Cust-owned"</f>
        <v>Organic Nutmeg - Cust-owned</v>
      </c>
      <c r="H1974" s="18" t="str">
        <f t="shared" si="196"/>
        <v>LBS</v>
      </c>
      <c r="I1974" s="19">
        <v>7.0000000000000001E-3</v>
      </c>
      <c r="J1974" s="20">
        <v>7.0000000000000001E-3</v>
      </c>
    </row>
    <row r="1975" spans="1:10" ht="15.75" thickBot="1" x14ac:dyDescent="0.3">
      <c r="A1975" t="s">
        <v>31</v>
      </c>
      <c r="B1975" s="15" t="str">
        <f>"""Manzana NAV"",""MANZANA"",""99000772"",""44"","" "",""22"",""False"",""43"",""0.00000000000000000000"",""12"",""Organic Peach Puree"",""50220"",""False"",""29"","""",""50210"",""False"",""18"","""",""11"",""I0015"",""2"",""20000"",""1"",""ISC24"",""14"",""0.10140000000000000000"",""45"",""0.101400000000000000"&amp;"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Peach Puree","50220","False","29","","50210","False","18","","11","I0015","2","20000","1","ISC24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975" s="15"/>
      <c r="D1975" s="16" t="str">
        <f>"ISC24"</f>
        <v>ISC24</v>
      </c>
      <c r="E1975" s="16">
        <v>20000</v>
      </c>
      <c r="F1975" s="16" t="str">
        <f>"I0015"</f>
        <v>I0015</v>
      </c>
      <c r="G1975" s="17" t="str">
        <f>"Organic Peach Puree"</f>
        <v>Organic Peach Puree</v>
      </c>
      <c r="H1975" s="18" t="str">
        <f t="shared" si="196"/>
        <v>LBS</v>
      </c>
      <c r="I1975" s="19">
        <v>0.1014</v>
      </c>
      <c r="J1975" s="20">
        <v>0.1014</v>
      </c>
    </row>
    <row r="1976" spans="1:10" ht="15.75" thickBot="1" x14ac:dyDescent="0.3">
      <c r="A1976" t="s">
        <v>31</v>
      </c>
      <c r="B1976" s="15" t="str">
        <f>"""Manzana NAV"",""MANZANA"",""99000772"",""44"","" "",""22"",""False"",""43"",""0.00000000000000000000"",""12"",""Organic Peach Puree- Cust-owned"",""50220"",""False"",""29"","""",""50210"",""False"",""18"","""",""11"",""I9016"",""2"",""10000"",""1"",""ISC33"",""14"",""0.10140000000000000000"",""45"",""0.101400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Peach Puree- Cust-owned","50220","False","29","","50210","False","18","","11","I9016","2","10000","1","ISC33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976" s="15"/>
      <c r="D1976" s="16" t="str">
        <f>"ISC33"</f>
        <v>ISC33</v>
      </c>
      <c r="E1976" s="16">
        <v>10000</v>
      </c>
      <c r="F1976" s="16" t="str">
        <f>"I9016"</f>
        <v>I9016</v>
      </c>
      <c r="G1976" s="17" t="str">
        <f>"Organic Peach Puree- Cust-owned"</f>
        <v>Organic Peach Puree- Cust-owned</v>
      </c>
      <c r="H1976" s="18" t="str">
        <f t="shared" si="196"/>
        <v>LBS</v>
      </c>
      <c r="I1976" s="19">
        <v>0.1014</v>
      </c>
      <c r="J1976" s="20">
        <v>0.1014</v>
      </c>
    </row>
    <row r="1977" spans="1:10" ht="15.75" thickBot="1" x14ac:dyDescent="0.3">
      <c r="A1977" t="s">
        <v>31</v>
      </c>
      <c r="B1977" s="15" t="str">
        <f>"""Manzana NAV"",""MANZANA"",""99000772"",""44"","" "",""22"",""False"",""43"",""0.00000000000000000000"",""12"",""Organic Peach Puree- Cust-owned"",""50220"",""False"",""29"","""",""50210"",""False"",""18"","""",""11"",""I9016"",""2"",""25000"",""1"",""ISC22"",""14"",""0.10140000000000000000"",""45"",""0.101400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Peach Puree- Cust-owned","50220","False","29","","50210","False","18","","11","I9016","2","25000","1","ISC22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977" s="15"/>
      <c r="D1977" s="16" t="str">
        <f>"ISC22"</f>
        <v>ISC22</v>
      </c>
      <c r="E1977" s="16">
        <v>25000</v>
      </c>
      <c r="F1977" s="16" t="str">
        <f>"I9016"</f>
        <v>I9016</v>
      </c>
      <c r="G1977" s="17" t="str">
        <f>"Organic Peach Puree- Cust-owned"</f>
        <v>Organic Peach Puree- Cust-owned</v>
      </c>
      <c r="H1977" s="18" t="str">
        <f t="shared" si="196"/>
        <v>LBS</v>
      </c>
      <c r="I1977" s="19">
        <v>0.1014</v>
      </c>
      <c r="J1977" s="20">
        <v>0.1014</v>
      </c>
    </row>
    <row r="1978" spans="1:10" ht="15.75" thickBot="1" x14ac:dyDescent="0.3">
      <c r="A1978" t="s">
        <v>31</v>
      </c>
      <c r="B1978" s="15" t="str">
        <f>"""Manzana NAV"",""MANZANA"",""99000772"",""44"","" "",""22"",""False"",""43"",""0.00000000000000000000"",""12"",""Organic Pear Mix for Pressing Pear Juice"",""50220"",""False"",""29"","""",""50210"",""False"",""18"","""",""11"",""AMPJ96"",""2"",""10000"",""1"",""FJ9950"",""14"",""11.00000000000000000000"",""4"&amp;"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Pear Mix for Pressing Pear Juice","50220","False","29","","50210","False","18","","11","AMPJ96","2","10000","1","FJ9950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78" s="15"/>
      <c r="D1978" s="16" t="str">
        <f>"FJ9950"</f>
        <v>FJ9950</v>
      </c>
      <c r="E1978" s="16">
        <v>10000</v>
      </c>
      <c r="F1978" s="16" t="str">
        <f>"AMPJ96"</f>
        <v>AMPJ96</v>
      </c>
      <c r="G1978" s="17" t="str">
        <f>"Organic Pear Mix for Pressing Pear Juice"</f>
        <v>Organic Pear Mix for Pressing Pear Juice</v>
      </c>
      <c r="H1978" s="18" t="str">
        <f t="shared" si="196"/>
        <v>LBS</v>
      </c>
      <c r="I1978" s="19">
        <v>11</v>
      </c>
      <c r="J1978" s="20">
        <v>11</v>
      </c>
    </row>
    <row r="1979" spans="1:10" ht="15.75" thickBot="1" x14ac:dyDescent="0.3">
      <c r="A1979" t="s">
        <v>31</v>
      </c>
      <c r="B1979" s="15" t="str">
        <f>"""Manzana NAV"",""MANZANA"",""99000772"",""44"","" "",""22"",""False"",""43"",""0.00000000000000000000"",""12"",""Organic Pears - CoPack"",""50220"",""False"",""29"","""",""50210"",""False"",""18"","""",""11"",""APE97"",""2"",""10000"",""1"",""AMPJ97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Pears - CoPack","50220","False","29","","50210","False","18","","11","APE97","2","10000","1","AMPJ97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79" s="15"/>
      <c r="D1979" s="16" t="str">
        <f>"AMPJ97"</f>
        <v>AMPJ97</v>
      </c>
      <c r="E1979" s="16">
        <v>10000</v>
      </c>
      <c r="F1979" s="16" t="str">
        <f>"APE97"</f>
        <v>APE97</v>
      </c>
      <c r="G1979" s="17" t="str">
        <f>"Organic Pears - CoPack"</f>
        <v>Organic Pears - CoPack</v>
      </c>
      <c r="H1979" s="18" t="str">
        <f t="shared" si="196"/>
        <v>LBS</v>
      </c>
      <c r="I1979" s="19">
        <v>1</v>
      </c>
      <c r="J1979" s="20">
        <v>1</v>
      </c>
    </row>
    <row r="1980" spans="1:10" ht="15.75" thickBot="1" x14ac:dyDescent="0.3">
      <c r="A1980" t="s">
        <v>31</v>
      </c>
      <c r="B1980" s="15" t="str">
        <f>"""Manzana NAV"",""MANZANA"",""99000772"",""44"","" "",""22"",""False"",""43"",""0.00000000000000000000"",""12"",""Organic Pears - HP"",""50220"",""False"",""29"","""",""50210"",""False"",""18"","""",""11"",""APE91"",""2"",""10000"",""1"",""AMPJ96"",""14"",""1.00000000000000000000"",""45"",""1.000000000000000000"&amp;"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Pears - HP","50220","False","29","","50210","False","18","","11","APE91","2","10000","1","AMPJ96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80" s="15"/>
      <c r="D1980" s="16" t="str">
        <f>"AMPJ96"</f>
        <v>AMPJ96</v>
      </c>
      <c r="E1980" s="16">
        <v>10000</v>
      </c>
      <c r="F1980" s="16" t="str">
        <f>"APE91"</f>
        <v>APE91</v>
      </c>
      <c r="G1980" s="17" t="str">
        <f>"Organic Pears - HP"</f>
        <v>Organic Pears - HP</v>
      </c>
      <c r="H1980" s="18" t="str">
        <f t="shared" si="196"/>
        <v>LBS</v>
      </c>
      <c r="I1980" s="19">
        <v>1</v>
      </c>
      <c r="J1980" s="20">
        <v>1</v>
      </c>
    </row>
    <row r="1981" spans="1:10" ht="15.75" thickBot="1" x14ac:dyDescent="0.3">
      <c r="A1981" t="s">
        <v>31</v>
      </c>
      <c r="B1981" s="15" t="str">
        <f>"""Manzana NAV"",""MANZANA"",""99000772"",""44"","" "",""22"",""False"",""43"",""0.00000000000000000000"",""12"",""Organic Pomegranate Juice Concentrate"",""50220"",""False"",""29"","""",""50210"",""False"",""18"","""",""11"",""I0007"",""2"",""50000"",""1"",""IJ018"",""14"",""5.33325000000000000000"",""45"",""5."&amp;"33325000000000000000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Pomegranate Juice Concentrate","50220","False","29","","50210","False","18","","11","I0007","2","50000","1","IJ018","14","5.33325000000000000000","45","5.33325000000000000000","19","","20","0.00000000000000000000","50000","0.00000000000000000000","50230","False","28","","10","Item","13","OZ","21","","3","","42","0.00000000000000000000","50200","False","41","0.00000000000000000000"</v>
      </c>
      <c r="C1981" s="15"/>
      <c r="D1981" s="16" t="str">
        <f>"IJ018"</f>
        <v>IJ018</v>
      </c>
      <c r="E1981" s="16">
        <v>50000</v>
      </c>
      <c r="F1981" s="16" t="str">
        <f>"I0007"</f>
        <v>I0007</v>
      </c>
      <c r="G1981" s="17" t="str">
        <f>"Organic Pomegranate Juice Concentrate"</f>
        <v>Organic Pomegranate Juice Concentrate</v>
      </c>
      <c r="H1981" s="18" t="str">
        <f>"OZ"</f>
        <v>OZ</v>
      </c>
      <c r="I1981" s="19">
        <v>5.3332499999999996</v>
      </c>
      <c r="J1981" s="20">
        <v>5.3332499999999996</v>
      </c>
    </row>
    <row r="1982" spans="1:10" ht="15.75" thickBot="1" x14ac:dyDescent="0.3">
      <c r="A1982" t="s">
        <v>31</v>
      </c>
      <c r="B1982" s="15" t="str">
        <f>"""Manzana NAV"",""MANZANA"",""99000772"",""44"","" "",""22"",""False"",""43"",""0.00000000000000000000"",""12"",""Organic Pumpkin Juice Concentrate"",""50220"",""False"",""29"","""",""50210"",""False"",""18"","""",""11"",""I0027"",""2"",""20000"",""1"",""ISC37"",""14"",""0.04300000000000000000"",""45"",""0.0430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Pumpkin Juice Concentrate","50220","False","29","","50210","False","18","","11","I0027","2","20000","1","ISC37","14","0.04300000000000000000","45","0.04300000000000000000","19","","20","0.00000000000000000000","50000","0.00000000000000000000","50230","False","28","","10","Item","13","LBS","21","","3","","42","0.00000000000000000000","50200","False","41","0.00000000000000000000"</v>
      </c>
      <c r="C1982" s="15"/>
      <c r="D1982" s="16" t="str">
        <f>"ISC37"</f>
        <v>ISC37</v>
      </c>
      <c r="E1982" s="16">
        <v>20000</v>
      </c>
      <c r="F1982" s="16" t="str">
        <f>"I0027"</f>
        <v>I0027</v>
      </c>
      <c r="G1982" s="17" t="str">
        <f>"Organic Pumpkin Juice Concentrate"</f>
        <v>Organic Pumpkin Juice Concentrate</v>
      </c>
      <c r="H1982" s="18" t="str">
        <f t="shared" ref="H1982:H1996" si="197">"LBS"</f>
        <v>LBS</v>
      </c>
      <c r="I1982" s="19">
        <v>4.2999999999999997E-2</v>
      </c>
      <c r="J1982" s="20">
        <v>4.2999999999999997E-2</v>
      </c>
    </row>
    <row r="1983" spans="1:10" ht="15.75" thickBot="1" x14ac:dyDescent="0.3">
      <c r="A1983" t="s">
        <v>31</v>
      </c>
      <c r="B1983" s="15" t="str">
        <f>"""Manzana NAV"",""MANZANA"",""99000772"",""44"","" "",""22"",""False"",""43"",""0.00000000000000000000"",""12"",""Organic Pumpkin Pie Spice"",""50220"",""False"",""29"","""",""50210"",""False"",""18"","""",""11"",""I0024"",""2"",""30000"",""1"",""ISC31"",""14"",""0.00470000000000000000"",""45"",""0.004700000000"&amp;"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Pumpkin Pie Spice","50220","False","29","","50210","False","18","","11","I0024","2","30000","1","ISC31","14","0.00470000000000000000","45","0.00470000000000000000","19","","20","0.00000000000000000000","50000","0.00000000000000000000","50230","False","28","","10","Item","13","LBS","21","","3","","42","0.00000000000000000000","50200","False","41","0.00000000000000000000"</v>
      </c>
      <c r="C1983" s="15"/>
      <c r="D1983" s="16" t="str">
        <f>"ISC31"</f>
        <v>ISC31</v>
      </c>
      <c r="E1983" s="16">
        <v>30000</v>
      </c>
      <c r="F1983" s="16" t="str">
        <f>"I0024"</f>
        <v>I0024</v>
      </c>
      <c r="G1983" s="17" t="str">
        <f>"Organic Pumpkin Pie Spice"</f>
        <v>Organic Pumpkin Pie Spice</v>
      </c>
      <c r="H1983" s="18" t="str">
        <f t="shared" si="197"/>
        <v>LBS</v>
      </c>
      <c r="I1983" s="19">
        <v>4.7000000000000002E-3</v>
      </c>
      <c r="J1983" s="20">
        <v>4.7000000000000002E-3</v>
      </c>
    </row>
    <row r="1984" spans="1:10" ht="15.75" thickBot="1" x14ac:dyDescent="0.3">
      <c r="A1984" t="s">
        <v>31</v>
      </c>
      <c r="B1984" s="15" t="str">
        <f>"""Manzana NAV"",""MANZANA"",""99000772"",""44"","" "",""22"",""False"",""43"",""0.00000000000000000000"",""12"",""Organic Pumpkin Puree"",""50220"",""False"",""29"","""",""50210"",""False"",""18"","""",""11"",""I0026"",""2"",""40000"",""1"",""ISC31"",""14"",""0.07700000000000000000"",""45"",""0.0770000000000000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Pumpkin Puree","50220","False","29","","50210","False","18","","11","I0026","2","40000","1","ISC31","14","0.07700000000000000000","45","0.07700000000000000000","19","","20","0.00000000000000000000","50000","0.00000000000000000000","50230","False","28","","10","Item","13","LBS","21","","3","","42","0.00000000000000000000","50200","False","41","0.00000000000000000000"</v>
      </c>
      <c r="C1984" s="15"/>
      <c r="D1984" s="16" t="str">
        <f>"ISC31"</f>
        <v>ISC31</v>
      </c>
      <c r="E1984" s="16">
        <v>40000</v>
      </c>
      <c r="F1984" s="16" t="str">
        <f>"I0026"</f>
        <v>I0026</v>
      </c>
      <c r="G1984" s="17" t="str">
        <f>"Organic Pumpkin Puree"</f>
        <v>Organic Pumpkin Puree</v>
      </c>
      <c r="H1984" s="18" t="str">
        <f t="shared" si="197"/>
        <v>LBS</v>
      </c>
      <c r="I1984" s="19">
        <v>7.6999999999999999E-2</v>
      </c>
      <c r="J1984" s="20">
        <v>7.6999999999999999E-2</v>
      </c>
    </row>
    <row r="1985" spans="1:10" ht="15.75" thickBot="1" x14ac:dyDescent="0.3">
      <c r="A1985" t="s">
        <v>31</v>
      </c>
      <c r="B1985" s="15" t="str">
        <f>"""Manzana NAV"",""MANZANA"",""99000772"",""44"","" "",""22"",""False"",""43"",""0.00000000000000000000"",""12"",""Organic Raspberry Puree"",""50220"",""False"",""29"","""",""50210"",""False"",""18"","""",""11"",""I0010"",""2"",""30000"",""1"",""ISC26"",""14"",""0.06194000000000000000"",""45"",""0.06194000000000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30000","1","ISC26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985" s="15"/>
      <c r="D1985" s="16" t="str">
        <f>"ISC26"</f>
        <v>ISC26</v>
      </c>
      <c r="E1985" s="16">
        <v>30000</v>
      </c>
      <c r="F1985" s="16" t="str">
        <f>"I0010"</f>
        <v>I0010</v>
      </c>
      <c r="G1985" s="17" t="str">
        <f>"Organic Raspberry Puree"</f>
        <v>Organic Raspberry Puree</v>
      </c>
      <c r="H1985" s="18" t="str">
        <f t="shared" si="197"/>
        <v>LBS</v>
      </c>
      <c r="I1985" s="19">
        <v>6.1940000000000002E-2</v>
      </c>
      <c r="J1985" s="20">
        <v>6.1940000000000002E-2</v>
      </c>
    </row>
    <row r="1986" spans="1:10" ht="15.75" thickBot="1" x14ac:dyDescent="0.3">
      <c r="A1986" t="s">
        <v>31</v>
      </c>
      <c r="B1986" s="15" t="str">
        <f>"""Manzana NAV"",""MANZANA"",""99000772"",""44"","" "",""22"",""False"",""43"",""0.00000000000000000000"",""12"",""Organic Raspberry Puree"",""50220"",""False"",""29"","""",""50210"",""False"",""18"","""",""11"",""I0010"",""2"",""40000"",""1"",""ISC03"",""14"",""0.01770000000000000000"",""45"",""0.01770000000000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03","14","0.01770000000000000000","45","0.01770000000000000000","19","","20","0.00000000000000000000","50000","0.00000000000000000000","50230","False","28","","10","Item","13","LBS","21","","3","","42","0.00000000000000000000","50200","False","41","0.00000000000000000000"</v>
      </c>
      <c r="C1986" s="15"/>
      <c r="D1986" s="16" t="str">
        <f>"ISC03"</f>
        <v>ISC03</v>
      </c>
      <c r="E1986" s="16">
        <v>40000</v>
      </c>
      <c r="F1986" s="16" t="str">
        <f>"I0010"</f>
        <v>I0010</v>
      </c>
      <c r="G1986" s="17" t="str">
        <f>"Organic Raspberry Puree"</f>
        <v>Organic Raspberry Puree</v>
      </c>
      <c r="H1986" s="18" t="str">
        <f t="shared" si="197"/>
        <v>LBS</v>
      </c>
      <c r="I1986" s="19">
        <v>1.77E-2</v>
      </c>
      <c r="J1986" s="20">
        <v>1.77E-2</v>
      </c>
    </row>
    <row r="1987" spans="1:10" ht="15.75" thickBot="1" x14ac:dyDescent="0.3">
      <c r="A1987" t="s">
        <v>31</v>
      </c>
      <c r="B1987" s="15" t="str">
        <f>"""Manzana NAV"",""MANZANA"",""99000772"",""44"","" "",""22"",""False"",""43"",""0.00000000000000000000"",""12"",""Organic Raspberry Puree"",""50220"",""False"",""29"","""",""50210"",""False"",""18"","""",""11"",""I0010"",""2"",""40000"",""1"",""ISC09"",""14"",""0.01783000000000000000"",""45"",""0.01783000000000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09","14","0.01783000000000000000","45","0.01783000000000000000","19","","20","0.00000000000000000000","50000","0.00000000000000000000","50230","False","28","","10","Item","13","LBS","21","","3","","42","0.00000000000000000000","50200","False","41","0.00000000000000000000"</v>
      </c>
      <c r="C1987" s="15"/>
      <c r="D1987" s="16" t="str">
        <f>"ISC09"</f>
        <v>ISC09</v>
      </c>
      <c r="E1987" s="16">
        <v>40000</v>
      </c>
      <c r="F1987" s="16" t="str">
        <f>"I0010"</f>
        <v>I0010</v>
      </c>
      <c r="G1987" s="17" t="str">
        <f>"Organic Raspberry Puree"</f>
        <v>Organic Raspberry Puree</v>
      </c>
      <c r="H1987" s="18" t="str">
        <f t="shared" si="197"/>
        <v>LBS</v>
      </c>
      <c r="I1987" s="19">
        <v>1.7829999999999999E-2</v>
      </c>
      <c r="J1987" s="20">
        <v>1.7829999999999999E-2</v>
      </c>
    </row>
    <row r="1988" spans="1:10" ht="15.75" thickBot="1" x14ac:dyDescent="0.3">
      <c r="A1988" t="s">
        <v>31</v>
      </c>
      <c r="B1988" s="15" t="str">
        <f>"""Manzana NAV"",""MANZANA"",""99000772"",""44"","" "",""22"",""False"",""43"",""0.00000000000000000000"",""12"",""Organic Raspberry Puree"",""50220"",""False"",""29"","""",""50210"",""False"",""18"","""",""11"",""I0010"",""2"",""40000"",""1"",""ISC14"",""14"",""0.01783000000000000000"",""45"",""0.01783000000000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14","14","0.01783000000000000000","45","0.01783000000000000000","19","","20","0.00000000000000000000","50000","0.00000000000000000000","50230","False","28","","10","Item","13","LBS","21","","3","","42","0.00000000000000000000","50200","False","41","0.00000000000000000000"</v>
      </c>
      <c r="C1988" s="15"/>
      <c r="D1988" s="16" t="str">
        <f>"ISC14"</f>
        <v>ISC14</v>
      </c>
      <c r="E1988" s="16">
        <v>40000</v>
      </c>
      <c r="F1988" s="16" t="str">
        <f>"I0010"</f>
        <v>I0010</v>
      </c>
      <c r="G1988" s="17" t="str">
        <f>"Organic Raspberry Puree"</f>
        <v>Organic Raspberry Puree</v>
      </c>
      <c r="H1988" s="18" t="str">
        <f t="shared" si="197"/>
        <v>LBS</v>
      </c>
      <c r="I1988" s="19">
        <v>1.7829999999999999E-2</v>
      </c>
      <c r="J1988" s="20">
        <v>1.7829999999999999E-2</v>
      </c>
    </row>
    <row r="1989" spans="1:10" ht="15.75" thickBot="1" x14ac:dyDescent="0.3">
      <c r="A1989" t="s">
        <v>31</v>
      </c>
      <c r="B1989" s="15" t="str">
        <f>"""Manzana NAV"",""MANZANA"",""99000772"",""44"","" "",""22"",""False"",""43"",""0.00000000000000000000"",""12"",""Organic Raspberry Puree"",""50220"",""False"",""29"","""",""50210"",""False"",""18"","""",""11"",""I0010"",""2"",""40000"",""1"",""ISC15"",""14"",""0.01770000000000000000"",""45"",""0.01770000000000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15","14","0.01770000000000000000","45","0.01770000000000000000","19","","20","0.00000000000000000000","50000","0.00000000000000000000","50230","False","28","","10","Item","13","LBS","21","","3","","42","0.00000000000000000000","50200","False","41","0.00000000000000000000"</v>
      </c>
      <c r="C1989" s="15"/>
      <c r="D1989" s="16" t="str">
        <f>"ISC15"</f>
        <v>ISC15</v>
      </c>
      <c r="E1989" s="16">
        <v>40000</v>
      </c>
      <c r="F1989" s="16" t="str">
        <f>"I0010"</f>
        <v>I0010</v>
      </c>
      <c r="G1989" s="17" t="str">
        <f>"Organic Raspberry Puree"</f>
        <v>Organic Raspberry Puree</v>
      </c>
      <c r="H1989" s="18" t="str">
        <f t="shared" si="197"/>
        <v>LBS</v>
      </c>
      <c r="I1989" s="19">
        <v>1.77E-2</v>
      </c>
      <c r="J1989" s="20">
        <v>1.77E-2</v>
      </c>
    </row>
    <row r="1990" spans="1:10" ht="15.75" thickBot="1" x14ac:dyDescent="0.3">
      <c r="A1990" t="s">
        <v>31</v>
      </c>
      <c r="B1990" s="15" t="str">
        <f>"""Manzana NAV"",""MANZANA"",""99000772"",""44"","" "",""22"",""False"",""43"",""0.00000000000000000000"",""12"",""Organic Raspberry Puree - Cust-owned"",""50220"",""False"",""29"","""",""50210"",""False"",""18"","""",""11"",""I9017"",""2"",""25000"",""1"",""ISC26"",""14"",""0.06194000000000000000"",""45"",""0.0"&amp;"6194000000000000000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 - Cust-owned","50220","False","29","","50210","False","18","","11","I9017","2","25000","1","ISC26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990" s="15"/>
      <c r="D1990" s="16" t="str">
        <f>"ISC26"</f>
        <v>ISC26</v>
      </c>
      <c r="E1990" s="16">
        <v>25000</v>
      </c>
      <c r="F1990" s="16" t="str">
        <f>"I9017"</f>
        <v>I9017</v>
      </c>
      <c r="G1990" s="17" t="str">
        <f>"Organic Raspberry Puree - Cust-owned"</f>
        <v>Organic Raspberry Puree - Cust-owned</v>
      </c>
      <c r="H1990" s="18" t="str">
        <f t="shared" si="197"/>
        <v>LBS</v>
      </c>
      <c r="I1990" s="19">
        <v>6.1940000000000002E-2</v>
      </c>
      <c r="J1990" s="20">
        <v>6.1940000000000002E-2</v>
      </c>
    </row>
    <row r="1991" spans="1:10" ht="15.75" thickBot="1" x14ac:dyDescent="0.3">
      <c r="A1991" t="s">
        <v>31</v>
      </c>
      <c r="B1991" s="15" t="str">
        <f>"""Manzana NAV"",""MANZANA"",""99000772"",""44"","" "",""22"",""False"",""43"",""0.00000000000000000000"",""12"",""Organic Raspberry Puree - Cust-owned"",""50220"",""False"",""29"","""",""50210"",""False"",""18"","""",""11"",""I9017"",""2"",""25000"",""1"",""ISC32"",""14"",""0.06194000000000000000"",""45"",""0.0"&amp;"6194000000000000000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 - Cust-owned","50220","False","29","","50210","False","18","","11","I9017","2","25000","1","ISC32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991" s="15"/>
      <c r="D1991" s="16" t="str">
        <f>"ISC32"</f>
        <v>ISC32</v>
      </c>
      <c r="E1991" s="16">
        <v>25000</v>
      </c>
      <c r="F1991" s="16" t="str">
        <f>"I9017"</f>
        <v>I9017</v>
      </c>
      <c r="G1991" s="17" t="str">
        <f>"Organic Raspberry Puree - Cust-owned"</f>
        <v>Organic Raspberry Puree - Cust-owned</v>
      </c>
      <c r="H1991" s="18" t="str">
        <f t="shared" si="197"/>
        <v>LBS</v>
      </c>
      <c r="I1991" s="19">
        <v>6.1940000000000002E-2</v>
      </c>
      <c r="J1991" s="20">
        <v>6.1940000000000002E-2</v>
      </c>
    </row>
    <row r="1992" spans="1:10" ht="15.75" thickBot="1" x14ac:dyDescent="0.3">
      <c r="A1992" t="s">
        <v>31</v>
      </c>
      <c r="B1992" s="15" t="str">
        <f>"""Manzana NAV"",""MANZANA"",""99000772"",""44"","" "",""22"",""False"",""43"",""0.00000000000000000000"",""12"",""Organic Strawberry Puree"",""50220"",""False"",""29"","""",""50210"",""False"",""18"","""",""11"",""I0012"",""2"",""20000"",""1"",""ISC03"",""14"",""0.09520000000000000000"",""45"",""0.0952000000000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03","14","0.09520000000000000000","45","0.09520000000000000000","19","","20","0.00000000000000000000","50000","0.00000000000000000000","50230","False","28","","10","Item","13","LBS","21","","3","","42","0.00000000000000000000","50200","False","41","0.00000000000000000000"</v>
      </c>
      <c r="C1992" s="15"/>
      <c r="D1992" s="16" t="str">
        <f>"ISC03"</f>
        <v>ISC03</v>
      </c>
      <c r="E1992" s="16">
        <v>20000</v>
      </c>
      <c r="F1992" s="16" t="str">
        <f>"I0012"</f>
        <v>I0012</v>
      </c>
      <c r="G1992" s="17" t="str">
        <f>"Organic Strawberry Puree"</f>
        <v>Organic Strawberry Puree</v>
      </c>
      <c r="H1992" s="18" t="str">
        <f t="shared" si="197"/>
        <v>LBS</v>
      </c>
      <c r="I1992" s="19">
        <v>9.5200000000000007E-2</v>
      </c>
      <c r="J1992" s="20">
        <v>9.5200000000000007E-2</v>
      </c>
    </row>
    <row r="1993" spans="1:10" ht="15.75" thickBot="1" x14ac:dyDescent="0.3">
      <c r="A1993" t="s">
        <v>31</v>
      </c>
      <c r="B1993" s="15" t="str">
        <f>"""Manzana NAV"",""MANZANA"",""99000772"",""44"","" "",""22"",""False"",""43"",""0.00000000000000000000"",""12"",""Organic Strawberry Puree"",""50220"",""False"",""29"","""",""50210"",""False"",""18"","""",""11"",""I0012"",""2"",""20000"",""1"",""ISC09"",""14"",""0.09600000000000000000"",""45"",""0.0960000000000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09","14","0.09600000000000000000","45","0.09600000000000000000","19","","20","0.00000000000000000000","50000","0.00000000000000000000","50230","False","28","","10","Item","13","LBS","21","","3","","42","0.00000000000000000000","50200","False","41","0.00000000000000000000"</v>
      </c>
      <c r="C1993" s="15"/>
      <c r="D1993" s="16" t="str">
        <f>"ISC09"</f>
        <v>ISC09</v>
      </c>
      <c r="E1993" s="16">
        <v>20000</v>
      </c>
      <c r="F1993" s="16" t="str">
        <f>"I0012"</f>
        <v>I0012</v>
      </c>
      <c r="G1993" s="17" t="str">
        <f>"Organic Strawberry Puree"</f>
        <v>Organic Strawberry Puree</v>
      </c>
      <c r="H1993" s="18" t="str">
        <f t="shared" si="197"/>
        <v>LBS</v>
      </c>
      <c r="I1993" s="19">
        <v>9.6000000000000002E-2</v>
      </c>
      <c r="J1993" s="20">
        <v>9.6000000000000002E-2</v>
      </c>
    </row>
    <row r="1994" spans="1:10" ht="15.75" thickBot="1" x14ac:dyDescent="0.3">
      <c r="A1994" t="s">
        <v>31</v>
      </c>
      <c r="B1994" s="15" t="str">
        <f>"""Manzana NAV"",""MANZANA"",""99000772"",""44"","" "",""22"",""False"",""43"",""0.00000000000000000000"",""12"",""Organic Strawberry Puree"",""50220"",""False"",""29"","""",""50210"",""False"",""18"","""",""11"",""I0012"",""2"",""20000"",""1"",""ISC14"",""14"",""0.09600000000000000000"",""45"",""0.0960000000000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14","14","0.09600000000000000000","45","0.09600000000000000000","19","","20","0.00000000000000000000","50000","0.00000000000000000000","50230","False","28","","10","Item","13","LBS","21","","3","","42","0.00000000000000000000","50200","False","41","0.00000000000000000000"</v>
      </c>
      <c r="C1994" s="15"/>
      <c r="D1994" s="16" t="str">
        <f>"ISC14"</f>
        <v>ISC14</v>
      </c>
      <c r="E1994" s="16">
        <v>20000</v>
      </c>
      <c r="F1994" s="16" t="str">
        <f>"I0012"</f>
        <v>I0012</v>
      </c>
      <c r="G1994" s="17" t="str">
        <f>"Organic Strawberry Puree"</f>
        <v>Organic Strawberry Puree</v>
      </c>
      <c r="H1994" s="18" t="str">
        <f t="shared" si="197"/>
        <v>LBS</v>
      </c>
      <c r="I1994" s="19">
        <v>9.6000000000000002E-2</v>
      </c>
      <c r="J1994" s="20">
        <v>9.6000000000000002E-2</v>
      </c>
    </row>
    <row r="1995" spans="1:10" ht="15.75" thickBot="1" x14ac:dyDescent="0.3">
      <c r="A1995" t="s">
        <v>31</v>
      </c>
      <c r="B1995" s="15" t="str">
        <f>"""Manzana NAV"",""MANZANA"",""99000772"",""44"","" "",""22"",""False"",""43"",""0.00000000000000000000"",""12"",""Organic Strawberry Puree"",""50220"",""False"",""29"","""",""50210"",""False"",""18"","""",""11"",""I0012"",""2"",""20000"",""1"",""ISC15"",""14"",""0.09520000000000000000"",""45"",""0.0952000000000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15","14","0.09520000000000000000","45","0.09520000000000000000","19","","20","0.00000000000000000000","50000","0.00000000000000000000","50230","False","28","","10","Item","13","LBS","21","","3","","42","0.00000000000000000000","50200","False","41","0.00000000000000000000"</v>
      </c>
      <c r="C1995" s="15"/>
      <c r="D1995" s="16" t="str">
        <f>"ISC15"</f>
        <v>ISC15</v>
      </c>
      <c r="E1995" s="16">
        <v>20000</v>
      </c>
      <c r="F1995" s="16" t="str">
        <f>"I0012"</f>
        <v>I0012</v>
      </c>
      <c r="G1995" s="17" t="str">
        <f>"Organic Strawberry Puree"</f>
        <v>Organic Strawberry Puree</v>
      </c>
      <c r="H1995" s="18" t="str">
        <f t="shared" si="197"/>
        <v>LBS</v>
      </c>
      <c r="I1995" s="19">
        <v>9.5200000000000007E-2</v>
      </c>
      <c r="J1995" s="20">
        <v>9.5200000000000007E-2</v>
      </c>
    </row>
    <row r="1996" spans="1:10" ht="15.75" thickBot="1" x14ac:dyDescent="0.3">
      <c r="A1996" t="s">
        <v>31</v>
      </c>
      <c r="B1996" s="15" t="str">
        <f>"""Manzana NAV"",""MANZANA"",""99000772"",""44"","" "",""22"",""False"",""43"",""0.00000000000000000000"",""12"",""Organic Strawberry Puree"",""50220"",""False"",""29"","""",""50210"",""False"",""18"","""",""11"",""I0012"",""2"",""20000"",""1"",""ISC35"",""14"",""0.17000000000000000000"",""45"",""0.1700000000000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35","14","0.17000000000000000000","45","0.17000000000000000000","19","","20","0.00000000000000000000","50000","0.00000000000000000000","50230","False","28","","10","Item","13","LBS","21","","3","","42","0.00000000000000000000","50200","False","41","0.00000000000000000000"</v>
      </c>
      <c r="C1996" s="15"/>
      <c r="D1996" s="16" t="str">
        <f>"ISC35"</f>
        <v>ISC35</v>
      </c>
      <c r="E1996" s="16">
        <v>20000</v>
      </c>
      <c r="F1996" s="16" t="str">
        <f>"I0012"</f>
        <v>I0012</v>
      </c>
      <c r="G1996" s="17" t="str">
        <f>"Organic Strawberry Puree"</f>
        <v>Organic Strawberry Puree</v>
      </c>
      <c r="H1996" s="18" t="str">
        <f t="shared" si="197"/>
        <v>LBS</v>
      </c>
      <c r="I1996" s="19">
        <v>0.17</v>
      </c>
      <c r="J1996" s="20">
        <v>0.17</v>
      </c>
    </row>
    <row r="1997" spans="1:10" ht="15.75" thickBot="1" x14ac:dyDescent="0.3">
      <c r="A1997" t="s">
        <v>31</v>
      </c>
      <c r="B1997" s="15" t="str">
        <f>"""Manzana NAV"",""MANZANA"",""99000772"",""44"","" "",""22"",""False"",""43"",""0.00000000000000000000"",""12"",""Potable Water"",""50220"",""False"",""29"","""",""50210"",""False"",""18"","""",""11"",""I0001"",""2"",""40000"",""1"",""ISC16"",""14"",""0.00100000000000000000"",""45"",""0.00100000000000000000"",""1"&amp;"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","22","False","43","0.00000000000000000000","12","Potable Water","50220","False","29","","50210","False","18","","11","I0001","2","40000","1","ISC16","14","0.00100000000000000000","45","0.00100000000000000000","19","","20","0.00000000000000000000","50000","0.00000000000000000000","50230","False","28","","10","Item","13","GAL","21","","3","","42","0.00000000000000000000","50200","False","41","0.00000000000000000000"</v>
      </c>
      <c r="C1997" s="15"/>
      <c r="D1997" s="16" t="str">
        <f>"ISC16"</f>
        <v>ISC16</v>
      </c>
      <c r="E1997" s="16">
        <v>40000</v>
      </c>
      <c r="F1997" s="16" t="str">
        <f>"I0001"</f>
        <v>I0001</v>
      </c>
      <c r="G1997" s="17" t="str">
        <f>"Potable Water"</f>
        <v>Potable Water</v>
      </c>
      <c r="H1997" s="18" t="str">
        <f>"GAL"</f>
        <v>GAL</v>
      </c>
      <c r="I1997" s="19">
        <v>1E-3</v>
      </c>
      <c r="J1997" s="20">
        <v>1E-3</v>
      </c>
    </row>
    <row r="1998" spans="1:10" ht="15.75" thickBot="1" x14ac:dyDescent="0.3">
      <c r="A1998" t="s">
        <v>31</v>
      </c>
      <c r="B1998" s="15" t="str">
        <f>"""Manzana NAV"",""MANZANA"",""99000772"",""44"","" "",""22"",""False"",""43"",""0.00000000000000000000"",""12"",""Potable Water"",""50220"",""False"",""29"","""",""50210"",""False"",""18"","""",""11"",""I0001"",""2"",""50000"",""1"",""ISC21"",""14"",""0.00100000000000000000"",""45"",""0.00100000000000000000"",""1"&amp;"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","22","False","43","0.00000000000000000000","12","Potable Water","50220","False","29","","50210","False","18","","11","I0001","2","50000","1","ISC21","14","0.00100000000000000000","45","0.00100000000000000000","19","","20","0.00000000000000000000","50000","0.00000000000000000000","50230","False","28","","10","Item","13","GAL","21","","3","","42","0.00000000000000000000","50200","False","41","0.00000000000000000000"</v>
      </c>
      <c r="C1998" s="15"/>
      <c r="D1998" s="16" t="str">
        <f>"ISC21"</f>
        <v>ISC21</v>
      </c>
      <c r="E1998" s="16">
        <v>50000</v>
      </c>
      <c r="F1998" s="16" t="str">
        <f>"I0001"</f>
        <v>I0001</v>
      </c>
      <c r="G1998" s="17" t="str">
        <f>"Potable Water"</f>
        <v>Potable Water</v>
      </c>
      <c r="H1998" s="18" t="str">
        <f>"GAL"</f>
        <v>GAL</v>
      </c>
      <c r="I1998" s="19">
        <v>1E-3</v>
      </c>
      <c r="J1998" s="20">
        <v>1E-3</v>
      </c>
    </row>
    <row r="1999" spans="1:10" ht="15.75" thickBot="1" x14ac:dyDescent="0.3">
      <c r="A1999" t="s">
        <v>31</v>
      </c>
      <c r="B1999" s="15" t="str">
        <f>"""Manzana NAV"",""MANZANA"",""99000772"",""44"","" "",""22"",""False"",""43"",""0.00000000000000000000"",""12"",""Pouch Plastic Cap - Green 1"",""50220"",""False"",""29"","""",""50210"",""False"",""18"","""",""11"",""P0021"",""2"",""30000"",""1"",""ISPT000"",""14"",""1.00000000000000000000"",""45"",""1.00000000"&amp;"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Plastic Cap - Green 1","50220","False","29","","50210","False","18","","11","P0021","2","30000","1","ISPT000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999" s="15"/>
      <c r="D1999" s="16" t="str">
        <f>"ISPT000"</f>
        <v>ISPT000</v>
      </c>
      <c r="E1999" s="16">
        <v>30000</v>
      </c>
      <c r="F1999" s="16" t="str">
        <f>"P0021"</f>
        <v>P0021</v>
      </c>
      <c r="G1999" s="17" t="str">
        <f>"Pouch Plastic Cap - Green 1"</f>
        <v>Pouch Plastic Cap - Green 1</v>
      </c>
      <c r="H1999" s="18" t="str">
        <f t="shared" ref="H1999:H2018" si="198">"CAPS"</f>
        <v>CAPS</v>
      </c>
      <c r="I1999" s="19">
        <v>1</v>
      </c>
      <c r="J1999" s="20">
        <v>1</v>
      </c>
    </row>
    <row r="2000" spans="1:10" ht="15.75" thickBot="1" x14ac:dyDescent="0.3">
      <c r="A2000" t="s">
        <v>31</v>
      </c>
      <c r="B2000" s="15" t="str">
        <f>"""Manzana NAV"",""MANZANA"",""99000772"",""44"","" "",""22"",""False"",""43"",""0.00000000000000000000"",""12"",""Pouch Spout - Bright Green 354C"",""50220"",""False"",""29"","""",""50210"",""False"",""18"","""",""11"",""P0021"",""2"",""10000"",""1"",""ISP0017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Bright Green 354C","50220","False","29","","50210","False","18","","11","P0021","2","10000","1","ISP0017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0" s="15"/>
      <c r="D2000" s="16" t="str">
        <f>"ISP0017"</f>
        <v>ISP0017</v>
      </c>
      <c r="E2000" s="16">
        <v>10000</v>
      </c>
      <c r="F2000" s="16" t="str">
        <f>"P0021"</f>
        <v>P0021</v>
      </c>
      <c r="G2000" s="17" t="str">
        <f>"Pouch Spout - Bright Green 354C"</f>
        <v>Pouch Spout - Bright Green 354C</v>
      </c>
      <c r="H2000" s="18" t="str">
        <f t="shared" si="198"/>
        <v>CAPS</v>
      </c>
      <c r="I2000" s="19">
        <v>1</v>
      </c>
      <c r="J2000" s="20">
        <v>1</v>
      </c>
    </row>
    <row r="2001" spans="1:10" ht="15.75" thickBot="1" x14ac:dyDescent="0.3">
      <c r="A2001" t="s">
        <v>31</v>
      </c>
      <c r="B2001" s="15" t="str">
        <f>"""Manzana NAV"",""MANZANA"",""99000772"",""44"","" "",""22"",""False"",""43"",""0.00000000000000000000"",""12"",""Pouch Spout - Bright Green 354C"",""50220"",""False"",""29"","""",""50210"",""False"",""18"","""",""11"",""P0021"",""2"",""30000"",""1"",""Z-ISP0010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Bright Green 354C","50220","False","29","","50210","False","18","","11","P0021","2","30000","1","Z-ISP0010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1" s="15"/>
      <c r="D2001" s="16" t="str">
        <f>"Z-ISP0010"</f>
        <v>Z-ISP0010</v>
      </c>
      <c r="E2001" s="16">
        <v>30000</v>
      </c>
      <c r="F2001" s="16" t="str">
        <f>"P0021"</f>
        <v>P0021</v>
      </c>
      <c r="G2001" s="17" t="str">
        <f>"Pouch Spout - Bright Green 354C"</f>
        <v>Pouch Spout - Bright Green 354C</v>
      </c>
      <c r="H2001" s="18" t="str">
        <f t="shared" si="198"/>
        <v>CAPS</v>
      </c>
      <c r="I2001" s="19">
        <v>1</v>
      </c>
      <c r="J2001" s="20">
        <v>1</v>
      </c>
    </row>
    <row r="2002" spans="1:10" ht="15.75" thickBot="1" x14ac:dyDescent="0.3">
      <c r="A2002" t="s">
        <v>31</v>
      </c>
      <c r="B2002" s="15" t="str">
        <f>"""Manzana NAV"",""MANZANA"",""99000772"",""44"","" "",""22"",""False"",""43"",""0.00000000000000000000"",""12"",""Pouch Spout - Forest Green 347C"",""50220"",""False"",""29"","""",""50210"",""False"",""18"","""",""11"",""P0023"",""2"",""20000"",""1"",""ISP0024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20000","1","ISP0024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2" s="15"/>
      <c r="D2002" s="16" t="str">
        <f>"ISP0024"</f>
        <v>ISP0024</v>
      </c>
      <c r="E2002" s="16">
        <v>20000</v>
      </c>
      <c r="F2002" s="16" t="str">
        <f t="shared" ref="F2002:F2013" si="199">"P0023"</f>
        <v>P0023</v>
      </c>
      <c r="G2002" s="17" t="str">
        <f t="shared" ref="G2002:G2013" si="200">"Pouch Spout - Forest Green 347C"</f>
        <v>Pouch Spout - Forest Green 347C</v>
      </c>
      <c r="H2002" s="18" t="str">
        <f t="shared" si="198"/>
        <v>CAPS</v>
      </c>
      <c r="I2002" s="19">
        <v>1</v>
      </c>
      <c r="J2002" s="20">
        <v>1</v>
      </c>
    </row>
    <row r="2003" spans="1:10" ht="15.75" thickBot="1" x14ac:dyDescent="0.3">
      <c r="A2003" t="s">
        <v>31</v>
      </c>
      <c r="B2003" s="15" t="str">
        <f>"""Manzana NAV"",""MANZANA"",""99000772"",""44"","" "",""22"",""False"",""43"",""0.00000000000000000000"",""12"",""Pouch Spout - Forest Green 347C"",""50220"",""False"",""29"","""",""50210"",""False"",""18"","""",""11"",""P0023"",""2"",""20000"",""1"",""ISP0025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20000","1","ISP0025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3" s="15"/>
      <c r="D2003" s="16" t="str">
        <f>"ISP0025"</f>
        <v>ISP0025</v>
      </c>
      <c r="E2003" s="16">
        <v>20000</v>
      </c>
      <c r="F2003" s="16" t="str">
        <f t="shared" si="199"/>
        <v>P0023</v>
      </c>
      <c r="G2003" s="17" t="str">
        <f t="shared" si="200"/>
        <v>Pouch Spout - Forest Green 347C</v>
      </c>
      <c r="H2003" s="18" t="str">
        <f t="shared" si="198"/>
        <v>CAPS</v>
      </c>
      <c r="I2003" s="19">
        <v>1</v>
      </c>
      <c r="J2003" s="20">
        <v>1</v>
      </c>
    </row>
    <row r="2004" spans="1:10" ht="15.75" thickBot="1" x14ac:dyDescent="0.3">
      <c r="A2004" t="s">
        <v>31</v>
      </c>
      <c r="B2004" s="15" t="str">
        <f>"""Manzana NAV"",""MANZANA"",""99000772"",""44"","" "",""22"",""False"",""43"",""0.00000000000000000000"",""12"",""Pouch Spout - Forest Green 347C"",""50220"",""False"",""29"","""",""50210"",""False"",""18"","""",""11"",""P0023"",""2"",""20000"",""1"",""ISP0026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20000","1","ISP0026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4" s="15"/>
      <c r="D2004" s="16" t="str">
        <f>"ISP0026"</f>
        <v>ISP0026</v>
      </c>
      <c r="E2004" s="16">
        <v>20000</v>
      </c>
      <c r="F2004" s="16" t="str">
        <f t="shared" si="199"/>
        <v>P0023</v>
      </c>
      <c r="G2004" s="17" t="str">
        <f t="shared" si="200"/>
        <v>Pouch Spout - Forest Green 347C</v>
      </c>
      <c r="H2004" s="18" t="str">
        <f t="shared" si="198"/>
        <v>CAPS</v>
      </c>
      <c r="I2004" s="19">
        <v>1</v>
      </c>
      <c r="J2004" s="20">
        <v>1</v>
      </c>
    </row>
    <row r="2005" spans="1:10" ht="15.75" thickBot="1" x14ac:dyDescent="0.3">
      <c r="A2005" t="s">
        <v>31</v>
      </c>
      <c r="B2005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0001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5" s="15"/>
      <c r="D2005" s="16" t="str">
        <f>"ISP0001"</f>
        <v>ISP0001</v>
      </c>
      <c r="E2005" s="16">
        <v>30000</v>
      </c>
      <c r="F2005" s="16" t="str">
        <f t="shared" si="199"/>
        <v>P0023</v>
      </c>
      <c r="G2005" s="17" t="str">
        <f t="shared" si="200"/>
        <v>Pouch Spout - Forest Green 347C</v>
      </c>
      <c r="H2005" s="18" t="str">
        <f t="shared" si="198"/>
        <v>CAPS</v>
      </c>
      <c r="I2005" s="19">
        <v>1</v>
      </c>
      <c r="J2005" s="20">
        <v>1</v>
      </c>
    </row>
    <row r="2006" spans="1:10" ht="15.75" thickBot="1" x14ac:dyDescent="0.3">
      <c r="A2006" t="s">
        <v>31</v>
      </c>
      <c r="B2006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0002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6" s="15"/>
      <c r="D2006" s="16" t="str">
        <f>"ISP0002"</f>
        <v>ISP0002</v>
      </c>
      <c r="E2006" s="16">
        <v>30000</v>
      </c>
      <c r="F2006" s="16" t="str">
        <f t="shared" si="199"/>
        <v>P0023</v>
      </c>
      <c r="G2006" s="17" t="str">
        <f t="shared" si="200"/>
        <v>Pouch Spout - Forest Green 347C</v>
      </c>
      <c r="H2006" s="18" t="str">
        <f t="shared" si="198"/>
        <v>CAPS</v>
      </c>
      <c r="I2006" s="19">
        <v>1</v>
      </c>
      <c r="J2006" s="20">
        <v>1</v>
      </c>
    </row>
    <row r="2007" spans="1:10" ht="15.75" thickBot="1" x14ac:dyDescent="0.3">
      <c r="A2007" t="s">
        <v>31</v>
      </c>
      <c r="B2007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0003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7" s="15"/>
      <c r="D2007" s="16" t="str">
        <f>"ISP0003"</f>
        <v>ISP0003</v>
      </c>
      <c r="E2007" s="16">
        <v>30000</v>
      </c>
      <c r="F2007" s="16" t="str">
        <f t="shared" si="199"/>
        <v>P0023</v>
      </c>
      <c r="G2007" s="17" t="str">
        <f t="shared" si="200"/>
        <v>Pouch Spout - Forest Green 347C</v>
      </c>
      <c r="H2007" s="18" t="str">
        <f t="shared" si="198"/>
        <v>CAPS</v>
      </c>
      <c r="I2007" s="19">
        <v>1</v>
      </c>
      <c r="J2007" s="20">
        <v>1</v>
      </c>
    </row>
    <row r="2008" spans="1:10" ht="15.75" thickBot="1" x14ac:dyDescent="0.3">
      <c r="A2008" t="s">
        <v>31</v>
      </c>
      <c r="B2008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0004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8" s="15"/>
      <c r="D2008" s="16" t="str">
        <f>"ISP0004"</f>
        <v>ISP0004</v>
      </c>
      <c r="E2008" s="16">
        <v>30000</v>
      </c>
      <c r="F2008" s="16" t="str">
        <f t="shared" si="199"/>
        <v>P0023</v>
      </c>
      <c r="G2008" s="17" t="str">
        <f t="shared" si="200"/>
        <v>Pouch Spout - Forest Green 347C</v>
      </c>
      <c r="H2008" s="18" t="str">
        <f t="shared" si="198"/>
        <v>CAPS</v>
      </c>
      <c r="I2008" s="19">
        <v>1</v>
      </c>
      <c r="J2008" s="20">
        <v>1</v>
      </c>
    </row>
    <row r="2009" spans="1:10" ht="15.75" thickBot="1" x14ac:dyDescent="0.3">
      <c r="A2009" t="s">
        <v>31</v>
      </c>
      <c r="B2009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0005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9" s="15"/>
      <c r="D2009" s="16" t="str">
        <f>"ISP0005"</f>
        <v>ISP0005</v>
      </c>
      <c r="E2009" s="16">
        <v>30000</v>
      </c>
      <c r="F2009" s="16" t="str">
        <f t="shared" si="199"/>
        <v>P0023</v>
      </c>
      <c r="G2009" s="17" t="str">
        <f t="shared" si="200"/>
        <v>Pouch Spout - Forest Green 347C</v>
      </c>
      <c r="H2009" s="18" t="str">
        <f t="shared" si="198"/>
        <v>CAPS</v>
      </c>
      <c r="I2009" s="19">
        <v>1</v>
      </c>
      <c r="J2009" s="20">
        <v>1</v>
      </c>
    </row>
    <row r="2010" spans="1:10" ht="15.75" thickBot="1" x14ac:dyDescent="0.3">
      <c r="A2010" t="s">
        <v>31</v>
      </c>
      <c r="B2010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0006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0" s="15"/>
      <c r="D2010" s="16" t="str">
        <f>"ISP0006"</f>
        <v>ISP0006</v>
      </c>
      <c r="E2010" s="16">
        <v>30000</v>
      </c>
      <c r="F2010" s="16" t="str">
        <f t="shared" si="199"/>
        <v>P0023</v>
      </c>
      <c r="G2010" s="17" t="str">
        <f t="shared" si="200"/>
        <v>Pouch Spout - Forest Green 347C</v>
      </c>
      <c r="H2010" s="18" t="str">
        <f t="shared" si="198"/>
        <v>CAPS</v>
      </c>
      <c r="I2010" s="19">
        <v>1</v>
      </c>
      <c r="J2010" s="20">
        <v>1</v>
      </c>
    </row>
    <row r="2011" spans="1:10" ht="15.75" thickBot="1" x14ac:dyDescent="0.3">
      <c r="A2011" t="s">
        <v>31</v>
      </c>
      <c r="B2011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0007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1" s="15"/>
      <c r="D2011" s="16" t="str">
        <f>"ISP0007"</f>
        <v>ISP0007</v>
      </c>
      <c r="E2011" s="16">
        <v>30000</v>
      </c>
      <c r="F2011" s="16" t="str">
        <f t="shared" si="199"/>
        <v>P0023</v>
      </c>
      <c r="G2011" s="17" t="str">
        <f t="shared" si="200"/>
        <v>Pouch Spout - Forest Green 347C</v>
      </c>
      <c r="H2011" s="18" t="str">
        <f t="shared" si="198"/>
        <v>CAPS</v>
      </c>
      <c r="I2011" s="19">
        <v>1</v>
      </c>
      <c r="J2011" s="20">
        <v>1</v>
      </c>
    </row>
    <row r="2012" spans="1:10" ht="15.75" thickBot="1" x14ac:dyDescent="0.3">
      <c r="A2012" t="s">
        <v>31</v>
      </c>
      <c r="B2012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0008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2" s="15"/>
      <c r="D2012" s="16" t="str">
        <f>"ISP0008"</f>
        <v>ISP0008</v>
      </c>
      <c r="E2012" s="16">
        <v>30000</v>
      </c>
      <c r="F2012" s="16" t="str">
        <f t="shared" si="199"/>
        <v>P0023</v>
      </c>
      <c r="G2012" s="17" t="str">
        <f t="shared" si="200"/>
        <v>Pouch Spout - Forest Green 347C</v>
      </c>
      <c r="H2012" s="18" t="str">
        <f t="shared" si="198"/>
        <v>CAPS</v>
      </c>
      <c r="I2012" s="19">
        <v>1</v>
      </c>
      <c r="J2012" s="20">
        <v>1</v>
      </c>
    </row>
    <row r="2013" spans="1:10" ht="15.75" thickBot="1" x14ac:dyDescent="0.3">
      <c r="A2013" t="s">
        <v>31</v>
      </c>
      <c r="B2013" s="15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0009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3" s="15"/>
      <c r="D2013" s="16" t="str">
        <f>"ISP0009"</f>
        <v>ISP0009</v>
      </c>
      <c r="E2013" s="16">
        <v>30000</v>
      </c>
      <c r="F2013" s="16" t="str">
        <f t="shared" si="199"/>
        <v>P0023</v>
      </c>
      <c r="G2013" s="17" t="str">
        <f t="shared" si="200"/>
        <v>Pouch Spout - Forest Green 347C</v>
      </c>
      <c r="H2013" s="18" t="str">
        <f t="shared" si="198"/>
        <v>CAPS</v>
      </c>
      <c r="I2013" s="19">
        <v>1</v>
      </c>
      <c r="J2013" s="20">
        <v>1</v>
      </c>
    </row>
    <row r="2014" spans="1:10" ht="15.75" thickBot="1" x14ac:dyDescent="0.3">
      <c r="A2014" t="s">
        <v>31</v>
      </c>
      <c r="B2014" s="15" t="str">
        <f>"""Manzana NAV"",""MANZANA"",""99000772"",""44"","" "",""22"",""False"",""43"",""0.00000000000000000000"",""12"",""Pouch Spout - Orange 021C"",""50220"",""False"",""29"","""",""50210"",""False"",""18"","""",""11"",""P0026"",""2"",""5000"",""1"",""Z-ISP0012"",""14"",""1.00000000000000000000"",""45"",""1.000000000"&amp;"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Orange 021C","50220","False","29","","50210","False","18","","11","P0026","2","5000","1","Z-ISP0012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4" s="15"/>
      <c r="D2014" s="16" t="str">
        <f>"Z-ISP0012"</f>
        <v>Z-ISP0012</v>
      </c>
      <c r="E2014" s="16">
        <v>5000</v>
      </c>
      <c r="F2014" s="16" t="str">
        <f>"P0026"</f>
        <v>P0026</v>
      </c>
      <c r="G2014" s="17" t="str">
        <f>"Pouch Spout - Orange 021C"</f>
        <v>Pouch Spout - Orange 021C</v>
      </c>
      <c r="H2014" s="18" t="str">
        <f t="shared" si="198"/>
        <v>CAPS</v>
      </c>
      <c r="I2014" s="19">
        <v>1</v>
      </c>
      <c r="J2014" s="20">
        <v>1</v>
      </c>
    </row>
    <row r="2015" spans="1:10" ht="15.75" thickBot="1" x14ac:dyDescent="0.3">
      <c r="A2015" t="s">
        <v>31</v>
      </c>
      <c r="B2015" s="15" t="str">
        <f>"""Manzana NAV"",""MANZANA"",""99000772"",""44"","" "",""22"",""False"",""43"",""0.00000000000000000000"",""12"",""Pouch Spout - Orange 021C"",""50220"",""False"",""29"","""",""50210"",""False"",""18"","""",""11"",""P0026"",""2"",""10000"",""1"",""ISP0018"",""14"",""1.00000000000000000000"",""45"",""1.0000000000"&amp;"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Orange 021C","50220","False","29","","50210","False","18","","11","P0026","2","10000","1","ISP0018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5" s="15"/>
      <c r="D2015" s="16" t="str">
        <f>"ISP0018"</f>
        <v>ISP0018</v>
      </c>
      <c r="E2015" s="16">
        <v>10000</v>
      </c>
      <c r="F2015" s="16" t="str">
        <f>"P0026"</f>
        <v>P0026</v>
      </c>
      <c r="G2015" s="17" t="str">
        <f>"Pouch Spout - Orange 021C"</f>
        <v>Pouch Spout - Orange 021C</v>
      </c>
      <c r="H2015" s="18" t="str">
        <f t="shared" si="198"/>
        <v>CAPS</v>
      </c>
      <c r="I2015" s="19">
        <v>1</v>
      </c>
      <c r="J2015" s="20">
        <v>1</v>
      </c>
    </row>
    <row r="2016" spans="1:10" ht="15.75" thickBot="1" x14ac:dyDescent="0.3">
      <c r="A2016" t="s">
        <v>31</v>
      </c>
      <c r="B2016" s="15" t="str">
        <f>"""Manzana NAV"",""MANZANA"",""99000772"",""44"","" "",""22"",""False"",""43"",""0.00000000000000000000"",""12"",""Pouch Spout - Red 1797C"",""50220"",""False"",""29"","""",""50210"",""False"",""18"","""",""11"",""P0025"",""2"",""10000"",""1"",""ISP0020"",""14"",""1.00000000000000000000"",""45"",""1.000000000000"&amp;"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Red 1797C","50220","False","29","","50210","False","18","","11","P0025","2","10000","1","ISP0020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6" s="15"/>
      <c r="D2016" s="16" t="str">
        <f>"ISP0020"</f>
        <v>ISP0020</v>
      </c>
      <c r="E2016" s="16">
        <v>10000</v>
      </c>
      <c r="F2016" s="16" t="str">
        <f>"P0025"</f>
        <v>P0025</v>
      </c>
      <c r="G2016" s="17" t="str">
        <f>"Pouch Spout - Red 1797C"</f>
        <v>Pouch Spout - Red 1797C</v>
      </c>
      <c r="H2016" s="18" t="str">
        <f t="shared" si="198"/>
        <v>CAPS</v>
      </c>
      <c r="I2016" s="19">
        <v>1</v>
      </c>
      <c r="J2016" s="20">
        <v>1</v>
      </c>
    </row>
    <row r="2017" spans="1:10" ht="15.75" thickBot="1" x14ac:dyDescent="0.3">
      <c r="A2017" t="s">
        <v>31</v>
      </c>
      <c r="B2017" s="15" t="str">
        <f>"""Manzana NAV"",""MANZANA"",""99000772"",""44"","" "",""22"",""False"",""43"",""0.00000000000000000000"",""12"",""Pouch Spout - Red 1797C"",""50220"",""False"",""29"","""",""50210"",""False"",""18"","""",""11"",""P0025"",""2"",""30000"",""1"",""Z-ISP0011"",""14"",""1.00000000000000000000"",""45"",""1.0000000000"&amp;"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Red 1797C","50220","False","29","","50210","False","18","","11","P0025","2","30000","1","Z-ISP0011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7" s="15"/>
      <c r="D2017" s="16" t="str">
        <f>"Z-ISP0011"</f>
        <v>Z-ISP0011</v>
      </c>
      <c r="E2017" s="16">
        <v>30000</v>
      </c>
      <c r="F2017" s="16" t="str">
        <f>"P0025"</f>
        <v>P0025</v>
      </c>
      <c r="G2017" s="17" t="str">
        <f>"Pouch Spout - Red 1797C"</f>
        <v>Pouch Spout - Red 1797C</v>
      </c>
      <c r="H2017" s="18" t="str">
        <f t="shared" si="198"/>
        <v>CAPS</v>
      </c>
      <c r="I2017" s="19">
        <v>1</v>
      </c>
      <c r="J2017" s="20">
        <v>1</v>
      </c>
    </row>
    <row r="2018" spans="1:10" ht="15.75" thickBot="1" x14ac:dyDescent="0.3">
      <c r="A2018" t="s">
        <v>31</v>
      </c>
      <c r="B2018" s="15" t="str">
        <f>"""Manzana NAV"",""MANZANA"",""99000772"",""44"","" "",""22"",""False"",""43"",""0.00000000000000000000"",""12"",""Pouch Spout - Standard Yellow"",""50220"",""False"",""29"","""",""50210"",""False"",""18"","""",""11"",""P0022"",""2"",""10000"",""1"",""ISP0019"",""14"",""1.00000000000000000000"",""45"",""1.000000"&amp;"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Standard Yellow","50220","False","29","","50210","False","18","","11","P0022","2","10000","1","ISP0019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8" s="15"/>
      <c r="D2018" s="16" t="str">
        <f>"ISP0019"</f>
        <v>ISP0019</v>
      </c>
      <c r="E2018" s="16">
        <v>10000</v>
      </c>
      <c r="F2018" s="16" t="str">
        <f>"P0022"</f>
        <v>P0022</v>
      </c>
      <c r="G2018" s="17" t="str">
        <f>"Pouch Spout - Standard Yellow"</f>
        <v>Pouch Spout - Standard Yellow</v>
      </c>
      <c r="H2018" s="18" t="str">
        <f t="shared" si="198"/>
        <v>CAPS</v>
      </c>
      <c r="I2018" s="19">
        <v>1</v>
      </c>
      <c r="J2018" s="20">
        <v>1</v>
      </c>
    </row>
    <row r="2019" spans="1:10" ht="15.75" thickBot="1" x14ac:dyDescent="0.3">
      <c r="A2019" t="s">
        <v>31</v>
      </c>
      <c r="B2019" s="15" t="str">
        <f>"""Manzana NAV"",""MANZANA"",""99000772"",""44"","" "",""22"",""False"",""43"",""0.00000000000000000000"",""12"",""Sauce Cup Foil CADIA ORG Blend"",""50220"",""False"",""29"","""",""50210"",""False"",""18"","""",""11"",""PCF009"",""2"",""30000"",""1"",""ISCU019"",""14"",""1.00000000000000000000"",""45"",""1.0000"&amp;"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 Blend","50220","False","29","","50210","False","18","","11","PCF009","2","30000","1","ISCU019","14","1.00000000000000000000","45","1.00000000000000000000","19","","20","0.00000000000000000000","50000","0.00000000000000000000","50230","False","28","","10","Item","13","FOIL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19" s="15"/>
      <c r="D2019" s="16" t="str">
        <f>"ISCU019"</f>
        <v>ISCU019</v>
      </c>
      <c r="E2019" s="16">
        <v>30000</v>
      </c>
      <c r="F2019" s="16" t="str">
        <f>"PCF009"</f>
        <v>PCF009</v>
      </c>
      <c r="G2019" s="17" t="str">
        <f>"Sauce Cup Foil CADIA ORG Blend"</f>
        <v>Sauce Cup Foil CADIA ORG Blend</v>
      </c>
      <c r="H2019" s="18" t="str">
        <f t="shared" ref="H2019:H2041" si="201">"FOIL LIDS"</f>
        <v>FOIL LIDS</v>
      </c>
      <c r="I2019" s="19">
        <v>1</v>
      </c>
      <c r="J2019" s="20">
        <v>1</v>
      </c>
    </row>
    <row r="2020" spans="1:10" ht="15.75" thickBot="1" x14ac:dyDescent="0.3">
      <c r="A2020" t="s">
        <v>31</v>
      </c>
      <c r="B2020" s="15" t="str">
        <f>"""Manzana NAV"",""MANZANA"",""99000772"",""44"","" "",""22"",""False"",""43"",""0.00000000000000000000"",""12"",""Sauce Cup Foil CADIA Organic"",""50220"",""False"",""29"","""",""50210"",""False"",""18"","""",""11"",""PCF009"",""2"",""30000"",""1"",""ISCU020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Organic","50220","False","29","","50210","False","18","","11","PCF009","2","30000","1","ISCU020","14","1.00000000000000000000","45","1.00000000000000000000","19","","20","0.00000000000000000000","50000","0.00000000000000000000","50230","False","28","","10","Item","13","FOIL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0" s="15"/>
      <c r="D2020" s="16" t="str">
        <f>"ISCU020"</f>
        <v>ISCU020</v>
      </c>
      <c r="E2020" s="16">
        <v>30000</v>
      </c>
      <c r="F2020" s="16" t="str">
        <f>"PCF009"</f>
        <v>PCF009</v>
      </c>
      <c r="G2020" s="17" t="str">
        <f>"Sauce Cup Foil CADIA Organic"</f>
        <v>Sauce Cup Foil CADIA Organic</v>
      </c>
      <c r="H2020" s="18" t="str">
        <f t="shared" si="201"/>
        <v>FOIL LIDS</v>
      </c>
      <c r="I2020" s="19">
        <v>1</v>
      </c>
      <c r="J2020" s="20">
        <v>1</v>
      </c>
    </row>
    <row r="2021" spans="1:10" ht="15.75" thickBot="1" x14ac:dyDescent="0.3">
      <c r="A2021" t="s">
        <v>31</v>
      </c>
      <c r="B2021" s="15" t="str">
        <f>"""Manzana NAV"",""MANZANA"",""99000772"",""44"","" "",""22"",""False"",""43"",""0.00000000000000000000"",""12"",""Sauce Cup Foil CADIA Organic"",""50220"",""False"",""29"","""",""50210"",""False"",""18"","""",""11"",""PCF009"",""2"",""30000"",""1"",""ISCU021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Organic","50220","False","29","","50210","False","18","","11","PCF009","2","30000","1","ISCU021","14","1.00000000000000000000","45","1.00000000000000000000","19","","20","0.00000000000000000000","50000","0.00000000000000000000","50230","False","28","","10","Item","13","FOIL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1" s="15"/>
      <c r="D2021" s="16" t="str">
        <f>"ISCU021"</f>
        <v>ISCU021</v>
      </c>
      <c r="E2021" s="16">
        <v>30000</v>
      </c>
      <c r="F2021" s="16" t="str">
        <f>"PCF009"</f>
        <v>PCF009</v>
      </c>
      <c r="G2021" s="17" t="str">
        <f>"Sauce Cup Foil CADIA Organic"</f>
        <v>Sauce Cup Foil CADIA Organic</v>
      </c>
      <c r="H2021" s="18" t="str">
        <f t="shared" si="201"/>
        <v>FOIL LIDS</v>
      </c>
      <c r="I2021" s="19">
        <v>1</v>
      </c>
      <c r="J2021" s="20">
        <v>1</v>
      </c>
    </row>
    <row r="2022" spans="1:10" ht="15.75" thickBot="1" x14ac:dyDescent="0.3">
      <c r="A2022" t="s">
        <v>31</v>
      </c>
      <c r="B2022" s="15" t="str">
        <f>"""Manzana NAV"",""MANZANA"",""99000772"",""44"","" "",""22"",""False"",""43"",""0.00000000000000000000"",""12"",""Sauce Cup Foil CADIA Organic"",""50220"",""False"",""29"","""",""50210"",""False"",""18"","""",""11"",""PCF009"",""2"",""30000"",""1"",""ISCU022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Organic","50220","False","29","","50210","False","18","","11","PCF009","2","30000","1","ISCU022","14","1.00000000000000000000","45","1.00000000000000000000","19","","20","0.00000000000000000000","50000","0.00000000000000000000","50230","False","28","","10","Item","13","FOIL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2" s="15"/>
      <c r="D2022" s="16" t="str">
        <f>"ISCU022"</f>
        <v>ISCU022</v>
      </c>
      <c r="E2022" s="16">
        <v>30000</v>
      </c>
      <c r="F2022" s="16" t="str">
        <f>"PCF009"</f>
        <v>PCF009</v>
      </c>
      <c r="G2022" s="17" t="str">
        <f>"Sauce Cup Foil CADIA Organic"</f>
        <v>Sauce Cup Foil CADIA Organic</v>
      </c>
      <c r="H2022" s="18" t="str">
        <f t="shared" si="201"/>
        <v>FOIL LIDS</v>
      </c>
      <c r="I2022" s="19">
        <v>1</v>
      </c>
      <c r="J2022" s="20">
        <v>1</v>
      </c>
    </row>
    <row r="2023" spans="1:10" ht="15.75" thickBot="1" x14ac:dyDescent="0.3">
      <c r="A2023" t="s">
        <v>31</v>
      </c>
      <c r="B2023" s="15" t="str">
        <f>"""Manzana NAV"",""MANZANA"",""99000772"",""44"","" "",""22"",""False"",""43"",""0.00000000000000000000"",""12"",""Sauce Cup Foil CTL MKT Blend"",""50220"",""False"",""29"","""",""50210"",""False"",""18"","""",""11"",""PCF002"",""2"",""30000"",""1"",""ISCU011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CTL MKT Blend","50220","False","29","","50210","False","18","","11","PCF002","2","30000","1","ISCU011","14","1.00000000000000000000","45","1.00000000000000000000","19","","20","0.00000000000000000000","50000","0.00000000000000000000","50230","False","28","","10","Item","13","FOIL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3" s="15"/>
      <c r="D2023" s="16" t="str">
        <f>"ISCU011"</f>
        <v>ISCU011</v>
      </c>
      <c r="E2023" s="16">
        <v>30000</v>
      </c>
      <c r="F2023" s="16" t="str">
        <f>"PCF002"</f>
        <v>PCF002</v>
      </c>
      <c r="G2023" s="17" t="str">
        <f>"Sauce Cup Foil CTL MKT Blend"</f>
        <v>Sauce Cup Foil CTL MKT Blend</v>
      </c>
      <c r="H2023" s="18" t="str">
        <f t="shared" si="201"/>
        <v>FOIL LIDS</v>
      </c>
      <c r="I2023" s="19">
        <v>1</v>
      </c>
      <c r="J2023" s="20">
        <v>1</v>
      </c>
    </row>
    <row r="2024" spans="1:10" ht="15.75" thickBot="1" x14ac:dyDescent="0.3">
      <c r="A2024" t="s">
        <v>31</v>
      </c>
      <c r="B2024" s="15" t="str">
        <f>"""Manzana NAV"",""MANZANA"",""99000772"",""44"","" "",""22"",""False"",""43"",""0.00000000000000000000"",""12"",""Sauce Cup Foil CTL MKT Cinnamon"",""50220"",""False"",""29"","""",""50210"",""False"",""18"","""",""11"",""PCF004"",""2"",""30000"",""1"",""ISCU013"",""14"",""1.00000000000000000000"",""45"",""1.000"&amp;"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CTL MKT Cinnamon","50220","False","29","","50210","False","18","","11","PCF004","2","30000","1","ISCU013","14","1.00000000000000000000","45","1.00000000000000000000","19","","20","0.00000000000000000000","50000","0.00000000000000000000","50230","False","28","","10","Item","13","FOIL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4" s="15"/>
      <c r="D2024" s="16" t="str">
        <f>"ISCU013"</f>
        <v>ISCU013</v>
      </c>
      <c r="E2024" s="16">
        <v>30000</v>
      </c>
      <c r="F2024" s="16" t="str">
        <f>"PCF004"</f>
        <v>PCF004</v>
      </c>
      <c r="G2024" s="17" t="str">
        <f>"Sauce Cup Foil CTL MKT Cinnamon"</f>
        <v>Sauce Cup Foil CTL MKT Cinnamon</v>
      </c>
      <c r="H2024" s="18" t="str">
        <f t="shared" si="201"/>
        <v>FOIL LIDS</v>
      </c>
      <c r="I2024" s="19">
        <v>1</v>
      </c>
      <c r="J2024" s="20">
        <v>1</v>
      </c>
    </row>
    <row r="2025" spans="1:10" ht="15.75" thickBot="1" x14ac:dyDescent="0.3">
      <c r="A2025" t="s">
        <v>31</v>
      </c>
      <c r="B2025" s="15" t="str">
        <f>"""Manzana NAV"",""MANZANA"",""99000772"",""44"","" "",""22"",""False"",""43"",""0.00000000000000000000"",""12"",""Sauce Cup Foil CTL MKT Sweet Blend"",""50220"",""False"",""29"","""",""50210"",""False"",""18"","""",""11"",""PCF003"",""2"",""30000"",""1"",""ISCU012"",""14"",""1.00000000000000000000"",""45"",""1."&amp;"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CTL MKT Sweet Blend","50220","False","29","","50210","False","18","","11","PCF003","2","30000","1","ISCU012","14","1.00000000000000000000","45","1.00000000000000000000","19","","20","0.00000000000000000000","50000","0.00000000000000000000","50230","False","28","","10","Item","13","FOIL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5" s="15"/>
      <c r="D2025" s="16" t="str">
        <f>"ISCU012"</f>
        <v>ISCU012</v>
      </c>
      <c r="E2025" s="16">
        <v>30000</v>
      </c>
      <c r="F2025" s="16" t="str">
        <f>"PCF003"</f>
        <v>PCF003</v>
      </c>
      <c r="G2025" s="17" t="str">
        <f>"Sauce Cup Foil CTL MKT Sweet Blend"</f>
        <v>Sauce Cup Foil CTL MKT Sweet Blend</v>
      </c>
      <c r="H2025" s="18" t="str">
        <f t="shared" si="201"/>
        <v>FOIL LIDS</v>
      </c>
      <c r="I2025" s="19">
        <v>1</v>
      </c>
      <c r="J2025" s="20">
        <v>1</v>
      </c>
    </row>
    <row r="2026" spans="1:10" ht="15.75" thickBot="1" x14ac:dyDescent="0.3">
      <c r="A2026" t="s">
        <v>31</v>
      </c>
      <c r="B2026" s="15" t="str">
        <f>"""Manzana NAV"",""MANZANA"",""99000772"",""44"","" "",""22"",""False"",""43"",""0.00000000000000000000"",""12"",""Sauce Cup Foil Lid - Blank"",""50220"",""False"",""29"","""",""50210"",""False"",""18"","""",""11"",""PCF001"",""2"",""20000"",""1"",""ISCU026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Blank","50220","False","29","","50210","False","18","","11","PCF001","2","20000","1","ISCU026","14","1.00000000000000000000","45","1.00000000000000000000","19","","20","0.00000000000000000000","50000","0.00000000000000000000","50230","False","28","","10","Item","13","FOIL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6" s="15"/>
      <c r="D2026" s="16" t="str">
        <f>"ISCU026"</f>
        <v>ISCU026</v>
      </c>
      <c r="E2026" s="16">
        <v>20000</v>
      </c>
      <c r="F2026" s="16" t="str">
        <f t="shared" ref="F2026:F2037" si="202">"PCF001"</f>
        <v>PCF001</v>
      </c>
      <c r="G2026" s="17" t="str">
        <f t="shared" ref="G2026:G2037" si="203">"Sauce Cup Foil Lid - Blank"</f>
        <v>Sauce Cup Foil Lid - Blank</v>
      </c>
      <c r="H2026" s="18" t="str">
        <f t="shared" si="201"/>
        <v>FOIL LIDS</v>
      </c>
      <c r="I2026" s="19">
        <v>1</v>
      </c>
      <c r="J2026" s="20">
        <v>1</v>
      </c>
    </row>
    <row r="2027" spans="1:10" ht="15.75" thickBot="1" x14ac:dyDescent="0.3">
      <c r="A2027" t="s">
        <v>31</v>
      </c>
      <c r="B2027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001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Blank","50220","False","29","","50210","False","18","","11","PCF001","2","30000","1","ISCU001","14","1.00000000000000000000","45","1.00000000000000000000","19","","20","0.00000000000000000000","50000","0.00000000000000000000","50230","False","28","","10","Item","13","FOIL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7" s="15"/>
      <c r="D2027" s="16" t="str">
        <f>"ISCU001"</f>
        <v>ISCU001</v>
      </c>
      <c r="E2027" s="16">
        <v>30000</v>
      </c>
      <c r="F2027" s="16" t="str">
        <f t="shared" si="202"/>
        <v>PCF001</v>
      </c>
      <c r="G2027" s="17" t="str">
        <f t="shared" si="203"/>
        <v>Sauce Cup Foil Lid - Blank</v>
      </c>
      <c r="H2027" s="18" t="str">
        <f t="shared" si="201"/>
        <v>FOIL LIDS</v>
      </c>
      <c r="I2027" s="19">
        <v>1</v>
      </c>
      <c r="J2027" s="20">
        <v>1</v>
      </c>
    </row>
    <row r="2028" spans="1:10" ht="15.75" thickBot="1" x14ac:dyDescent="0.3">
      <c r="A2028" t="s">
        <v>31</v>
      </c>
      <c r="B2028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002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Blank","50220","False","29","","50210","False","18","","11","PCF001","2","30000","1","ISCU002","14","1.00000000000000000000","45","1.00000000000000000000","19","","20","0.00000000000000000000","50000","0.00000000000000000000","50230","False","28","","10","Item","13","FOIL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8" s="15"/>
      <c r="D2028" s="16" t="str">
        <f>"ISCU002"</f>
        <v>ISCU002</v>
      </c>
      <c r="E2028" s="16">
        <v>30000</v>
      </c>
      <c r="F2028" s="16" t="str">
        <f t="shared" si="202"/>
        <v>PCF001</v>
      </c>
      <c r="G2028" s="17" t="str">
        <f t="shared" si="203"/>
        <v>Sauce Cup Foil Lid - Blank</v>
      </c>
      <c r="H2028" s="18" t="str">
        <f t="shared" si="201"/>
        <v>FOIL LIDS</v>
      </c>
      <c r="I2028" s="19">
        <v>1</v>
      </c>
      <c r="J2028" s="20">
        <v>1</v>
      </c>
    </row>
    <row r="2029" spans="1:10" ht="15.75" thickBot="1" x14ac:dyDescent="0.3">
      <c r="A2029" t="s">
        <v>31</v>
      </c>
      <c r="B2029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004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Blank","50220","False","29","","50210","False","18","","11","PCF001","2","30000","1","ISCU004","14","1.00000000000000000000","45","1.00000000000000000000","19","","20","0.00000000000000000000","50000","0.00000000000000000000","50230","False","28","","10","Item","13","FOIL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9" s="15"/>
      <c r="D2029" s="16" t="str">
        <f>"ISCU004"</f>
        <v>ISCU004</v>
      </c>
      <c r="E2029" s="16">
        <v>30000</v>
      </c>
      <c r="F2029" s="16" t="str">
        <f t="shared" si="202"/>
        <v>PCF001</v>
      </c>
      <c r="G2029" s="17" t="str">
        <f t="shared" si="203"/>
        <v>Sauce Cup Foil Lid - Blank</v>
      </c>
      <c r="H2029" s="18" t="str">
        <f t="shared" si="201"/>
        <v>FOIL LIDS</v>
      </c>
      <c r="I2029" s="19">
        <v>1</v>
      </c>
      <c r="J2029" s="20">
        <v>1</v>
      </c>
    </row>
    <row r="2030" spans="1:10" ht="15.75" thickBot="1" x14ac:dyDescent="0.3">
      <c r="A2030" t="s">
        <v>31</v>
      </c>
      <c r="B2030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006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Blank","50220","False","29","","50210","False","18","","11","PCF001","2","30000","1","ISCU006","14","1.00000000000000000000","45","1.00000000000000000000","19","","20","0.00000000000000000000","50000","0.00000000000000000000","50230","False","28","","10","Item","13","FOIL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0" s="15"/>
      <c r="D2030" s="16" t="str">
        <f>"ISCU006"</f>
        <v>ISCU006</v>
      </c>
      <c r="E2030" s="16">
        <v>30000</v>
      </c>
      <c r="F2030" s="16" t="str">
        <f t="shared" si="202"/>
        <v>PCF001</v>
      </c>
      <c r="G2030" s="17" t="str">
        <f t="shared" si="203"/>
        <v>Sauce Cup Foil Lid - Blank</v>
      </c>
      <c r="H2030" s="18" t="str">
        <f t="shared" si="201"/>
        <v>FOIL LIDS</v>
      </c>
      <c r="I2030" s="19">
        <v>1</v>
      </c>
      <c r="J2030" s="20">
        <v>1</v>
      </c>
    </row>
    <row r="2031" spans="1:10" ht="15.75" thickBot="1" x14ac:dyDescent="0.3">
      <c r="A2031" t="s">
        <v>31</v>
      </c>
      <c r="B2031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007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Blank","50220","False","29","","50210","False","18","","11","PCF001","2","30000","1","ISCU007","14","1.00000000000000000000","45","1.00000000000000000000","19","","20","0.00000000000000000000","50000","0.00000000000000000000","50230","False","28","","10","Item","13","FOIL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1" s="15"/>
      <c r="D2031" s="16" t="str">
        <f>"ISCU007"</f>
        <v>ISCU007</v>
      </c>
      <c r="E2031" s="16">
        <v>30000</v>
      </c>
      <c r="F2031" s="16" t="str">
        <f t="shared" si="202"/>
        <v>PCF001</v>
      </c>
      <c r="G2031" s="17" t="str">
        <f t="shared" si="203"/>
        <v>Sauce Cup Foil Lid - Blank</v>
      </c>
      <c r="H2031" s="18" t="str">
        <f t="shared" si="201"/>
        <v>FOIL LIDS</v>
      </c>
      <c r="I2031" s="19">
        <v>1</v>
      </c>
      <c r="J2031" s="20">
        <v>1</v>
      </c>
    </row>
    <row r="2032" spans="1:10" ht="15.75" thickBot="1" x14ac:dyDescent="0.3">
      <c r="A2032" t="s">
        <v>31</v>
      </c>
      <c r="B2032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008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Blank","50220","False","29","","50210","False","18","","11","PCF001","2","30000","1","ISCU008","14","1.00000000000000000000","45","1.00000000000000000000","19","","20","0.00000000000000000000","50000","0.00000000000000000000","50230","False","28","","10","Item","13","FOIL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2" s="15"/>
      <c r="D2032" s="16" t="str">
        <f>"ISCU008"</f>
        <v>ISCU008</v>
      </c>
      <c r="E2032" s="16">
        <v>30000</v>
      </c>
      <c r="F2032" s="16" t="str">
        <f t="shared" si="202"/>
        <v>PCF001</v>
      </c>
      <c r="G2032" s="17" t="str">
        <f t="shared" si="203"/>
        <v>Sauce Cup Foil Lid - Blank</v>
      </c>
      <c r="H2032" s="18" t="str">
        <f t="shared" si="201"/>
        <v>FOIL LIDS</v>
      </c>
      <c r="I2032" s="19">
        <v>1</v>
      </c>
      <c r="J2032" s="20">
        <v>1</v>
      </c>
    </row>
    <row r="2033" spans="1:10" ht="15.75" thickBot="1" x14ac:dyDescent="0.3">
      <c r="A2033" t="s">
        <v>31</v>
      </c>
      <c r="B2033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009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Blank","50220","False","29","","50210","False","18","","11","PCF001","2","30000","1","ISCU009","14","1.00000000000000000000","45","1.00000000000000000000","19","","20","0.00000000000000000000","50000","0.00000000000000000000","50230","False","28","","10","Item","13","FOIL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3" s="15"/>
      <c r="D2033" s="16" t="str">
        <f>"ISCU009"</f>
        <v>ISCU009</v>
      </c>
      <c r="E2033" s="16">
        <v>30000</v>
      </c>
      <c r="F2033" s="16" t="str">
        <f t="shared" si="202"/>
        <v>PCF001</v>
      </c>
      <c r="G2033" s="17" t="str">
        <f t="shared" si="203"/>
        <v>Sauce Cup Foil Lid - Blank</v>
      </c>
      <c r="H2033" s="18" t="str">
        <f t="shared" si="201"/>
        <v>FOIL LIDS</v>
      </c>
      <c r="I2033" s="19">
        <v>1</v>
      </c>
      <c r="J2033" s="20">
        <v>1</v>
      </c>
    </row>
    <row r="2034" spans="1:10" ht="15.75" thickBot="1" x14ac:dyDescent="0.3">
      <c r="A2034" t="s">
        <v>31</v>
      </c>
      <c r="B2034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010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Blank","50220","False","29","","50210","False","18","","11","PCF001","2","30000","1","ISCU010","14","1.00000000000000000000","45","1.00000000000000000000","19","","20","0.00000000000000000000","50000","0.00000000000000000000","50230","False","28","","10","Item","13","FOIL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4" s="15"/>
      <c r="D2034" s="16" t="str">
        <f>"ISCU010"</f>
        <v>ISCU010</v>
      </c>
      <c r="E2034" s="16">
        <v>30000</v>
      </c>
      <c r="F2034" s="16" t="str">
        <f t="shared" si="202"/>
        <v>PCF001</v>
      </c>
      <c r="G2034" s="17" t="str">
        <f t="shared" si="203"/>
        <v>Sauce Cup Foil Lid - Blank</v>
      </c>
      <c r="H2034" s="18" t="str">
        <f t="shared" si="201"/>
        <v>FOIL LIDS</v>
      </c>
      <c r="I2034" s="19">
        <v>1</v>
      </c>
      <c r="J2034" s="20">
        <v>1</v>
      </c>
    </row>
    <row r="2035" spans="1:10" ht="15.75" thickBot="1" x14ac:dyDescent="0.3">
      <c r="A2035" t="s">
        <v>31</v>
      </c>
      <c r="B2035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018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Blank","50220","False","29","","50210","False","18","","11","PCF001","2","30000","1","ISCU018","14","1.00000000000000000000","45","1.00000000000000000000","19","","20","0.00000000000000000000","50000","0.00000000000000000000","50230","False","28","","10","Item","13","FOIL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5" s="15"/>
      <c r="D2035" s="16" t="str">
        <f>"ISCU018"</f>
        <v>ISCU018</v>
      </c>
      <c r="E2035" s="16">
        <v>30000</v>
      </c>
      <c r="F2035" s="16" t="str">
        <f t="shared" si="202"/>
        <v>PCF001</v>
      </c>
      <c r="G2035" s="17" t="str">
        <f t="shared" si="203"/>
        <v>Sauce Cup Foil Lid - Blank</v>
      </c>
      <c r="H2035" s="18" t="str">
        <f t="shared" si="201"/>
        <v>FOIL LIDS</v>
      </c>
      <c r="I2035" s="19">
        <v>1</v>
      </c>
      <c r="J2035" s="20">
        <v>1</v>
      </c>
    </row>
    <row r="2036" spans="1:10" ht="15.75" thickBot="1" x14ac:dyDescent="0.3">
      <c r="A2036" t="s">
        <v>31</v>
      </c>
      <c r="B2036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024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Blank","50220","False","29","","50210","False","18","","11","PCF001","2","30000","1","ISCU024","14","1.00000000000000000000","45","1.00000000000000000000","19","","20","0.00000000000000000000","50000","0.00000000000000000000","50230","False","28","","10","Item","13","FOIL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6" s="15"/>
      <c r="D2036" s="16" t="str">
        <f>"ISCU024"</f>
        <v>ISCU024</v>
      </c>
      <c r="E2036" s="16">
        <v>30000</v>
      </c>
      <c r="F2036" s="16" t="str">
        <f t="shared" si="202"/>
        <v>PCF001</v>
      </c>
      <c r="G2036" s="17" t="str">
        <f t="shared" si="203"/>
        <v>Sauce Cup Foil Lid - Blank</v>
      </c>
      <c r="H2036" s="18" t="str">
        <f t="shared" si="201"/>
        <v>FOIL LIDS</v>
      </c>
      <c r="I2036" s="19">
        <v>1</v>
      </c>
      <c r="J2036" s="20">
        <v>1</v>
      </c>
    </row>
    <row r="2037" spans="1:10" ht="15.75" thickBot="1" x14ac:dyDescent="0.3">
      <c r="A2037" t="s">
        <v>31</v>
      </c>
      <c r="B2037" s="15" t="str">
        <f>"""Manzana NAV"",""MANZANA"",""99000772"",""44"","" "",""22"",""False"",""43"",""0.00000000000000000000"",""12"",""Sauce Cup Foil Lid - Blank"",""50220"",""False"",""29"","""",""50210"",""False"",""18"","""",""11"",""PCF001"",""2"",""30000"",""1"",""ISCU025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Blank","50220","False","29","","50210","False","18","","11","PCF001","2","30000","1","ISCU025","14","1.00000000000000000000","45","1.00000000000000000000","19","","20","0.00000000000000000000","50000","0.00000000000000000000","50230","False","28","","10","Item","13","FOIL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7" s="15"/>
      <c r="D2037" s="16" t="str">
        <f>"ISCU025"</f>
        <v>ISCU025</v>
      </c>
      <c r="E2037" s="16">
        <v>30000</v>
      </c>
      <c r="F2037" s="16" t="str">
        <f t="shared" si="202"/>
        <v>PCF001</v>
      </c>
      <c r="G2037" s="17" t="str">
        <f t="shared" si="203"/>
        <v>Sauce Cup Foil Lid - Blank</v>
      </c>
      <c r="H2037" s="18" t="str">
        <f t="shared" si="201"/>
        <v>FOIL LIDS</v>
      </c>
      <c r="I2037" s="19">
        <v>1</v>
      </c>
      <c r="J2037" s="20">
        <v>1</v>
      </c>
    </row>
    <row r="2038" spans="1:10" ht="15.75" thickBot="1" x14ac:dyDescent="0.3">
      <c r="A2038" t="s">
        <v>31</v>
      </c>
      <c r="B2038" s="15" t="str">
        <f>"""Manzana NAV"",""MANZANA"",""99000772"",""44"","" "",""22"",""False"",""43"",""0.00000000000000000000"",""12"",""Sauce Cup Foil SPIRAL FOODS Apricot"",""50220"",""False"",""29"","""",""50210"",""False"",""18"","""",""11"",""PCF008"",""2"",""30000"",""1"",""ISCU017"",""14"",""1.00000000000000000000"",""45"",""1"&amp;".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Apricot","50220","False","29","","50210","False","18","","11","PCF008","2","30000","1","ISCU017","14","1.00000000000000000000","45","1.00000000000000000000","19","","20","0.00000000000000000000","50000","0.00000000000000000000","50230","False","28","","10","Item","13","FOIL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8" s="15"/>
      <c r="D2038" s="16" t="str">
        <f>"ISCU017"</f>
        <v>ISCU017</v>
      </c>
      <c r="E2038" s="16">
        <v>30000</v>
      </c>
      <c r="F2038" s="16" t="str">
        <f>"PCF008"</f>
        <v>PCF008</v>
      </c>
      <c r="G2038" s="17" t="str">
        <f>"Sauce Cup Foil SPIRAL FOODS Apricot"</f>
        <v>Sauce Cup Foil SPIRAL FOODS Apricot</v>
      </c>
      <c r="H2038" s="18" t="str">
        <f t="shared" si="201"/>
        <v>FOIL LIDS</v>
      </c>
      <c r="I2038" s="19">
        <v>1</v>
      </c>
      <c r="J2038" s="20">
        <v>1</v>
      </c>
    </row>
    <row r="2039" spans="1:10" ht="15.75" thickBot="1" x14ac:dyDescent="0.3">
      <c r="A2039" t="s">
        <v>31</v>
      </c>
      <c r="B2039" s="15" t="str">
        <f>"""Manzana NAV"",""MANZANA"",""99000772"",""44"","" "",""22"",""False"",""43"",""0.00000000000000000000"",""12"",""Sauce Cup Foil SPIRAL FOODS Blend"",""50220"",""False"",""29"","""",""50210"",""False"",""18"","""",""11"",""PCF005"",""2"",""30000"",""1"",""ISCU014"",""14"",""1.00000000000000000000"",""45"",""1.0"&amp;"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Blend","50220","False","29","","50210","False","18","","11","PCF005","2","30000","1","ISCU014","14","1.00000000000000000000","45","1.00000000000000000000","19","","20","0.00000000000000000000","50000","0.00000000000000000000","50230","False","28","","10","Item","13","FOIL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9" s="15"/>
      <c r="D2039" s="16" t="str">
        <f>"ISCU014"</f>
        <v>ISCU014</v>
      </c>
      <c r="E2039" s="16">
        <v>30000</v>
      </c>
      <c r="F2039" s="16" t="str">
        <f>"PCF005"</f>
        <v>PCF005</v>
      </c>
      <c r="G2039" s="17" t="str">
        <f>"Sauce Cup Foil SPIRAL FOODS Blend"</f>
        <v>Sauce Cup Foil SPIRAL FOODS Blend</v>
      </c>
      <c r="H2039" s="18" t="str">
        <f t="shared" si="201"/>
        <v>FOIL LIDS</v>
      </c>
      <c r="I2039" s="19">
        <v>1</v>
      </c>
      <c r="J2039" s="20">
        <v>1</v>
      </c>
    </row>
    <row r="2040" spans="1:10" ht="15.75" thickBot="1" x14ac:dyDescent="0.3">
      <c r="A2040" t="s">
        <v>31</v>
      </c>
      <c r="B2040" s="15" t="str">
        <f>"""Manzana NAV"",""MANZANA"",""99000772"",""44"","" "",""22"",""False"",""43"",""0.00000000000000000000"",""12"",""Sauce Cup Foil SPIRAL FOODS Cinnamon"",""50220"",""False"",""29"","""",""50210"",""False"",""18"","""",""11"",""PCF006"",""2"",""30000"",""1"",""ISCU015"",""14"",""1.00000000000000000000"",""45"","""&amp;"1.00000000000000000000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Cinnamon","50220","False","29","","50210","False","18","","11","PCF006","2","30000","1","ISCU015","14","1.00000000000000000000","45","1.00000000000000000000","19","","20","0.00000000000000000000","50000","0.00000000000000000000","50230","False","28","","10","Item","13","FOIL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40" s="15"/>
      <c r="D2040" s="16" t="str">
        <f>"ISCU015"</f>
        <v>ISCU015</v>
      </c>
      <c r="E2040" s="16">
        <v>30000</v>
      </c>
      <c r="F2040" s="16" t="str">
        <f>"PCF006"</f>
        <v>PCF006</v>
      </c>
      <c r="G2040" s="17" t="str">
        <f>"Sauce Cup Foil SPIRAL FOODS Cinnamon"</f>
        <v>Sauce Cup Foil SPIRAL FOODS Cinnamon</v>
      </c>
      <c r="H2040" s="18" t="str">
        <f t="shared" si="201"/>
        <v>FOIL LIDS</v>
      </c>
      <c r="I2040" s="19">
        <v>1</v>
      </c>
      <c r="J2040" s="20">
        <v>1</v>
      </c>
    </row>
    <row r="2041" spans="1:10" ht="15.75" thickBot="1" x14ac:dyDescent="0.3">
      <c r="A2041" t="s">
        <v>31</v>
      </c>
      <c r="B2041" s="15" t="str">
        <f>"""Manzana NAV"",""MANZANA"",""99000772"",""44"","" "",""22"",""False"",""43"",""0.00000000000000000000"",""12"",""Sauce Cup Foil SPIRAL FOODS ORG Blackberry"",""50220"",""False"",""29"","""",""50210"",""False"",""18"","""",""11"",""PCF013"",""2"",""30000"",""1"",""ISCU023"",""14"",""1.00000000000000000000"","&amp;"""45"",""1.00000000000000000000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ORG Blackberry","50220","False","29","","50210","False","18","","11","PCF013","2","30000","1","ISCU023","14","1.00000000000000000000","45","1.00000000000000000000","19","","20","0.00000000000000000000","50000","0.00000000000000000000","50230","False","28","","10","Item","13","FOIL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41" s="15"/>
      <c r="D2041" s="16" t="str">
        <f>"ISCU023"</f>
        <v>ISCU023</v>
      </c>
      <c r="E2041" s="16">
        <v>30000</v>
      </c>
      <c r="F2041" s="16" t="str">
        <f>"PCF013"</f>
        <v>PCF013</v>
      </c>
      <c r="G2041" s="17" t="str">
        <f>"Sauce Cup Foil SPIRAL FOODS ORG Blackberry"</f>
        <v>Sauce Cup Foil SPIRAL FOODS ORG Blackberry</v>
      </c>
      <c r="H2041" s="18" t="str">
        <f t="shared" si="201"/>
        <v>FOIL LIDS</v>
      </c>
      <c r="I2041" s="19">
        <v>1</v>
      </c>
      <c r="J2041" s="20">
        <v>1</v>
      </c>
    </row>
    <row r="2042" spans="1:10" ht="15.75" thickBot="1" x14ac:dyDescent="0.3">
      <c r="A2042" t="s">
        <v>31</v>
      </c>
      <c r="B2042" s="15" t="str">
        <f>"""Manzana NAV"",""MANZANA"",""99000772"",""44"","" "",""22"",""False"",""43"",""0.00000000000000000000"",""12"",""Sauce Pouch Foil Blank"",""50220"",""False"",""29"","""",""50210"",""False"",""18"","""",""11"",""PF0001"",""2"",""10000"",""1"",""ISPT000"",""14"",""1.00000000000000000000"",""45"",""1.000000000000"&amp;"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Blank","50220","False","29","","50210","False","18","","11","PF0001","2","10000","1","ISPT000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2" s="15"/>
      <c r="D2042" s="16" t="str">
        <f>"ISPT000"</f>
        <v>ISPT000</v>
      </c>
      <c r="E2042" s="16">
        <v>10000</v>
      </c>
      <c r="F2042" s="16" t="str">
        <f>"PF0001"</f>
        <v>PF0001</v>
      </c>
      <c r="G2042" s="17" t="str">
        <f>"Sauce Pouch Foil Blank"</f>
        <v>Sauce Pouch Foil Blank</v>
      </c>
      <c r="H2042" s="18" t="str">
        <f t="shared" ref="H2042:H2058" si="204">"IMPR"</f>
        <v>IMPR</v>
      </c>
      <c r="I2042" s="19">
        <v>1</v>
      </c>
      <c r="J2042" s="20">
        <v>1</v>
      </c>
    </row>
    <row r="2043" spans="1:10" ht="15.75" thickBot="1" x14ac:dyDescent="0.3">
      <c r="A2043" t="s">
        <v>31</v>
      </c>
      <c r="B2043" s="15" t="str">
        <f>"""Manzana NAV"",""MANZANA"",""99000772"",""44"","" "",""22"",""False"",""43"",""0.00000000000000000000"",""12"",""Sauce Pouch Foil ORG HARMONS Blend 3.2oz"",""50220"",""False"",""29"","""",""50210"",""False"",""18"","""",""11"",""PF0024"",""2"",""10000"",""1"",""ISP0024"",""14"",""1.00000000000000000000"",""4"&amp;"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HARMONS Blend 3.2oz","50220","False","29","","50210","False","18","","11","PF0024","2","10000","1","ISP0024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3" s="15"/>
      <c r="D2043" s="16" t="str">
        <f>"ISP0024"</f>
        <v>ISP0024</v>
      </c>
      <c r="E2043" s="16">
        <v>10000</v>
      </c>
      <c r="F2043" s="16" t="str">
        <f>"PF0024"</f>
        <v>PF0024</v>
      </c>
      <c r="G2043" s="17" t="str">
        <f>"Sauce Pouch Foil ORG HARMONS Blend 3.2oz"</f>
        <v>Sauce Pouch Foil ORG HARMONS Blend 3.2oz</v>
      </c>
      <c r="H2043" s="18" t="str">
        <f t="shared" si="204"/>
        <v>IMPR</v>
      </c>
      <c r="I2043" s="19">
        <v>1</v>
      </c>
      <c r="J2043" s="20">
        <v>1</v>
      </c>
    </row>
    <row r="2044" spans="1:10" ht="15.75" thickBot="1" x14ac:dyDescent="0.3">
      <c r="A2044" t="s">
        <v>31</v>
      </c>
      <c r="B2044" s="15" t="str">
        <f>"""Manzana NAV"",""MANZANA"",""99000772"",""44"","" "",""22"",""False"",""43"",""0.00000000000000000000"",""12"",""Sauce Pouch Foil ORG HARMONS Cinn Apple 3.2oz"",""50220"",""False"",""29"","""",""50210"",""False"",""18"","""",""11"",""PF0025"",""2"",""10000"",""1"",""ISP0025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HARMONS Cinn Apple 3.2oz","50220","False","29","","50210","False","18","","11","PF0025","2","10000","1","ISP0025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4" s="15"/>
      <c r="D2044" s="16" t="str">
        <f>"ISP0025"</f>
        <v>ISP0025</v>
      </c>
      <c r="E2044" s="16">
        <v>10000</v>
      </c>
      <c r="F2044" s="16" t="str">
        <f>"PF0025"</f>
        <v>PF0025</v>
      </c>
      <c r="G2044" s="17" t="str">
        <f>"Sauce Pouch Foil ORG HARMONS Cinn Apple 3.2oz"</f>
        <v>Sauce Pouch Foil ORG HARMONS Cinn Apple 3.2oz</v>
      </c>
      <c r="H2044" s="18" t="str">
        <f t="shared" si="204"/>
        <v>IMPR</v>
      </c>
      <c r="I2044" s="19">
        <v>1</v>
      </c>
      <c r="J2044" s="20">
        <v>1</v>
      </c>
    </row>
    <row r="2045" spans="1:10" ht="15.75" thickBot="1" x14ac:dyDescent="0.3">
      <c r="A2045" t="s">
        <v>31</v>
      </c>
      <c r="B2045" s="15" t="str">
        <f>"""Manzana NAV"",""MANZANA"",""99000772"",""44"","" "",""22"",""False"",""43"",""0.00000000000000000000"",""12"",""Sauce Pouch Foil ORG HARRIS.TEETER Berry 3.2oz"",""50220"",""False"",""29"","""",""50210"",""False"",""18"","""",""11"",""PF0008"",""2"",""10000"",""1"",""ISP0006"",""14"",""1.000000000000000000"&amp;"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HARRIS.TEETER Berry 3.2oz","50220","False","29","","50210","False","18","","11","PF0008","2","10000","1","ISP0006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5" s="15"/>
      <c r="D2045" s="16" t="str">
        <f>"ISP0006"</f>
        <v>ISP0006</v>
      </c>
      <c r="E2045" s="16">
        <v>10000</v>
      </c>
      <c r="F2045" s="16" t="str">
        <f>"PF0008"</f>
        <v>PF0008</v>
      </c>
      <c r="G2045" s="17" t="str">
        <f>"Sauce Pouch Foil ORG HARRIS.TEETER Berry 3.2oz"</f>
        <v>Sauce Pouch Foil ORG HARRIS.TEETER Berry 3.2oz</v>
      </c>
      <c r="H2045" s="18" t="str">
        <f t="shared" si="204"/>
        <v>IMPR</v>
      </c>
      <c r="I2045" s="19">
        <v>1</v>
      </c>
      <c r="J2045" s="20">
        <v>1</v>
      </c>
    </row>
    <row r="2046" spans="1:10" ht="15.75" thickBot="1" x14ac:dyDescent="0.3">
      <c r="A2046" t="s">
        <v>31</v>
      </c>
      <c r="B2046" s="15" t="str">
        <f>"""Manzana NAV"",""MANZANA"",""99000772"",""44"","" "",""22"",""False"",""43"",""0.00000000000000000000"",""12"",""Sauce Pouch Foil ORG HARRIS.TEETER Blend 3.2oz"",""50220"",""False"",""29"","""",""50210"",""False"",""18"","""",""11"",""PF0006"",""2"",""10000"",""1"",""ISP0004"",""14"",""1.000000000000000000"&amp;"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HARRIS.TEETER Blend 3.2oz","50220","False","29","","50210","False","18","","11","PF0006","2","10000","1","ISP0004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6" s="15"/>
      <c r="D2046" s="16" t="str">
        <f>"ISP0004"</f>
        <v>ISP0004</v>
      </c>
      <c r="E2046" s="16">
        <v>10000</v>
      </c>
      <c r="F2046" s="16" t="str">
        <f>"PF0006"</f>
        <v>PF0006</v>
      </c>
      <c r="G2046" s="17" t="str">
        <f>"Sauce Pouch Foil ORG HARRIS.TEETER Blend 3.2oz"</f>
        <v>Sauce Pouch Foil ORG HARRIS.TEETER Blend 3.2oz</v>
      </c>
      <c r="H2046" s="18" t="str">
        <f t="shared" si="204"/>
        <v>IMPR</v>
      </c>
      <c r="I2046" s="19">
        <v>1</v>
      </c>
      <c r="J2046" s="20">
        <v>1</v>
      </c>
    </row>
    <row r="2047" spans="1:10" ht="15.75" thickBot="1" x14ac:dyDescent="0.3">
      <c r="A2047" t="s">
        <v>31</v>
      </c>
      <c r="B2047" s="15" t="str">
        <f>"""Manzana NAV"",""MANZANA"",""99000772"",""44"","" "",""22"",""False"",""43"",""0.00000000000000000000"",""12"",""Sauce Pouch Foil ORG HARRIS.TEETER Cinn 3.2oz"",""50220"",""False"",""29"","""",""50210"",""False"",""18"","""",""11"",""PF0007"",""2"",""10000"",""1"",""ISP0005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HARRIS.TEETER Cinn 3.2oz","50220","False","29","","50210","False","18","","11","PF0007","2","10000","1","ISP0005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7" s="15"/>
      <c r="D2047" s="16" t="str">
        <f>"ISP0005"</f>
        <v>ISP0005</v>
      </c>
      <c r="E2047" s="16">
        <v>10000</v>
      </c>
      <c r="F2047" s="16" t="str">
        <f>"PF0007"</f>
        <v>PF0007</v>
      </c>
      <c r="G2047" s="17" t="str">
        <f>"Sauce Pouch Foil ORG HARRIS.TEETER Cinn 3.2oz"</f>
        <v>Sauce Pouch Foil ORG HARRIS.TEETER Cinn 3.2oz</v>
      </c>
      <c r="H2047" s="18" t="str">
        <f t="shared" si="204"/>
        <v>IMPR</v>
      </c>
      <c r="I2047" s="19">
        <v>1</v>
      </c>
      <c r="J2047" s="20">
        <v>1</v>
      </c>
    </row>
    <row r="2048" spans="1:10" ht="15.75" thickBot="1" x14ac:dyDescent="0.3">
      <c r="A2048" t="s">
        <v>31</v>
      </c>
      <c r="B2048" s="15" t="str">
        <f>"""Manzana NAV"",""MANZANA"",""99000772"",""44"","" "",""22"",""False"",""43"",""0.00000000000000000000"",""12"",""Sauce Pouch Foil ORG N.COAST JAN 2016 Cinn 3.2oz"",""50220"",""False"",""29"","""",""50210"",""False"",""18"","""",""11"",""PF0027"",""2"",""10000"",""1"",""ISP0002"",""14"",""1.0000000000000000"&amp;"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N.COAST JAN 2016 Cinn 3.2oz","50220","False","29","","50210","False","18","","11","PF0027","2","10000","1","ISP0002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8" s="15"/>
      <c r="D2048" s="16" t="str">
        <f>"ISP0002"</f>
        <v>ISP0002</v>
      </c>
      <c r="E2048" s="16">
        <v>10000</v>
      </c>
      <c r="F2048" s="16" t="str">
        <f>"PF0027"</f>
        <v>PF0027</v>
      </c>
      <c r="G2048" s="17" t="str">
        <f>"Sauce Pouch Foil ORG N.COAST JAN 2016 Cinn 3.2oz"</f>
        <v>Sauce Pouch Foil ORG N.COAST JAN 2016 Cinn 3.2oz</v>
      </c>
      <c r="H2048" s="18" t="str">
        <f t="shared" si="204"/>
        <v>IMPR</v>
      </c>
      <c r="I2048" s="19">
        <v>1</v>
      </c>
      <c r="J2048" s="20">
        <v>1</v>
      </c>
    </row>
    <row r="2049" spans="1:10" ht="15.75" thickBot="1" x14ac:dyDescent="0.3">
      <c r="A2049" t="s">
        <v>31</v>
      </c>
      <c r="B2049" s="15" t="str">
        <f>"""Manzana NAV"",""MANZANA"",""99000772"",""44"","" "",""22"",""False"",""43"",""0.00000000000000000000"",""12"",""Sauce Pouch Foil ORG NUTIVA AP Spice 3.5oz"",""50220"",""False"",""29"","""",""50210"",""False"",""18"","""",""11"",""PF0013"",""2"",""10000"",""1"",""Z-ISP0011"",""14"",""1.00000000000000000000"&amp;"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NUTIVA AP Spice 3.5oz","50220","False","29","","50210","False","18","","11","PF0013","2","10000","1","Z-ISP0011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9" s="15"/>
      <c r="D2049" s="16" t="str">
        <f>"Z-ISP0011"</f>
        <v>Z-ISP0011</v>
      </c>
      <c r="E2049" s="16">
        <v>10000</v>
      </c>
      <c r="F2049" s="16" t="str">
        <f>"PF0013"</f>
        <v>PF0013</v>
      </c>
      <c r="G2049" s="17" t="str">
        <f>"Sauce Pouch Foil ORG NUTIVA AP Spice 3.5oz"</f>
        <v>Sauce Pouch Foil ORG NUTIVA AP Spice 3.5oz</v>
      </c>
      <c r="H2049" s="18" t="str">
        <f t="shared" si="204"/>
        <v>IMPR</v>
      </c>
      <c r="I2049" s="19">
        <v>1</v>
      </c>
      <c r="J2049" s="20">
        <v>1</v>
      </c>
    </row>
    <row r="2050" spans="1:10" ht="15.75" thickBot="1" x14ac:dyDescent="0.3">
      <c r="A2050" t="s">
        <v>31</v>
      </c>
      <c r="B2050" s="15" t="str">
        <f>"""Manzana NAV"",""MANZANA"",""99000772"",""44"","" "",""22"",""False"",""43"",""0.00000000000000000000"",""12"",""Sauce Pouch Foil ORG NUTIVA Coconut Mango 3.5oz"",""50220"",""False"",""29"","""",""50210"",""False"",""18"","""",""11"",""PF0014"",""2"",""10000"",""1"",""Z-ISP0012"",""14"",""1.000000000000000"&amp;"00000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NUTIVA Coconut Mango 3.5oz","50220","False","29","","50210","False","18","","11","PF0014","2","10000","1","Z-ISP0012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0" s="15"/>
      <c r="D2050" s="16" t="str">
        <f>"Z-ISP0012"</f>
        <v>Z-ISP0012</v>
      </c>
      <c r="E2050" s="16">
        <v>10000</v>
      </c>
      <c r="F2050" s="16" t="str">
        <f>"PF0014"</f>
        <v>PF0014</v>
      </c>
      <c r="G2050" s="17" t="str">
        <f>"Sauce Pouch Foil ORG NUTIVA Coconut Mango 3.5oz"</f>
        <v>Sauce Pouch Foil ORG NUTIVA Coconut Mango 3.5oz</v>
      </c>
      <c r="H2050" s="18" t="str">
        <f t="shared" si="204"/>
        <v>IMPR</v>
      </c>
      <c r="I2050" s="19">
        <v>1</v>
      </c>
      <c r="J2050" s="20">
        <v>1</v>
      </c>
    </row>
    <row r="2051" spans="1:10" ht="15.75" thickBot="1" x14ac:dyDescent="0.3">
      <c r="A2051" t="s">
        <v>31</v>
      </c>
      <c r="B2051" s="15" t="str">
        <f>"""Manzana NAV"",""MANZANA"",""99000772"",""44"","" "",""22"",""False"",""43"",""0.00000000000000000000"",""12"",""Sauce Pouch Foil ORG NUTIVA Pure Apple 3.5oz"",""50220"",""False"",""29"","""",""50210"",""False"",""18"","""",""11"",""PF0012"",""2"",""10000"",""1"",""Z-ISP0010"",""14"",""1.000000000000000000"&amp;"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NUTIVA Pure Apple 3.5oz","50220","False","29","","50210","False","18","","11","PF0012","2","10000","1","Z-ISP0010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1" s="15"/>
      <c r="D2051" s="16" t="str">
        <f>"Z-ISP0010"</f>
        <v>Z-ISP0010</v>
      </c>
      <c r="E2051" s="16">
        <v>10000</v>
      </c>
      <c r="F2051" s="16" t="str">
        <f>"PF0012"</f>
        <v>PF0012</v>
      </c>
      <c r="G2051" s="17" t="str">
        <f>"Sauce Pouch Foil ORG NUTIVA Pure Apple 3.5oz"</f>
        <v>Sauce Pouch Foil ORG NUTIVA Pure Apple 3.5oz</v>
      </c>
      <c r="H2051" s="18" t="str">
        <f t="shared" si="204"/>
        <v>IMPR</v>
      </c>
      <c r="I2051" s="19">
        <v>1</v>
      </c>
      <c r="J2051" s="20">
        <v>1</v>
      </c>
    </row>
    <row r="2052" spans="1:10" ht="15.75" thickBot="1" x14ac:dyDescent="0.3">
      <c r="A2052" t="s">
        <v>31</v>
      </c>
      <c r="B2052" s="15" t="str">
        <f>"""Manzana NAV"",""MANZANA"",""99000772"",""44"","" "",""22"",""False"",""43"",""0.00000000000000000000"",""12"",""Sauce Pouch Foil ORG Trader Joes Apple 3.2oz"",""50220"",""False"",""29"","""",""50210"",""False"",""18"","""",""11"",""PF0017"",""2"",""20000"",""1"",""ISP0017"",""14"",""1.00000000000000000000"&amp;"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Apple 3.2oz","50220","False","29","","50210","False","18","","11","PF0017","2","20000","1","ISP0017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2" s="15"/>
      <c r="D2052" s="16" t="str">
        <f>"ISP0017"</f>
        <v>ISP0017</v>
      </c>
      <c r="E2052" s="16">
        <v>20000</v>
      </c>
      <c r="F2052" s="16" t="str">
        <f>"PF0017"</f>
        <v>PF0017</v>
      </c>
      <c r="G2052" s="17" t="str">
        <f>"Sauce Pouch Foil ORG Trader Joes Apple 3.2oz"</f>
        <v>Sauce Pouch Foil ORG Trader Joes Apple 3.2oz</v>
      </c>
      <c r="H2052" s="18" t="str">
        <f t="shared" si="204"/>
        <v>IMPR</v>
      </c>
      <c r="I2052" s="19">
        <v>1</v>
      </c>
      <c r="J2052" s="20">
        <v>1</v>
      </c>
    </row>
    <row r="2053" spans="1:10" ht="15.75" thickBot="1" x14ac:dyDescent="0.3">
      <c r="A2053" t="s">
        <v>31</v>
      </c>
      <c r="B2053" s="15" t="str">
        <f>"""Manzana NAV"",""MANZANA"",""99000772"",""44"","" "",""22"",""False"",""43"",""0.00000000000000000000"",""12"",""Sauce Pouch Foil ORG Trader Joes Banana 3.2oz"",""50220"",""False"",""29"","""",""50210"",""False"",""18"","""",""11"",""PF0019"",""2"",""20000"",""1"",""ISP0019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Banana 3.2oz","50220","False","29","","50210","False","18","","11","PF0019","2","20000","1","ISP0019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3" s="15"/>
      <c r="D2053" s="16" t="str">
        <f>"ISP0019"</f>
        <v>ISP0019</v>
      </c>
      <c r="E2053" s="16">
        <v>20000</v>
      </c>
      <c r="F2053" s="16" t="str">
        <f>"PF0019"</f>
        <v>PF0019</v>
      </c>
      <c r="G2053" s="17" t="str">
        <f>"Sauce Pouch Foil ORG Trader Joes Banana 3.2oz"</f>
        <v>Sauce Pouch Foil ORG Trader Joes Banana 3.2oz</v>
      </c>
      <c r="H2053" s="18" t="str">
        <f t="shared" si="204"/>
        <v>IMPR</v>
      </c>
      <c r="I2053" s="19">
        <v>1</v>
      </c>
      <c r="J2053" s="20">
        <v>1</v>
      </c>
    </row>
    <row r="2054" spans="1:10" ht="15.75" thickBot="1" x14ac:dyDescent="0.3">
      <c r="A2054" t="s">
        <v>31</v>
      </c>
      <c r="B2054" s="15" t="str">
        <f>"""Manzana NAV"",""MANZANA"",""99000772"",""44"","" "",""22"",""False"",""43"",""0.00000000000000000000"",""12"",""Sauce Pouch Foil ORG Trader Joes Carrot 3.2oz"",""50220"",""False"",""29"","""",""50210"",""False"",""18"","""",""11"",""PF0018"",""2"",""20000"",""1"",""ISP0018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Carrot 3.2oz","50220","False","29","","50210","False","18","","11","PF0018","2","20000","1","ISP0018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4" s="15"/>
      <c r="D2054" s="16" t="str">
        <f>"ISP0018"</f>
        <v>ISP0018</v>
      </c>
      <c r="E2054" s="16">
        <v>20000</v>
      </c>
      <c r="F2054" s="16" t="str">
        <f>"PF0018"</f>
        <v>PF0018</v>
      </c>
      <c r="G2054" s="17" t="str">
        <f>"Sauce Pouch Foil ORG Trader Joes Carrot 3.2oz"</f>
        <v>Sauce Pouch Foil ORG Trader Joes Carrot 3.2oz</v>
      </c>
      <c r="H2054" s="18" t="str">
        <f t="shared" si="204"/>
        <v>IMPR</v>
      </c>
      <c r="I2054" s="19">
        <v>1</v>
      </c>
      <c r="J2054" s="20">
        <v>1</v>
      </c>
    </row>
    <row r="2055" spans="1:10" ht="15.75" thickBot="1" x14ac:dyDescent="0.3">
      <c r="A2055" t="s">
        <v>31</v>
      </c>
      <c r="B2055" s="15" t="str">
        <f>"""Manzana NAV"",""MANZANA"",""99000772"",""44"","" "",""22"",""False"",""43"",""0.00000000000000000000"",""12"",""Sauce Pouch Foil ORG Trader Joes Strawberry 3.2oz"",""50220"",""False"",""29"","""",""50210"",""False"",""18"","""",""11"",""PF0020"",""2"",""20000"",""1"",""ISP0020"",""14"",""1.000000000000000"&amp;"00000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Strawberry 3.2oz","50220","False","29","","50210","False","18","","11","PF0020","2","20000","1","ISP0020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5" s="15"/>
      <c r="D2055" s="16" t="str">
        <f>"ISP0020"</f>
        <v>ISP0020</v>
      </c>
      <c r="E2055" s="16">
        <v>20000</v>
      </c>
      <c r="F2055" s="16" t="str">
        <f>"PF0020"</f>
        <v>PF0020</v>
      </c>
      <c r="G2055" s="17" t="str">
        <f>"Sauce Pouch Foil ORG Trader Joes Strawberry 3.2oz"</f>
        <v>Sauce Pouch Foil ORG Trader Joes Strawberry 3.2oz</v>
      </c>
      <c r="H2055" s="18" t="str">
        <f t="shared" si="204"/>
        <v>IMPR</v>
      </c>
      <c r="I2055" s="19">
        <v>1</v>
      </c>
      <c r="J2055" s="20">
        <v>1</v>
      </c>
    </row>
    <row r="2056" spans="1:10" ht="15.75" thickBot="1" x14ac:dyDescent="0.3">
      <c r="A2056" t="s">
        <v>31</v>
      </c>
      <c r="B2056" s="15" t="str">
        <f>"""Manzana NAV"",""MANZANA"",""99000772"",""44"","" "",""22"",""False"",""43"",""0.00000000000000000000"",""12"",""Sauce Pouch Foil RALEYS ORG Berry 3.2oz"",""50220"",""False"",""29"","""",""50210"",""False"",""18"","""",""11"",""PF0011"",""2"",""10000"",""1"",""ISP0009"",""14"",""1.00000000000000000000"",""45"&amp;"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RALEYS ORG Berry 3.2oz","50220","False","29","","50210","False","18","","11","PF0011","2","10000","1","ISP0009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6" s="15"/>
      <c r="D2056" s="16" t="str">
        <f>"ISP0009"</f>
        <v>ISP0009</v>
      </c>
      <c r="E2056" s="16">
        <v>10000</v>
      </c>
      <c r="F2056" s="16" t="str">
        <f>"PF0011"</f>
        <v>PF0011</v>
      </c>
      <c r="G2056" s="17" t="str">
        <f>"Sauce Pouch Foil RALEYS ORG Berry 3.2oz"</f>
        <v>Sauce Pouch Foil RALEYS ORG Berry 3.2oz</v>
      </c>
      <c r="H2056" s="18" t="str">
        <f t="shared" si="204"/>
        <v>IMPR</v>
      </c>
      <c r="I2056" s="19">
        <v>1</v>
      </c>
      <c r="J2056" s="20">
        <v>1</v>
      </c>
    </row>
    <row r="2057" spans="1:10" ht="15.75" thickBot="1" x14ac:dyDescent="0.3">
      <c r="A2057" t="s">
        <v>31</v>
      </c>
      <c r="B2057" s="15" t="str">
        <f>"""Manzana NAV"",""MANZANA"",""99000772"",""44"","" "",""22"",""False"",""43"",""0.00000000000000000000"",""12"",""Sauce Pouch Foil RALEYS ORG Blend 3.2oz"",""50220"",""False"",""29"","""",""50210"",""False"",""18"","""",""11"",""PF0009"",""2"",""10000"",""1"",""ISP0007"",""14"",""1.00000000000000000000"",""45"&amp;"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RALEYS ORG Blend 3.2oz","50220","False","29","","50210","False","18","","11","PF0009","2","10000","1","ISP0007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7" s="15"/>
      <c r="D2057" s="16" t="str">
        <f>"ISP0007"</f>
        <v>ISP0007</v>
      </c>
      <c r="E2057" s="16">
        <v>10000</v>
      </c>
      <c r="F2057" s="16" t="str">
        <f>"PF0009"</f>
        <v>PF0009</v>
      </c>
      <c r="G2057" s="17" t="str">
        <f>"Sauce Pouch Foil RALEYS ORG Blend 3.2oz"</f>
        <v>Sauce Pouch Foil RALEYS ORG Blend 3.2oz</v>
      </c>
      <c r="H2057" s="18" t="str">
        <f t="shared" si="204"/>
        <v>IMPR</v>
      </c>
      <c r="I2057" s="19">
        <v>1</v>
      </c>
      <c r="J2057" s="20">
        <v>1</v>
      </c>
    </row>
    <row r="2058" spans="1:10" ht="15.75" thickBot="1" x14ac:dyDescent="0.3">
      <c r="A2058" t="s">
        <v>31</v>
      </c>
      <c r="B2058" s="15" t="str">
        <f>"""Manzana NAV"",""MANZANA"",""99000772"",""44"","" "",""22"",""False"",""43"",""0.00000000000000000000"",""12"",""Sauce Pouch Foil RALEYS ORG Cinn 3.2oz"",""50220"",""False"",""29"","""",""50210"",""False"",""18"","""",""11"",""PF0010"",""2"",""10000"",""1"",""ISP0008"",""14"",""1.00000000000000000000"",""45"""&amp;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RALEYS ORG Cinn 3.2oz","50220","False","29","","50210","False","18","","11","PF0010","2","10000","1","ISP0008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8" s="15"/>
      <c r="D2058" s="16" t="str">
        <f>"ISP0008"</f>
        <v>ISP0008</v>
      </c>
      <c r="E2058" s="16">
        <v>10000</v>
      </c>
      <c r="F2058" s="16" t="str">
        <f>"PF0010"</f>
        <v>PF0010</v>
      </c>
      <c r="G2058" s="17" t="str">
        <f>"Sauce Pouch Foil RALEYS ORG Cinn 3.2oz"</f>
        <v>Sauce Pouch Foil RALEYS ORG Cinn 3.2oz</v>
      </c>
      <c r="H2058" s="18" t="str">
        <f t="shared" si="204"/>
        <v>IMPR</v>
      </c>
      <c r="I2058" s="19">
        <v>1</v>
      </c>
      <c r="J2058" s="20">
        <v>1</v>
      </c>
    </row>
    <row r="2059" spans="1:10" ht="15.75" thickBot="1" x14ac:dyDescent="0.3">
      <c r="A2059" t="s">
        <v>31</v>
      </c>
      <c r="B2059" s="15" t="str">
        <f>"""Manzana NAV"",""MANZANA"",""99000772"",""44"","" "",""22"",""False"",""43"",""0.00000000000000000000"",""12"",""SIMPLY.ROUNDY'S ORG Apple Cider 12/32oz"",""50220"",""False"",""29"","""",""50210"",""False"",""18"","""",""11"",""LJ0190"",""2"",""10000"",""1"",""FJ0190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","22","False","43","0.00000000000000000000","12","SIMPLY.ROUNDY'S ORG Apple Cider 12/32oz","50220","False","29","","50210","False","18","","11","LJ0190","2","10000","1","FJ0190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59" s="15"/>
      <c r="D2059" s="16" t="str">
        <f>"FJ0190"</f>
        <v>FJ0190</v>
      </c>
      <c r="E2059" s="16">
        <v>10000</v>
      </c>
      <c r="F2059" s="16" t="str">
        <f>"LJ0190"</f>
        <v>LJ0190</v>
      </c>
      <c r="G2059" s="17" t="str">
        <f>"SIMPLY.ROUNDY'S ORG Apple Cider 12/32oz"</f>
        <v>SIMPLY.ROUNDY'S ORG Apple Cider 12/32oz</v>
      </c>
      <c r="H2059" s="18" t="str">
        <f t="shared" ref="H2059:H2068" si="205">"LABELS"</f>
        <v>LABELS</v>
      </c>
      <c r="I2059" s="19">
        <v>12</v>
      </c>
      <c r="J2059" s="20">
        <v>12</v>
      </c>
    </row>
    <row r="2060" spans="1:10" ht="15.75" thickBot="1" x14ac:dyDescent="0.3">
      <c r="A2060" t="s">
        <v>31</v>
      </c>
      <c r="B2060" s="15" t="str">
        <f>"""Manzana NAV"",""MANZANA"",""99000772"",""44"","" "",""22"",""False"",""43"",""0.00000000000000000000"",""12"",""SIMPLY.ROUNDY'S ORG Grav Juice 12/32oz"",""50220"",""False"",""29"","""",""50210"",""False"",""18"","""",""11"",""LJ0191"",""2"",""10000"",""1"",""FJ0191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","22","False","43","0.00000000000000000000","12","SIMPLY.ROUNDY'S ORG Grav Juice 12/32oz","50220","False","29","","50210","False","18","","11","LJ0191","2","10000","1","FJ0191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0" s="15"/>
      <c r="D2060" s="16" t="str">
        <f>"FJ0191"</f>
        <v>FJ0191</v>
      </c>
      <c r="E2060" s="16">
        <v>10000</v>
      </c>
      <c r="F2060" s="16" t="str">
        <f>"LJ0191"</f>
        <v>LJ0191</v>
      </c>
      <c r="G2060" s="17" t="str">
        <f>"SIMPLY.ROUNDY'S ORG Grav Juice 12/32oz"</f>
        <v>SIMPLY.ROUNDY'S ORG Grav Juice 12/32oz</v>
      </c>
      <c r="H2060" s="18" t="str">
        <f t="shared" si="205"/>
        <v>LABELS</v>
      </c>
      <c r="I2060" s="19">
        <v>12</v>
      </c>
      <c r="J2060" s="20">
        <v>12</v>
      </c>
    </row>
    <row r="2061" spans="1:10" ht="15.75" thickBot="1" x14ac:dyDescent="0.3">
      <c r="A2061" t="s">
        <v>31</v>
      </c>
      <c r="B2061" s="15" t="str">
        <f>"""Manzana NAV"",""MANZANA"",""99000772"",""44"","" "",""22"",""False"",""43"",""0.00000000000000000000"",""12"",""Sleeve F.n.EASY NAT Blend Apple Sauce 12/6/4oz"",""50220"",""False"",""29"","""",""50210"",""False"",""18"","""",""11"",""Z-LS0087"",""2"",""5000"",""1"",""Z-FS0087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F.n.EASY NAT Blend Apple Sauce 12/6/4oz","50220","False","29","","50210","False","18","","11","Z-LS0087","2","5000","1","Z-FS0087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1" s="15"/>
      <c r="D2061" s="16" t="str">
        <f>"Z-FS0087"</f>
        <v>Z-FS0087</v>
      </c>
      <c r="E2061" s="16">
        <v>5000</v>
      </c>
      <c r="F2061" s="16" t="str">
        <f>"Z-LS0087"</f>
        <v>Z-LS0087</v>
      </c>
      <c r="G2061" s="17" t="str">
        <f>"Sleeve F.n.EASY NAT Blend Apple Sauce 12/6/4oz"</f>
        <v>Sleeve F.n.EASY NAT Blend Apple Sauce 12/6/4oz</v>
      </c>
      <c r="H2061" s="18" t="str">
        <f t="shared" si="205"/>
        <v>LABELS</v>
      </c>
      <c r="I2061" s="19">
        <v>12</v>
      </c>
      <c r="J2061" s="20">
        <v>12</v>
      </c>
    </row>
    <row r="2062" spans="1:10" ht="15.75" thickBot="1" x14ac:dyDescent="0.3">
      <c r="A2062" t="s">
        <v>31</v>
      </c>
      <c r="B2062" s="15" t="str">
        <f>"""Manzana NAV"",""MANZANA"",""99000772"",""44"","" "",""22"",""False"",""43"",""0.00000000000000000000"",""12"",""Sleeve FIELD DAY ORG Blend Apple Sauce 18/4/4oz"",""50220"",""False"",""29"","""",""50210"",""False"",""18"","""",""11"",""LS0194"",""2"",""20000"",""1"",""FS0194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FIELD DAY ORG Blend Apple Sauce 18/4/4oz","50220","False","29","","50210","False","18","","11","LS0194","2","20000","1","FS0194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2" s="15"/>
      <c r="D2062" s="16" t="str">
        <f>"FS0194"</f>
        <v>FS0194</v>
      </c>
      <c r="E2062" s="16">
        <v>20000</v>
      </c>
      <c r="F2062" s="16" t="str">
        <f>"LS0194"</f>
        <v>LS0194</v>
      </c>
      <c r="G2062" s="17" t="str">
        <f>"Sleeve FIELD DAY ORG Blend Apple Sauce 18/4/4oz"</f>
        <v>Sleeve FIELD DAY ORG Blend Apple Sauce 18/4/4oz</v>
      </c>
      <c r="H2062" s="18" t="str">
        <f t="shared" si="205"/>
        <v>LABELS</v>
      </c>
      <c r="I2062" s="19">
        <v>18</v>
      </c>
      <c r="J2062" s="20">
        <v>18</v>
      </c>
    </row>
    <row r="2063" spans="1:10" ht="15.75" thickBot="1" x14ac:dyDescent="0.3">
      <c r="A2063" t="s">
        <v>31</v>
      </c>
      <c r="B2063" s="15" t="str">
        <f>"""Manzana NAV"",""MANZANA"",""99000772"",""44"","" "",""22"",""False"",""43"",""0.00000000000000000000"",""12"",""Sleeve FIELD DAY ORG Cinnamon Apple Sauce 18/4/4oz"",""50220"",""False"",""29"","""",""50210"",""False"",""18"","""",""11"",""LS0195"",""2"",""20000"",""1"",""FS0195"",""14"",""18.00000000000000"&amp;"000000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FIELD DAY ORG Cinnamon Apple Sauce 18/4/4oz","50220","False","29","","50210","False","18","","11","LS0195","2","20000","1","FS0195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3" s="15"/>
      <c r="D2063" s="16" t="str">
        <f>"FS0195"</f>
        <v>FS0195</v>
      </c>
      <c r="E2063" s="16">
        <v>20000</v>
      </c>
      <c r="F2063" s="16" t="str">
        <f>"LS0195"</f>
        <v>LS0195</v>
      </c>
      <c r="G2063" s="17" t="str">
        <f>"Sleeve FIELD DAY ORG Cinnamon Apple Sauce 18/4/4oz"</f>
        <v>Sleeve FIELD DAY ORG Cinnamon Apple Sauce 18/4/4oz</v>
      </c>
      <c r="H2063" s="18" t="str">
        <f t="shared" si="205"/>
        <v>LABELS</v>
      </c>
      <c r="I2063" s="19">
        <v>18</v>
      </c>
      <c r="J2063" s="20">
        <v>18</v>
      </c>
    </row>
    <row r="2064" spans="1:10" ht="15.75" thickBot="1" x14ac:dyDescent="0.3">
      <c r="A2064" t="s">
        <v>31</v>
      </c>
      <c r="B2064" s="15" t="str">
        <f>"""Manzana NAV"",""MANZANA"",""99000772"",""44"","" "",""22"",""False"",""43"",""0.00000000000000000000"",""12"",""Sleeve for H.TEETER ORG Berry Sauce Pouches4/3.2oz"",""50220"",""False"",""29"","""",""50210"",""False"",""18"","""",""11"",""LSP0006"",""2"",""10000"",""1"",""FSP0006"",""14"",""12.000000000000"&amp;"00000000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for H.TEETER ORG Berry Sauce Pouches4/3.2oz","50220","False","29","","50210","False","18","","11","LSP0006","2","10000","1","FSP0006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4" s="15"/>
      <c r="D2064" s="16" t="str">
        <f>"FSP0006"</f>
        <v>FSP0006</v>
      </c>
      <c r="E2064" s="16">
        <v>10000</v>
      </c>
      <c r="F2064" s="16" t="str">
        <f>"LSP0006"</f>
        <v>LSP0006</v>
      </c>
      <c r="G2064" s="17" t="str">
        <f>"Sleeve for H.TEETER ORG Berry Sauce Pouches4/3.2oz"</f>
        <v>Sleeve for H.TEETER ORG Berry Sauce Pouches4/3.2oz</v>
      </c>
      <c r="H2064" s="18" t="str">
        <f t="shared" si="205"/>
        <v>LABELS</v>
      </c>
      <c r="I2064" s="19">
        <v>12</v>
      </c>
      <c r="J2064" s="20">
        <v>12</v>
      </c>
    </row>
    <row r="2065" spans="1:10" ht="15.75" thickBot="1" x14ac:dyDescent="0.3">
      <c r="A2065" t="s">
        <v>31</v>
      </c>
      <c r="B2065" s="15" t="str">
        <f>"""Manzana NAV"",""MANZANA"",""99000772"",""44"","" "",""22"",""False"",""43"",""0.00000000000000000000"",""12"",""Sleeve for H.TEETER ORG Blend Sauce Pouches4/3.2oz"",""50220"",""False"",""29"","""",""50210"",""False"",""18"","""",""11"",""LSP0004"",""2"",""10000"",""1"",""FSP0004"",""14"",""12.000000000000"&amp;"00000000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for H.TEETER ORG Blend Sauce Pouches4/3.2oz","50220","False","29","","50210","False","18","","11","LSP0004","2","10000","1","FSP0004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5" s="15"/>
      <c r="D2065" s="16" t="str">
        <f>"FSP0004"</f>
        <v>FSP0004</v>
      </c>
      <c r="E2065" s="16">
        <v>10000</v>
      </c>
      <c r="F2065" s="16" t="str">
        <f>"LSP0004"</f>
        <v>LSP0004</v>
      </c>
      <c r="G2065" s="17" t="str">
        <f>"Sleeve for H.TEETER ORG Blend Sauce Pouches4/3.2oz"</f>
        <v>Sleeve for H.TEETER ORG Blend Sauce Pouches4/3.2oz</v>
      </c>
      <c r="H2065" s="18" t="str">
        <f t="shared" si="205"/>
        <v>LABELS</v>
      </c>
      <c r="I2065" s="19">
        <v>12</v>
      </c>
      <c r="J2065" s="20">
        <v>12</v>
      </c>
    </row>
    <row r="2066" spans="1:10" ht="15.75" thickBot="1" x14ac:dyDescent="0.3">
      <c r="A2066" t="s">
        <v>31</v>
      </c>
      <c r="B2066" s="15" t="str">
        <f>"""Manzana NAV"",""MANZANA"",""99000772"",""44"","" "",""22"",""False"",""43"",""0.00000000000000000000"",""12"",""Sleeve for H.TEETER ORG Cinn Sauce Pouches 4/3.2oz"",""50220"",""False"",""29"","""",""50210"",""False"",""18"","""",""11"",""LSP0005"",""2"",""10000"",""1"",""FSP0005"",""14"",""12.000000000000"&amp;"00000000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for H.TEETER ORG Cinn Sauce Pouches 4/3.2oz","50220","False","29","","50210","False","18","","11","LSP0005","2","10000","1","FSP0005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6" s="15"/>
      <c r="D2066" s="16" t="str">
        <f>"FSP0005"</f>
        <v>FSP0005</v>
      </c>
      <c r="E2066" s="16">
        <v>10000</v>
      </c>
      <c r="F2066" s="16" t="str">
        <f>"LSP0005"</f>
        <v>LSP0005</v>
      </c>
      <c r="G2066" s="17" t="str">
        <f>"Sleeve for H.TEETER ORG Cinn Sauce Pouches 4/3.2oz"</f>
        <v>Sleeve for H.TEETER ORG Cinn Sauce Pouches 4/3.2oz</v>
      </c>
      <c r="H2066" s="18" t="str">
        <f t="shared" si="205"/>
        <v>LABELS</v>
      </c>
      <c r="I2066" s="19">
        <v>12</v>
      </c>
      <c r="J2066" s="20">
        <v>12</v>
      </c>
    </row>
    <row r="2067" spans="1:10" ht="15.75" thickBot="1" x14ac:dyDescent="0.3">
      <c r="A2067" t="s">
        <v>31</v>
      </c>
      <c r="B2067" s="15" t="str">
        <f>"""Manzana NAV"",""MANZANA"",""99000772"",""44"","" "",""22"",""False"",""43"",""0.00000000000000000000"",""12"",""Sleeve FRESH.THYME ORG Blend Apple Sauce 18/4/4oz"",""50220"",""False"",""29"","""",""50210"",""False"",""18"","""",""11"",""LS0181"",""2"",""15000"",""1"",""FS0181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FRESH.THYME ORG Blend Apple Sauce 18/4/4oz","50220","False","29","","50210","False","18","","11","LS0181","2","15000","1","FS0181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7" s="15"/>
      <c r="D2067" s="16" t="str">
        <f>"FS0181"</f>
        <v>FS0181</v>
      </c>
      <c r="E2067" s="16">
        <v>15000</v>
      </c>
      <c r="F2067" s="16" t="str">
        <f>"LS0181"</f>
        <v>LS0181</v>
      </c>
      <c r="G2067" s="17" t="str">
        <f>"Sleeve FRESH.THYME ORG Blend Apple Sauce 18/4/4oz"</f>
        <v>Sleeve FRESH.THYME ORG Blend Apple Sauce 18/4/4oz</v>
      </c>
      <c r="H2067" s="18" t="str">
        <f t="shared" si="205"/>
        <v>LABELS</v>
      </c>
      <c r="I2067" s="19">
        <v>18</v>
      </c>
      <c r="J2067" s="20">
        <v>18</v>
      </c>
    </row>
    <row r="2068" spans="1:10" ht="15.75" thickBot="1" x14ac:dyDescent="0.3">
      <c r="A2068" t="s">
        <v>31</v>
      </c>
      <c r="B2068" s="15" t="str">
        <f>"""Manzana NAV"",""MANZANA"",""99000772"",""44"","" "",""22"",""False"",""43"",""0.00000000000000000000"",""12"",""Sleeve FRESH.THYME ORG Cinn Apple Sauce 18/4/4oz"",""50220"",""False"",""29"","""",""50210"",""False"",""18"","""",""11"",""LS0182"",""2"",""20000"",""1"",""FS0182"",""14"",""18.0000000000000000"&amp;"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FRESH.THYME ORG Cinn Apple Sauce 18/4/4oz","50220","False","29","","50210","False","18","","11","LS0182","2","20000","1","FS0182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8" s="15"/>
      <c r="D2068" s="16" t="str">
        <f>"FS0182"</f>
        <v>FS0182</v>
      </c>
      <c r="E2068" s="16">
        <v>20000</v>
      </c>
      <c r="F2068" s="16" t="str">
        <f>"LS0182"</f>
        <v>LS0182</v>
      </c>
      <c r="G2068" s="17" t="str">
        <f>"Sleeve FRESH.THYME ORG Cinn Apple Sauce 18/4/4oz"</f>
        <v>Sleeve FRESH.THYME ORG Cinn Apple Sauce 18/4/4oz</v>
      </c>
      <c r="H2068" s="18" t="str">
        <f t="shared" si="205"/>
        <v>LABELS</v>
      </c>
      <c r="I2068" s="19">
        <v>18</v>
      </c>
      <c r="J2068" s="20">
        <v>18</v>
      </c>
    </row>
    <row r="2069" spans="1:10" ht="15.75" thickBot="1" x14ac:dyDescent="0.3">
      <c r="A2069" t="s">
        <v>31</v>
      </c>
      <c r="B2069" s="15" t="str">
        <f>"""Manzana NAV"",""MANZANA"",""99000772"",""44"","" "",""22"",""False"",""43"",""0.00000000000000000000"",""12"",""Sleeve HARMONS ORG Berry Sauce pouches 4/3.2oz"",""50220"",""False"",""29"","""",""50210"",""False"",""18"","""",""11"",""LSP0026"",""2"",""20000"",""1"",""FSP0026"",""14"",""12.0000000000000000"&amp;"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HARMONS ORG Berry Sauce pouches 4/3.2oz","50220","False","29","","50210","False","18","","11","LSP0026","2","20000","1","FSP0026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69" s="15"/>
      <c r="D2069" s="16" t="str">
        <f>"FSP0026"</f>
        <v>FSP0026</v>
      </c>
      <c r="E2069" s="16">
        <v>20000</v>
      </c>
      <c r="F2069" s="16" t="str">
        <f>"LSP0026"</f>
        <v>LSP0026</v>
      </c>
      <c r="G2069" s="17" t="str">
        <f>"Sleeve HARMONS ORG Berry Sauce pouches 4/3.2oz"</f>
        <v>Sleeve HARMONS ORG Berry Sauce pouches 4/3.2oz</v>
      </c>
      <c r="H2069" s="18" t="str">
        <f>"CARTON"</f>
        <v>CARTON</v>
      </c>
      <c r="I2069" s="19">
        <v>12</v>
      </c>
      <c r="J2069" s="20">
        <v>12</v>
      </c>
    </row>
    <row r="2070" spans="1:10" ht="15.75" thickBot="1" x14ac:dyDescent="0.3">
      <c r="A2070" t="s">
        <v>31</v>
      </c>
      <c r="B2070" s="15" t="str">
        <f>"""Manzana NAV"",""MANZANA"",""99000772"",""44"","" "",""22"",""False"",""43"",""0.00000000000000000000"",""12"",""Sleeve HARMONS ORG Cinn Sauce pouches 4/3.2oz"",""50220"",""False"",""29"","""",""50210"",""False"",""18"","""",""11"",""LSP0025"",""2"",""20000"",""1"",""FSP0025"",""14"",""12.00000000000000000"&amp;"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HARMONS ORG Cinn Sauce pouches 4/3.2oz","50220","False","29","","50210","False","18","","11","LSP0025","2","20000","1","FSP0025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70" s="15"/>
      <c r="D2070" s="16" t="str">
        <f>"FSP0025"</f>
        <v>FSP0025</v>
      </c>
      <c r="E2070" s="16">
        <v>20000</v>
      </c>
      <c r="F2070" s="16" t="str">
        <f>"LSP0025"</f>
        <v>LSP0025</v>
      </c>
      <c r="G2070" s="17" t="str">
        <f>"Sleeve HARMONS ORG Cinn Sauce pouches 4/3.2oz"</f>
        <v>Sleeve HARMONS ORG Cinn Sauce pouches 4/3.2oz</v>
      </c>
      <c r="H2070" s="18" t="str">
        <f>"CARTON"</f>
        <v>CARTON</v>
      </c>
      <c r="I2070" s="19">
        <v>12</v>
      </c>
      <c r="J2070" s="20">
        <v>12</v>
      </c>
    </row>
    <row r="2071" spans="1:10" ht="15.75" thickBot="1" x14ac:dyDescent="0.3">
      <c r="A2071" t="s">
        <v>31</v>
      </c>
      <c r="B2071" s="15" t="str">
        <f>"""Manzana NAV"",""MANZANA"",""99000772"",""44"","" "",""22"",""False"",""43"",""0.00000000000000000000"",""12"",""Sleeve HARMONS ORG Sauce pouches 4/3.2oz rev"",""50220"",""False"",""29"","""",""50210"",""False"",""18"","""",""11"",""LSP0024"",""2"",""30000"",""1"",""FSP0024"",""14"",""12.000000000000000000"&amp;"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HARMONS ORG Sauce pouches 4/3.2oz rev","50220","False","29","","50210","False","18","","11","LSP0024","2","30000","1","FSP0024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71" s="15"/>
      <c r="D2071" s="16" t="str">
        <f>"FSP0024"</f>
        <v>FSP0024</v>
      </c>
      <c r="E2071" s="16">
        <v>30000</v>
      </c>
      <c r="F2071" s="16" t="str">
        <f>"LSP0024"</f>
        <v>LSP0024</v>
      </c>
      <c r="G2071" s="17" t="str">
        <f>"Sleeve HARMONS ORG Sauce pouches 4/3.2oz rev"</f>
        <v>Sleeve HARMONS ORG Sauce pouches 4/3.2oz rev</v>
      </c>
      <c r="H2071" s="18" t="str">
        <f>"CARTON"</f>
        <v>CARTON</v>
      </c>
      <c r="I2071" s="19">
        <v>12</v>
      </c>
      <c r="J2071" s="20">
        <v>12</v>
      </c>
    </row>
    <row r="2072" spans="1:10" ht="15.75" thickBot="1" x14ac:dyDescent="0.3">
      <c r="A2072" t="s">
        <v>31</v>
      </c>
      <c r="B2072" s="15" t="str">
        <f>"""Manzana NAV"",""MANZANA"",""99000772"",""44"","" "",""22"",""False"",""43"",""0.00000000000000000000"",""12"",""Sleeve MINI.MACRO ORG Apricot Sauce 6/5/4/4oz"",""50220"",""False"",""29"","""",""50210"",""False"",""18"","""",""11"",""LS0151"",""2"",""30000"",""1"",""FS0151"",""14"",""30.0000000000000000000"&amp;"0"",""45"",""30.00000000000000000000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MINI.MACRO ORG Apricot Sauce 6/5/4/4oz","50220","False","29","","50210","False","18","","11","LS0151","2","30000","1","FS0151","14","30.00000000000000000000","45","30.00000000000000000000","19","","20","0.00000000000000000000","50000","0.00000000000000000000","50230","False","28","","10","Item","13","LABELS","21","","3","","42","0.00000000000000000000","50200","False","41","0.00000000000000000000"</v>
      </c>
      <c r="C2072" s="15"/>
      <c r="D2072" s="16" t="str">
        <f>"FS0151"</f>
        <v>FS0151</v>
      </c>
      <c r="E2072" s="16">
        <v>30000</v>
      </c>
      <c r="F2072" s="16" t="str">
        <f>"LS0151"</f>
        <v>LS0151</v>
      </c>
      <c r="G2072" s="17" t="str">
        <f>"Sleeve MINI.MACRO ORG Apricot Sauce 6/5/4/4oz"</f>
        <v>Sleeve MINI.MACRO ORG Apricot Sauce 6/5/4/4oz</v>
      </c>
      <c r="H2072" s="18" t="str">
        <f>"LABELS"</f>
        <v>LABELS</v>
      </c>
      <c r="I2072" s="19">
        <v>30</v>
      </c>
      <c r="J2072" s="20">
        <v>30</v>
      </c>
    </row>
    <row r="2073" spans="1:10" ht="15.75" thickBot="1" x14ac:dyDescent="0.3">
      <c r="A2073" t="s">
        <v>31</v>
      </c>
      <c r="B2073" s="15" t="str">
        <f>"""Manzana NAV"",""MANZANA"",""99000772"",""44"","" "",""22"",""False"",""43"",""0.00000000000000000000"",""12"",""Sleeve MINI.MACRO ORG Blackberry Sauce 6/5/4/4oz"",""50220"",""False"",""29"","""",""50210"",""False"",""18"","""",""11"",""LS0152"",""2"",""30000"",""1"",""FS0152"",""14"",""30.0000000000000000"&amp;"0000"",""45"",""30.00000000000000000000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MINI.MACRO ORG Blackberry Sauce 6/5/4/4oz","50220","False","29","","50210","False","18","","11","LS0152","2","30000","1","FS0152","14","30.00000000000000000000","45","30.00000000000000000000","19","","20","0.00000000000000000000","50000","0.00000000000000000000","50230","False","28","","10","Item","13","LABELS","21","","3","","42","0.00000000000000000000","50200","False","41","0.00000000000000000000"</v>
      </c>
      <c r="C2073" s="15"/>
      <c r="D2073" s="16" t="str">
        <f>"FS0152"</f>
        <v>FS0152</v>
      </c>
      <c r="E2073" s="16">
        <v>30000</v>
      </c>
      <c r="F2073" s="16" t="str">
        <f>"LS0152"</f>
        <v>LS0152</v>
      </c>
      <c r="G2073" s="17" t="str">
        <f>"Sleeve MINI.MACRO ORG Blackberry Sauce 6/5/4/4oz"</f>
        <v>Sleeve MINI.MACRO ORG Blackberry Sauce 6/5/4/4oz</v>
      </c>
      <c r="H2073" s="18" t="str">
        <f>"LABELS"</f>
        <v>LABELS</v>
      </c>
      <c r="I2073" s="19">
        <v>30</v>
      </c>
      <c r="J2073" s="20">
        <v>30</v>
      </c>
    </row>
    <row r="2074" spans="1:10" ht="15.75" thickBot="1" x14ac:dyDescent="0.3">
      <c r="A2074" t="s">
        <v>31</v>
      </c>
      <c r="B2074" s="15" t="str">
        <f>"""Manzana NAV"",""MANZANA"",""99000772"",""44"","" "",""22"",""False"",""43"",""0.00000000000000000000"",""12"",""Sleeve N.COAST ORG Cinn Sauce pouches 4/3.2oz"",""50220"",""False"",""29"","""",""50210"",""False"",""18"","""",""11"",""LSP0002"",""2"",""10000"",""1"",""LS0075"",""14"",""6.0000000000000000000"&amp;"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N.COAST ORG Cinn Sauce pouches 4/3.2oz","50220","False","29","","50210","False","18","","11","LSP0002","2","10000","1","LS0075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74" s="15"/>
      <c r="D2074" s="16" t="str">
        <f>"LS0075"</f>
        <v>LS0075</v>
      </c>
      <c r="E2074" s="16">
        <v>10000</v>
      </c>
      <c r="F2074" s="16" t="str">
        <f>"LSP0002"</f>
        <v>LSP0002</v>
      </c>
      <c r="G2074" s="17" t="str">
        <f>"Sleeve N.COAST ORG Cinn Sauce pouches 4/3.2oz"</f>
        <v>Sleeve N.COAST ORG Cinn Sauce pouches 4/3.2oz</v>
      </c>
      <c r="H2074" s="18" t="str">
        <f>"CARTON"</f>
        <v>CARTON</v>
      </c>
      <c r="I2074" s="19">
        <v>6</v>
      </c>
      <c r="J2074" s="20">
        <v>6</v>
      </c>
    </row>
    <row r="2075" spans="1:10" ht="15.75" thickBot="1" x14ac:dyDescent="0.3">
      <c r="A2075" t="s">
        <v>31</v>
      </c>
      <c r="B2075" s="15" t="str">
        <f>"""Manzana NAV"",""MANZANA"",""99000772"",""44"","" "",""22"",""False"",""43"",""0.00000000000000000000"",""12"",""Sleeve N.COAST ORG Cinnamn Sauce pouch 4/3.2 JAN16"",""50220"",""False"",""29"","""",""50210"",""False"",""18"","""",""11"",""LSP0031"",""2"",""10000"",""1"",""FSP0015"",""14"",""6.0000000000000"&amp;"0000000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N.COAST ORG Cinnamn Sauce pouch 4/3.2 JAN16","50220","False","29","","50210","False","18","","11","LSP0031","2","10000","1","FSP0015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75" s="15"/>
      <c r="D2075" s="16" t="str">
        <f>"FSP0015"</f>
        <v>FSP0015</v>
      </c>
      <c r="E2075" s="16">
        <v>10000</v>
      </c>
      <c r="F2075" s="16" t="str">
        <f>"LSP0031"</f>
        <v>LSP0031</v>
      </c>
      <c r="G2075" s="17" t="str">
        <f>"Sleeve N.COAST ORG Cinnamn Sauce pouch 4/3.2 JAN16"</f>
        <v>Sleeve N.COAST ORG Cinnamn Sauce pouch 4/3.2 JAN16</v>
      </c>
      <c r="H2075" s="18" t="str">
        <f>"CARTON"</f>
        <v>CARTON</v>
      </c>
      <c r="I2075" s="19">
        <v>6</v>
      </c>
      <c r="J2075" s="20">
        <v>6</v>
      </c>
    </row>
    <row r="2076" spans="1:10" ht="15.75" thickBot="1" x14ac:dyDescent="0.3">
      <c r="A2076" t="s">
        <v>31</v>
      </c>
      <c r="B2076" s="15" t="str">
        <f>"""Manzana NAV"",""MANZANA"",""99000772"",""44"","" "",""22"",""False"",""43"",""0.00000000000000000000"",""12"",""Sleeve NAT F.n.EASY Cinn Apple Sauce 12/6/4oz"",""50220"",""False"",""29"","""",""50210"",""False"",""18"","""",""11"",""Z-LS0088"",""2"",""20000"",""1"",""Z-FS0088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NAT F.n.EASY Cinn Apple Sauce 12/6/4oz","50220","False","29","","50210","False","18","","11","Z-LS0088","2","20000","1","Z-FS0088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76" s="15"/>
      <c r="D2076" s="16" t="str">
        <f>"Z-FS0088"</f>
        <v>Z-FS0088</v>
      </c>
      <c r="E2076" s="16">
        <v>20000</v>
      </c>
      <c r="F2076" s="16" t="str">
        <f>"Z-LS0088"</f>
        <v>Z-LS0088</v>
      </c>
      <c r="G2076" s="17" t="str">
        <f>"Sleeve NAT F.n.EASY Cinn Apple Sauce 12/6/4oz"</f>
        <v>Sleeve NAT F.n.EASY Cinn Apple Sauce 12/6/4oz</v>
      </c>
      <c r="H2076" s="18" t="str">
        <f>"LABELS"</f>
        <v>LABELS</v>
      </c>
      <c r="I2076" s="19">
        <v>12</v>
      </c>
      <c r="J2076" s="20">
        <v>12</v>
      </c>
    </row>
    <row r="2077" spans="1:10" ht="15.75" thickBot="1" x14ac:dyDescent="0.3">
      <c r="A2077" t="s">
        <v>31</v>
      </c>
      <c r="B2077" s="15" t="str">
        <f>"""Manzana NAV"",""MANZANA"",""99000772"",""44"","" "",""22"",""False"",""43"",""0.00000000000000000000"",""12"",""Sleeve NATURAL.DIRECTIONS ORG Cinn Sauce 12/6/4oz"",""50220"",""False"",""29"","""",""50210"",""False"",""18"","""",""11"",""LS0169"",""2"",""20000"",""1"",""FS0169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NATURAL.DIRECTIONS ORG Cinn Sauce 12/6/4oz","50220","False","29","","50210","False","18","","11","LS0169","2","20000","1","FS0169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77" s="15"/>
      <c r="D2077" s="16" t="str">
        <f>"FS0169"</f>
        <v>FS0169</v>
      </c>
      <c r="E2077" s="16">
        <v>20000</v>
      </c>
      <c r="F2077" s="16" t="str">
        <f>"LS0169"</f>
        <v>LS0169</v>
      </c>
      <c r="G2077" s="17" t="str">
        <f>"Sleeve NATURAL.DIRECTIONS ORG Cinn Sauce 12/6/4oz"</f>
        <v>Sleeve NATURAL.DIRECTIONS ORG Cinn Sauce 12/6/4oz</v>
      </c>
      <c r="H2077" s="18" t="str">
        <f>"LABELS"</f>
        <v>LABELS</v>
      </c>
      <c r="I2077" s="19">
        <v>12</v>
      </c>
      <c r="J2077" s="20">
        <v>12</v>
      </c>
    </row>
    <row r="2078" spans="1:10" ht="15.75" thickBot="1" x14ac:dyDescent="0.3">
      <c r="A2078" t="s">
        <v>31</v>
      </c>
      <c r="B2078" s="15" t="str">
        <f>"""Manzana NAV"",""MANZANA"",""99000772"",""44"","" "",""22"",""False"",""43"",""0.00000000000000000000"",""12"",""Sleeve NORTH.COAST ORG Berry AS Pouch 4/3.2 JAN16"",""50220"",""False"",""29"","""",""50210"",""False"",""18"","""",""11"",""LSP0032"",""2"",""10000"",""1"",""FSP0003"",""14"",""12.0000000000000"&amp;"0000000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Berry AS Pouch 4/3.2 JAN16","50220","False","29","","50210","False","18","","11","LSP0032","2","10000","1","FSP0003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78" s="15"/>
      <c r="D2078" s="16" t="str">
        <f>"FSP0003"</f>
        <v>FSP0003</v>
      </c>
      <c r="E2078" s="16">
        <v>10000</v>
      </c>
      <c r="F2078" s="16" t="str">
        <f>"LSP0032"</f>
        <v>LSP0032</v>
      </c>
      <c r="G2078" s="17" t="str">
        <f>"Sleeve NORTH.COAST ORG Berry AS Pouch 4/3.2 JAN16"</f>
        <v>Sleeve NORTH.COAST ORG Berry AS Pouch 4/3.2 JAN16</v>
      </c>
      <c r="H2078" s="18" t="str">
        <f>"CARTON"</f>
        <v>CARTON</v>
      </c>
      <c r="I2078" s="19">
        <v>12</v>
      </c>
      <c r="J2078" s="20">
        <v>12</v>
      </c>
    </row>
    <row r="2079" spans="1:10" ht="15.75" thickBot="1" x14ac:dyDescent="0.3">
      <c r="A2079" t="s">
        <v>31</v>
      </c>
      <c r="B2079" s="15" t="str">
        <f>"""Manzana NAV"",""MANZANA"",""99000772"",""44"","" "",""22"",""False"",""43"",""0.00000000000000000000"",""12"",""Sleeve NORTH.COAST ORG Berry AS Pouch 4/3.2 JAN16"",""50220"",""False"",""29"","""",""50210"",""False"",""18"","""",""11"",""LSP0032"",""2"",""10000"",""1"",""FSP0016"",""14"",""6.00000000000000"&amp;"000000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Berry AS Pouch 4/3.2 JAN16","50220","False","29","","50210","False","18","","11","LSP0032","2","10000","1","FSP0016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79" s="15"/>
      <c r="D2079" s="16" t="str">
        <f>"FSP0016"</f>
        <v>FSP0016</v>
      </c>
      <c r="E2079" s="16">
        <v>10000</v>
      </c>
      <c r="F2079" s="16" t="str">
        <f>"LSP0032"</f>
        <v>LSP0032</v>
      </c>
      <c r="G2079" s="17" t="str">
        <f>"Sleeve NORTH.COAST ORG Berry AS Pouch 4/3.2 JAN16"</f>
        <v>Sleeve NORTH.COAST ORG Berry AS Pouch 4/3.2 JAN16</v>
      </c>
      <c r="H2079" s="18" t="str">
        <f>"CARTON"</f>
        <v>CARTON</v>
      </c>
      <c r="I2079" s="19">
        <v>6</v>
      </c>
      <c r="J2079" s="20">
        <v>6</v>
      </c>
    </row>
    <row r="2080" spans="1:10" ht="15.75" thickBot="1" x14ac:dyDescent="0.3">
      <c r="A2080" t="s">
        <v>31</v>
      </c>
      <c r="B2080" s="15" t="str">
        <f>"""Manzana NAV"",""MANZANA"",""99000772"",""44"","" "",""22"",""False"",""43"",""0.00000000000000000000"",""12"",""Sleeve NORTH.COAST ORG Blend AS 18/4/4oz -FEB16"",""50220"",""False"",""29"","""",""50210"",""False"",""18"","""",""11"",""LS0205"",""2"",""20000"",""1"",""FS0075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NORTH.COAST ORG Blend AS 18/4/4oz -FEB16","50220","False","29","","50210","False","18","","11","LS0205","2","20000","1","FS0075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0" s="15"/>
      <c r="D2080" s="16" t="str">
        <f>"FS0075"</f>
        <v>FS0075</v>
      </c>
      <c r="E2080" s="16">
        <v>20000</v>
      </c>
      <c r="F2080" s="16" t="str">
        <f>"LS0205"</f>
        <v>LS0205</v>
      </c>
      <c r="G2080" s="17" t="str">
        <f>"Sleeve NORTH.COAST ORG Blend AS 18/4/4oz -FEB16"</f>
        <v>Sleeve NORTH.COAST ORG Blend AS 18/4/4oz -FEB16</v>
      </c>
      <c r="H2080" s="18" t="str">
        <f>"LABELS"</f>
        <v>LABELS</v>
      </c>
      <c r="I2080" s="19">
        <v>18</v>
      </c>
      <c r="J2080" s="20">
        <v>18</v>
      </c>
    </row>
    <row r="2081" spans="1:10" ht="15.75" thickBot="1" x14ac:dyDescent="0.3">
      <c r="A2081" t="s">
        <v>31</v>
      </c>
      <c r="B2081" s="15" t="str">
        <f>"""Manzana NAV"",""MANZANA"",""99000772"",""44"","" "",""22"",""False"",""43"",""0.00000000000000000000"",""12"",""Sleeve NORTH.COAST ORG Blend AS Pouch 4/3.2 JAN16"",""50220"",""False"",""29"","""",""50210"",""False"",""18"","""",""11"",""LSP0030"",""2"",""10000"",""1"",""FSP0001"",""14"",""12.0000000000000"&amp;"0000000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Blend AS Pouch 4/3.2 JAN16","50220","False","29","","50210","False","18","","11","LSP0030","2","10000","1","FSP0001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81" s="15"/>
      <c r="D2081" s="16" t="str">
        <f>"FSP0001"</f>
        <v>FSP0001</v>
      </c>
      <c r="E2081" s="16">
        <v>10000</v>
      </c>
      <c r="F2081" s="16" t="str">
        <f>"LSP0030"</f>
        <v>LSP0030</v>
      </c>
      <c r="G2081" s="17" t="str">
        <f>"Sleeve NORTH.COAST ORG Blend AS Pouch 4/3.2 JAN16"</f>
        <v>Sleeve NORTH.COAST ORG Blend AS Pouch 4/3.2 JAN16</v>
      </c>
      <c r="H2081" s="18" t="str">
        <f>"CARTON"</f>
        <v>CARTON</v>
      </c>
      <c r="I2081" s="19">
        <v>12</v>
      </c>
      <c r="J2081" s="20">
        <v>12</v>
      </c>
    </row>
    <row r="2082" spans="1:10" ht="15.75" thickBot="1" x14ac:dyDescent="0.3">
      <c r="A2082" t="s">
        <v>31</v>
      </c>
      <c r="B2082" s="15" t="str">
        <f>"""Manzana NAV"",""MANZANA"",""99000772"",""44"","" "",""22"",""False"",""43"",""0.00000000000000000000"",""12"",""Sleeve NORTH.COAST ORG Blend AS Pouch 4/3.2 JAN16"",""50220"",""False"",""29"","""",""50210"",""False"",""18"","""",""11"",""LSP0030"",""2"",""10000"",""1"",""FSP0014"",""14"",""6.00000000000000"&amp;"000000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Blend AS Pouch 4/3.2 JAN16","50220","False","29","","50210","False","18","","11","LSP0030","2","10000","1","FSP0014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82" s="15"/>
      <c r="D2082" s="16" t="str">
        <f>"FSP0014"</f>
        <v>FSP0014</v>
      </c>
      <c r="E2082" s="16">
        <v>10000</v>
      </c>
      <c r="F2082" s="16" t="str">
        <f>"LSP0030"</f>
        <v>LSP0030</v>
      </c>
      <c r="G2082" s="17" t="str">
        <f>"Sleeve NORTH.COAST ORG Blend AS Pouch 4/3.2 JAN16"</f>
        <v>Sleeve NORTH.COAST ORG Blend AS Pouch 4/3.2 JAN16</v>
      </c>
      <c r="H2082" s="18" t="str">
        <f>"CARTON"</f>
        <v>CARTON</v>
      </c>
      <c r="I2082" s="19">
        <v>6</v>
      </c>
      <c r="J2082" s="20">
        <v>6</v>
      </c>
    </row>
    <row r="2083" spans="1:10" ht="15.75" thickBot="1" x14ac:dyDescent="0.3">
      <c r="A2083" t="s">
        <v>31</v>
      </c>
      <c r="B2083" s="15" t="str">
        <f>"""Manzana NAV"",""MANZANA"",""99000772"",""44"","" "",""22"",""False"",""43"",""0.00000000000000000000"",""12"",""Sleeve NORTH.COAST ORG Cinn AS 18/4/4oz -FEB16"",""50220"",""False"",""29"","""",""50210"",""False"",""18"","""",""11"",""LS0206"",""2"",""20000"",""1"",""FS0076"",""14"",""18.000000000000000000"&amp;"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NORTH.COAST ORG Cinn AS 18/4/4oz -FEB16","50220","False","29","","50210","False","18","","11","LS0206","2","20000","1","FS0076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3" s="15"/>
      <c r="D2083" s="16" t="str">
        <f>"FS0076"</f>
        <v>FS0076</v>
      </c>
      <c r="E2083" s="16">
        <v>20000</v>
      </c>
      <c r="F2083" s="16" t="str">
        <f>"LS0206"</f>
        <v>LS0206</v>
      </c>
      <c r="G2083" s="17" t="str">
        <f>"Sleeve NORTH.COAST ORG Cinn AS 18/4/4oz -FEB16"</f>
        <v>Sleeve NORTH.COAST ORG Cinn AS 18/4/4oz -FEB16</v>
      </c>
      <c r="H2083" s="18" t="str">
        <f>"LABELS"</f>
        <v>LABELS</v>
      </c>
      <c r="I2083" s="19">
        <v>18</v>
      </c>
      <c r="J2083" s="20">
        <v>18</v>
      </c>
    </row>
    <row r="2084" spans="1:10" ht="15.75" thickBot="1" x14ac:dyDescent="0.3">
      <c r="A2084" t="s">
        <v>31</v>
      </c>
      <c r="B2084" s="15" t="str">
        <f>"""Manzana NAV"",""MANZANA"",""99000772"",""44"","" "",""22"",""False"",""43"",""0.00000000000000000000"",""12"",""Sleeve NORTH.COAST ORG Cinn AS Pouch 4/3.2 JAN16"",""50220"",""False"",""29"","""",""50210"",""False"",""18"","""",""11"",""LSP0031"",""2"",""10000"",""1"",""FSP0002"",""14"",""12.00000000000000"&amp;"000000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Cinn AS Pouch 4/3.2 JAN16","50220","False","29","","50210","False","18","","11","LSP0031","2","10000","1","FSP0002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84" s="15"/>
      <c r="D2084" s="16" t="str">
        <f>"FSP0002"</f>
        <v>FSP0002</v>
      </c>
      <c r="E2084" s="16">
        <v>10000</v>
      </c>
      <c r="F2084" s="16" t="str">
        <f>"LSP0031"</f>
        <v>LSP0031</v>
      </c>
      <c r="G2084" s="17" t="str">
        <f>"Sleeve NORTH.COAST ORG Cinn AS Pouch 4/3.2 JAN16"</f>
        <v>Sleeve NORTH.COAST ORG Cinn AS Pouch 4/3.2 JAN16</v>
      </c>
      <c r="H2084" s="18" t="str">
        <f>"CARTON"</f>
        <v>CARTON</v>
      </c>
      <c r="I2084" s="19">
        <v>12</v>
      </c>
      <c r="J2084" s="20">
        <v>12</v>
      </c>
    </row>
    <row r="2085" spans="1:10" ht="15.75" thickBot="1" x14ac:dyDescent="0.3">
      <c r="A2085" t="s">
        <v>31</v>
      </c>
      <c r="B2085" s="15" t="str">
        <f>"""Manzana NAV"",""MANZANA"",""99000772"",""44"","" "",""22"",""False"",""43"",""0.00000000000000000000"",""12"",""Sleeve NUTIVA ORG AP Spice Sauce pouches 4/3.5oz "",""50220"",""False"",""29"","""",""50210"",""False"",""18"","""",""11"",""LSP0012"",""2"",""10000"",""1"",""Z-FSP0012"",""14"",""6.000000000000"&amp;"00000000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NUTIVA ORG AP Spice Sauce pouches 4/3.5oz ","50220","False","29","","50210","False","18","","11","LSP0012","2","10000","1","Z-FSP0012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2085" s="15"/>
      <c r="D2085" s="16" t="str">
        <f>"Z-FSP0012"</f>
        <v>Z-FSP0012</v>
      </c>
      <c r="E2085" s="16">
        <v>10000</v>
      </c>
      <c r="F2085" s="16" t="str">
        <f>"LSP0012"</f>
        <v>LSP0012</v>
      </c>
      <c r="G2085" s="17" t="str">
        <f>"Sleeve NUTIVA ORG AP Spice Sauce pouches 4/3.5oz "</f>
        <v xml:space="preserve">Sleeve NUTIVA ORG AP Spice Sauce pouches 4/3.5oz </v>
      </c>
      <c r="H2085" s="18" t="str">
        <f t="shared" ref="H2085:H2121" si="206">"LABELS"</f>
        <v>LABELS</v>
      </c>
      <c r="I2085" s="19">
        <v>6</v>
      </c>
      <c r="J2085" s="20">
        <v>6</v>
      </c>
    </row>
    <row r="2086" spans="1:10" ht="15.75" thickBot="1" x14ac:dyDescent="0.3">
      <c r="A2086" t="s">
        <v>31</v>
      </c>
      <c r="B2086" s="15" t="str">
        <f>"""Manzana NAV"",""MANZANA"",""99000772"",""44"","" "",""22"",""False"",""43"",""0.00000000000000000000"",""12"",""Sleeve NUTIVA ORG CocoMango Sauce pouches 4/3.5oz"",""50220"",""False"",""29"","""",""50210"",""False"",""18"","""",""11"",""LSP0011"",""2"",""10000"",""1"",""Z-FSP0011"",""14"",""6.000000000000"&amp;"00000000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NUTIVA ORG CocoMango Sauce pouches 4/3.5oz","50220","False","29","","50210","False","18","","11","LSP0011","2","10000","1","Z-FSP0011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2086" s="15"/>
      <c r="D2086" s="16" t="str">
        <f>"Z-FSP0011"</f>
        <v>Z-FSP0011</v>
      </c>
      <c r="E2086" s="16">
        <v>10000</v>
      </c>
      <c r="F2086" s="16" t="str">
        <f>"LSP0011"</f>
        <v>LSP0011</v>
      </c>
      <c r="G2086" s="17" t="str">
        <f>"Sleeve NUTIVA ORG CocoMango Sauce pouches 4/3.5oz"</f>
        <v>Sleeve NUTIVA ORG CocoMango Sauce pouches 4/3.5oz</v>
      </c>
      <c r="H2086" s="18" t="str">
        <f t="shared" si="206"/>
        <v>LABELS</v>
      </c>
      <c r="I2086" s="19">
        <v>6</v>
      </c>
      <c r="J2086" s="20">
        <v>6</v>
      </c>
    </row>
    <row r="2087" spans="1:10" ht="15.75" thickBot="1" x14ac:dyDescent="0.3">
      <c r="A2087" t="s">
        <v>31</v>
      </c>
      <c r="B2087" s="15" t="str">
        <f>"""Manzana NAV"",""MANZANA"",""99000772"",""44"","" "",""22"",""False"",""43"",""0.00000000000000000000"",""12"",""Sleeve NUTIVA ORG Pure Apple Sauce pouches 4/3.5oz"",""50220"",""False"",""29"","""",""50210"",""False"",""18"","""",""11"",""LSP0010"",""2"",""10000"",""1"",""Z-FSP0010"",""14"",""6.00000000000"&amp;"000000000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NUTIVA ORG Pure Apple Sauce pouches 4/3.5oz","50220","False","29","","50210","False","18","","11","LSP0010","2","10000","1","Z-FSP0010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2087" s="15"/>
      <c r="D2087" s="16" t="str">
        <f>"Z-FSP0010"</f>
        <v>Z-FSP0010</v>
      </c>
      <c r="E2087" s="16">
        <v>10000</v>
      </c>
      <c r="F2087" s="16" t="str">
        <f>"LSP0010"</f>
        <v>LSP0010</v>
      </c>
      <c r="G2087" s="17" t="str">
        <f>"Sleeve NUTIVA ORG Pure Apple Sauce pouches 4/3.5oz"</f>
        <v>Sleeve NUTIVA ORG Pure Apple Sauce pouches 4/3.5oz</v>
      </c>
      <c r="H2087" s="18" t="str">
        <f t="shared" si="206"/>
        <v>LABELS</v>
      </c>
      <c r="I2087" s="19">
        <v>6</v>
      </c>
      <c r="J2087" s="20">
        <v>6</v>
      </c>
    </row>
    <row r="2088" spans="1:10" ht="15.75" thickBot="1" x14ac:dyDescent="0.3">
      <c r="A2088" t="s">
        <v>31</v>
      </c>
      <c r="B2088" s="15" t="str">
        <f>"""Manzana NAV"",""MANZANA"",""99000772"",""44"","" "",""22"",""False"",""43"",""0.00000000000000000000"",""12"",""Sleeve ORG BROWN SUGAR 1ST Unsweetd Sce 18/4/4oz"",""50220"",""False"",""29"","""",""50210"",""False"",""18"","""",""11"",""LS0140"",""2"",""10000"",""1"",""FS0140"",""14"",""18.0000000000000000"&amp;"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BROWN SUGAR 1ST Unsweetd Sce 18/4/4oz","50220","False","29","","50210","False","18","","11","LS0140","2","10000","1","FS0140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8" s="15"/>
      <c r="D2088" s="16" t="str">
        <f>"FS0140"</f>
        <v>FS0140</v>
      </c>
      <c r="E2088" s="16">
        <v>10000</v>
      </c>
      <c r="F2088" s="16" t="str">
        <f>"LS0140"</f>
        <v>LS0140</v>
      </c>
      <c r="G2088" s="17" t="str">
        <f>"Sleeve ORG BROWN SUGAR 1ST Unsweetd Sce 18/4/4oz"</f>
        <v>Sleeve ORG BROWN SUGAR 1ST Unsweetd Sce 18/4/4oz</v>
      </c>
      <c r="H2088" s="18" t="str">
        <f t="shared" si="206"/>
        <v>LABELS</v>
      </c>
      <c r="I2088" s="19">
        <v>18</v>
      </c>
      <c r="J2088" s="20">
        <v>18</v>
      </c>
    </row>
    <row r="2089" spans="1:10" ht="15.75" thickBot="1" x14ac:dyDescent="0.3">
      <c r="A2089" t="s">
        <v>31</v>
      </c>
      <c r="B2089" s="15" t="str">
        <f>"""Manzana NAV"",""MANZANA"",""99000772"",""44"","" "",""22"",""False"",""43"",""0.00000000000000000000"",""12"",""Sleeve ORG CADIA Apricot Apple Sauce 184/4oz"",""50220"",""False"",""29"","""",""50210"",""False"",""18"","""",""11"",""LS0082"",""2"",""20000"",""1"",""FS0082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Apricot Apple Sauce 184/4oz","50220","False","29","","50210","False","18","","11","LS0082","2","20000","1","FS0082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9" s="15"/>
      <c r="D2089" s="16" t="str">
        <f>"FS0082"</f>
        <v>FS0082</v>
      </c>
      <c r="E2089" s="16">
        <v>20000</v>
      </c>
      <c r="F2089" s="16" t="str">
        <f>"LS0082"</f>
        <v>LS0082</v>
      </c>
      <c r="G2089" s="17" t="str">
        <f>"Sleeve ORG CADIA Apricot Apple Sauce 184/4oz"</f>
        <v>Sleeve ORG CADIA Apricot Apple Sauce 184/4oz</v>
      </c>
      <c r="H2089" s="18" t="str">
        <f t="shared" si="206"/>
        <v>LABELS</v>
      </c>
      <c r="I2089" s="19">
        <v>18</v>
      </c>
      <c r="J2089" s="20">
        <v>18</v>
      </c>
    </row>
    <row r="2090" spans="1:10" ht="15.75" thickBot="1" x14ac:dyDescent="0.3">
      <c r="A2090" t="s">
        <v>31</v>
      </c>
      <c r="B2090" s="15" t="str">
        <f>"""Manzana NAV"",""MANZANA"",""99000772"",""44"","" "",""22"",""False"",""43"",""0.00000000000000000000"",""12"",""Sleeve ORG CADIA Blend Apple Sauce 18/4/4oz"",""50220"",""False"",""29"","""",""50210"",""False"",""18"","""",""11"",""LS0079"",""2"",""20000"",""1"",""FS0079"",""14"",""18.00000000000000000000"""&amp;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Blend Apple Sauce 18/4/4oz","50220","False","29","","50210","False","18","","11","LS0079","2","20000","1","FS0079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0" s="15"/>
      <c r="D2090" s="16" t="str">
        <f>"FS0079"</f>
        <v>FS0079</v>
      </c>
      <c r="E2090" s="16">
        <v>20000</v>
      </c>
      <c r="F2090" s="16" t="str">
        <f>"LS0079"</f>
        <v>LS0079</v>
      </c>
      <c r="G2090" s="17" t="str">
        <f>"Sleeve ORG CADIA Blend Apple Sauce 18/4/4oz"</f>
        <v>Sleeve ORG CADIA Blend Apple Sauce 18/4/4oz</v>
      </c>
      <c r="H2090" s="18" t="str">
        <f t="shared" si="206"/>
        <v>LABELS</v>
      </c>
      <c r="I2090" s="19">
        <v>18</v>
      </c>
      <c r="J2090" s="20">
        <v>18</v>
      </c>
    </row>
    <row r="2091" spans="1:10" ht="15.75" thickBot="1" x14ac:dyDescent="0.3">
      <c r="A2091" t="s">
        <v>31</v>
      </c>
      <c r="B2091" s="15" t="str">
        <f>"""Manzana NAV"",""MANZANA"",""99000772"",""44"","" "",""22"",""False"",""43"",""0.00000000000000000000"",""12"",""Sleeve ORG CADIA Cinn Apple Sauce 18/4/4oz"",""50220"",""False"",""29"","""",""50210"",""False"",""18"","""",""11"",""LS0081"",""2"",""20000"",""1"",""FS0081"",""14"",""18.00000000000000000000"","&amp;"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Cinn Apple Sauce 18/4/4oz","50220","False","29","","50210","False","18","","11","LS0081","2","20000","1","FS0081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1" s="15"/>
      <c r="D2091" s="16" t="str">
        <f>"FS0081"</f>
        <v>FS0081</v>
      </c>
      <c r="E2091" s="16">
        <v>20000</v>
      </c>
      <c r="F2091" s="16" t="str">
        <f>"LS0081"</f>
        <v>LS0081</v>
      </c>
      <c r="G2091" s="17" t="str">
        <f>"Sleeve ORG CADIA Cinn Apple Sauce 18/4/4oz"</f>
        <v>Sleeve ORG CADIA Cinn Apple Sauce 18/4/4oz</v>
      </c>
      <c r="H2091" s="18" t="str">
        <f t="shared" si="206"/>
        <v>LABELS</v>
      </c>
      <c r="I2091" s="19">
        <v>18</v>
      </c>
      <c r="J2091" s="20">
        <v>18</v>
      </c>
    </row>
    <row r="2092" spans="1:10" ht="15.75" thickBot="1" x14ac:dyDescent="0.3">
      <c r="A2092" t="s">
        <v>31</v>
      </c>
      <c r="B2092" s="15" t="str">
        <f>"""Manzana NAV"",""MANZANA"",""99000772"",""44"","" "",""22"",""False"",""43"",""0.00000000000000000000"",""12"",""Sleeve ORG CADIA Sweet Blend Apple Sauce 18/4/4oz"",""50220"",""False"",""29"","""",""50210"",""False"",""18"","""",""11"",""LS0080"",""2"",""20000"",""1"",""FS0080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Sweet Blend Apple Sauce 18/4/4oz","50220","False","29","","50210","False","18","","11","LS0080","2","20000","1","FS0080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2" s="15"/>
      <c r="D2092" s="16" t="str">
        <f>"FS0080"</f>
        <v>FS0080</v>
      </c>
      <c r="E2092" s="16">
        <v>20000</v>
      </c>
      <c r="F2092" s="16" t="str">
        <f>"LS0080"</f>
        <v>LS0080</v>
      </c>
      <c r="G2092" s="17" t="str">
        <f>"Sleeve ORG CADIA Sweet Blend Apple Sauce 18/4/4oz"</f>
        <v>Sleeve ORG CADIA Sweet Blend Apple Sauce 18/4/4oz</v>
      </c>
      <c r="H2092" s="18" t="str">
        <f t="shared" si="206"/>
        <v>LABELS</v>
      </c>
      <c r="I2092" s="19">
        <v>18</v>
      </c>
      <c r="J2092" s="20">
        <v>18</v>
      </c>
    </row>
    <row r="2093" spans="1:10" ht="15.75" thickBot="1" x14ac:dyDescent="0.3">
      <c r="A2093" t="s">
        <v>31</v>
      </c>
      <c r="B2093" s="15" t="str">
        <f>"""Manzana NAV"",""MANZANA"",""99000772"",""44"","" "",""22"",""False"",""43"",""0.00000000000000000000"",""12"",""Sleeve ORG CENTRAL MKT Blend Apple Sauce 18/4/4oz"",""50220"",""False"",""29"","""",""50210"",""False"",""18"","""",""11"",""LS0083"",""2"",""20000"",""1"",""FS0083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CENTRAL MKT Blend Apple Sauce 18/4/4oz","50220","False","29","","50210","False","18","","11","LS0083","2","20000","1","FS0083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3" s="15"/>
      <c r="D2093" s="16" t="str">
        <f>"FS0083"</f>
        <v>FS0083</v>
      </c>
      <c r="E2093" s="16">
        <v>20000</v>
      </c>
      <c r="F2093" s="16" t="str">
        <f>"LS0083"</f>
        <v>LS0083</v>
      </c>
      <c r="G2093" s="17" t="str">
        <f>"Sleeve ORG CENTRAL MKT Blend Apple Sauce 18/4/4oz"</f>
        <v>Sleeve ORG CENTRAL MKT Blend Apple Sauce 18/4/4oz</v>
      </c>
      <c r="H2093" s="18" t="str">
        <f t="shared" si="206"/>
        <v>LABELS</v>
      </c>
      <c r="I2093" s="19">
        <v>18</v>
      </c>
      <c r="J2093" s="20">
        <v>18</v>
      </c>
    </row>
    <row r="2094" spans="1:10" ht="15.75" thickBot="1" x14ac:dyDescent="0.3">
      <c r="A2094" t="s">
        <v>31</v>
      </c>
      <c r="B2094" s="15" t="str">
        <f>"""Manzana NAV"",""MANZANA"",""99000772"",""44"","" "",""22"",""False"",""43"",""0.00000000000000000000"",""12"",""Sleeve ORG CTL MKT Cinn Apple Sauce 18/4/4oz"",""50220"",""False"",""29"","""",""50210"",""False"",""18"","""",""11"",""LS0085"",""2"",""20000"",""1"",""FS0085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CTL MKT Cinn Apple Sauce 18/4/4oz","50220","False","29","","50210","False","18","","11","LS0085","2","20000","1","FS0085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4" s="15"/>
      <c r="D2094" s="16" t="str">
        <f>"FS0085"</f>
        <v>FS0085</v>
      </c>
      <c r="E2094" s="16">
        <v>20000</v>
      </c>
      <c r="F2094" s="16" t="str">
        <f>"LS0085"</f>
        <v>LS0085</v>
      </c>
      <c r="G2094" s="17" t="str">
        <f>"Sleeve ORG CTL MKT Cinn Apple Sauce 18/4/4oz"</f>
        <v>Sleeve ORG CTL MKT Cinn Apple Sauce 18/4/4oz</v>
      </c>
      <c r="H2094" s="18" t="str">
        <f t="shared" si="206"/>
        <v>LABELS</v>
      </c>
      <c r="I2094" s="19">
        <v>18</v>
      </c>
      <c r="J2094" s="20">
        <v>18</v>
      </c>
    </row>
    <row r="2095" spans="1:10" ht="15.75" thickBot="1" x14ac:dyDescent="0.3">
      <c r="A2095" t="s">
        <v>31</v>
      </c>
      <c r="B2095" s="15" t="str">
        <f>"""Manzana NAV"",""MANZANA"",""99000772"",""44"","" "",""22"",""False"",""43"",""0.00000000000000000000"",""12"",""Sleeve ORG CTL MKT Sweet Blend AppleSauce18/4/4oz"",""50220"",""False"",""29"","""",""50210"",""False"",""18"","""",""11"",""LS0084"",""2"",""20000"",""1"",""FS0084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CTL MKT Sweet Blend AppleSauce18/4/4oz","50220","False","29","","50210","False","18","","11","LS0084","2","20000","1","FS0084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5" s="15"/>
      <c r="D2095" s="16" t="str">
        <f>"FS0084"</f>
        <v>FS0084</v>
      </c>
      <c r="E2095" s="16">
        <v>20000</v>
      </c>
      <c r="F2095" s="16" t="str">
        <f>"LS0084"</f>
        <v>LS0084</v>
      </c>
      <c r="G2095" s="17" t="str">
        <f>"Sleeve ORG CTL MKT Sweet Blend AppleSauce18/4/4oz"</f>
        <v>Sleeve ORG CTL MKT Sweet Blend AppleSauce18/4/4oz</v>
      </c>
      <c r="H2095" s="18" t="str">
        <f t="shared" si="206"/>
        <v>LABELS</v>
      </c>
      <c r="I2095" s="19">
        <v>18</v>
      </c>
      <c r="J2095" s="20">
        <v>18</v>
      </c>
    </row>
    <row r="2096" spans="1:10" ht="15.75" thickBot="1" x14ac:dyDescent="0.3">
      <c r="A2096" t="s">
        <v>31</v>
      </c>
      <c r="B2096" s="15" t="str">
        <f>"""Manzana NAV"",""MANZANA"",""99000772"",""44"","" "",""22"",""False"",""43"",""0.00000000000000000000"",""12"",""Sleeve ORG EARTH FARE Blend Apple Sauce 18/4/4oz"",""50220"",""False"",""29"","""",""50210"",""False"",""18"","""",""11"",""LS0086"",""2"",""20000"",""1"",""FS0086"",""14"",""18.0000000000000000"&amp;"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EARTH FARE Blend Apple Sauce 18/4/4oz","50220","False","29","","50210","False","18","","11","LS0086","2","20000","1","FS0086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6" s="15"/>
      <c r="D2096" s="16" t="str">
        <f>"FS0086"</f>
        <v>FS0086</v>
      </c>
      <c r="E2096" s="16">
        <v>20000</v>
      </c>
      <c r="F2096" s="16" t="str">
        <f>"LS0086"</f>
        <v>LS0086</v>
      </c>
      <c r="G2096" s="17" t="str">
        <f>"Sleeve ORG EARTH FARE Blend Apple Sauce 18/4/4oz"</f>
        <v>Sleeve ORG EARTH FARE Blend Apple Sauce 18/4/4oz</v>
      </c>
      <c r="H2096" s="18" t="str">
        <f t="shared" si="206"/>
        <v>LABELS</v>
      </c>
      <c r="I2096" s="19">
        <v>18</v>
      </c>
      <c r="J2096" s="20">
        <v>18</v>
      </c>
    </row>
    <row r="2097" spans="1:10" ht="15.75" thickBot="1" x14ac:dyDescent="0.3">
      <c r="A2097" t="s">
        <v>31</v>
      </c>
      <c r="B2097" s="15" t="str">
        <f>"""Manzana NAV"",""MANZANA"",""99000772"",""44"","" "",""22"",""False"",""43"",""0.00000000000000000000"",""12"",""Sleeve ORG EARTH FARE Cinn Apple Sauce 18/4/4oz"",""50220"",""False"",""29"","""",""50210"",""False"",""18"","""",""11"",""LS0108"",""2"",""20000"",""1"",""FS0108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EARTH FARE Cinn Apple Sauce 18/4/4oz","50220","False","29","","50210","False","18","","11","LS0108","2","20000","1","FS0108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7" s="15"/>
      <c r="D2097" s="16" t="str">
        <f>"FS0108"</f>
        <v>FS0108</v>
      </c>
      <c r="E2097" s="16">
        <v>20000</v>
      </c>
      <c r="F2097" s="16" t="str">
        <f>"LS0108"</f>
        <v>LS0108</v>
      </c>
      <c r="G2097" s="17" t="str">
        <f>"Sleeve ORG EARTH FARE Cinn Apple Sauce 18/4/4oz"</f>
        <v>Sleeve ORG EARTH FARE Cinn Apple Sauce 18/4/4oz</v>
      </c>
      <c r="H2097" s="18" t="str">
        <f t="shared" si="206"/>
        <v>LABELS</v>
      </c>
      <c r="I2097" s="19">
        <v>18</v>
      </c>
      <c r="J2097" s="20">
        <v>18</v>
      </c>
    </row>
    <row r="2098" spans="1:10" ht="15.75" thickBot="1" x14ac:dyDescent="0.3">
      <c r="A2098" t="s">
        <v>31</v>
      </c>
      <c r="B2098" s="15" t="str">
        <f>"""Manzana NAV"",""MANZANA"",""99000772"",""44"","" "",""22"",""False"",""43"",""0.00000000000000000000"",""12"",""Sleeve ORG GDNESS ORG Apricot Apple Sauce 20/4/4oz"",""50220"",""False"",""29"","""",""50210"",""False"",""18"","""",""11"",""Z-LS0091"",""2"",""20000"",""1"",""Z-FS0091"",""14"",""20.0000000000"&amp;"0000000000"",""45"",""20.00000000000000000000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GDNESS ORG Apricot Apple Sauce 20/4/4oz","50220","False","29","","50210","False","18","","11","Z-LS0091","2","20000","1","Z-FS0091","14","20.00000000000000000000","45","20.00000000000000000000","19","","20","0.00000000000000000000","50000","0.00000000000000000000","50230","False","28","","10","Item","13","LABELS","21","","3","","42","0.00000000000000000000","50200","False","41","0.00000000000000000000"</v>
      </c>
      <c r="C2098" s="15"/>
      <c r="D2098" s="16" t="str">
        <f>"Z-FS0091"</f>
        <v>Z-FS0091</v>
      </c>
      <c r="E2098" s="16">
        <v>20000</v>
      </c>
      <c r="F2098" s="16" t="str">
        <f>"Z-LS0091"</f>
        <v>Z-LS0091</v>
      </c>
      <c r="G2098" s="17" t="str">
        <f>"Sleeve ORG GDNESS ORG Apricot Apple Sauce 20/4/4oz"</f>
        <v>Sleeve ORG GDNESS ORG Apricot Apple Sauce 20/4/4oz</v>
      </c>
      <c r="H2098" s="18" t="str">
        <f t="shared" si="206"/>
        <v>LABELS</v>
      </c>
      <c r="I2098" s="19">
        <v>20</v>
      </c>
      <c r="J2098" s="20">
        <v>20</v>
      </c>
    </row>
    <row r="2099" spans="1:10" ht="15.75" thickBot="1" x14ac:dyDescent="0.3">
      <c r="A2099" t="s">
        <v>31</v>
      </c>
      <c r="B2099" s="15" t="str">
        <f>"""Manzana NAV"",""MANZANA"",""99000772"",""44"","" "",""22"",""False"",""43"",""0.00000000000000000000"",""12"",""Sleeve ORG GDNESS ORG Berry Apple Sauce 20/4/4oz"",""50220"",""False"",""29"","""",""50210"",""False"",""18"","""",""11"",""Z-LS0090"",""2"",""20000"",""1"",""Z-FS0090"",""14"",""20.000000000000"&amp;"00000000"",""45"",""20.00000000000000000000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GDNESS ORG Berry Apple Sauce 20/4/4oz","50220","False","29","","50210","False","18","","11","Z-LS0090","2","20000","1","Z-FS0090","14","20.00000000000000000000","45","20.00000000000000000000","19","","20","0.00000000000000000000","50000","0.00000000000000000000","50230","False","28","","10","Item","13","LABELS","21","","3","","42","0.00000000000000000000","50200","False","41","0.00000000000000000000"</v>
      </c>
      <c r="C2099" s="15"/>
      <c r="D2099" s="16" t="str">
        <f>"Z-FS0090"</f>
        <v>Z-FS0090</v>
      </c>
      <c r="E2099" s="16">
        <v>20000</v>
      </c>
      <c r="F2099" s="16" t="str">
        <f>"Z-LS0090"</f>
        <v>Z-LS0090</v>
      </c>
      <c r="G2099" s="17" t="str">
        <f>"Sleeve ORG GDNESS ORG Berry Apple Sauce 20/4/4oz"</f>
        <v>Sleeve ORG GDNESS ORG Berry Apple Sauce 20/4/4oz</v>
      </c>
      <c r="H2099" s="18" t="str">
        <f t="shared" si="206"/>
        <v>LABELS</v>
      </c>
      <c r="I2099" s="19">
        <v>20</v>
      </c>
      <c r="J2099" s="20">
        <v>20</v>
      </c>
    </row>
    <row r="2100" spans="1:10" ht="15.75" thickBot="1" x14ac:dyDescent="0.3">
      <c r="A2100" t="s">
        <v>31</v>
      </c>
      <c r="B2100" s="15" t="str">
        <f>"""Manzana NAV"",""MANZANA"",""99000772"",""44"","" "",""22"",""False"",""43"",""0.00000000000000000000"",""12"",""Sleeve ORG GDNESS ORG Blend Apple Sauce 20/4/4oz"",""50220"",""False"",""29"","""",""50210"",""False"",""18"","""",""11"",""Z-LS0089"",""2"",""20000"",""1"",""Z-FS0089"",""14"",""20.000000000000"&amp;"00000000"",""45"",""20.00000000000000000000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GDNESS ORG Blend Apple Sauce 20/4/4oz","50220","False","29","","50210","False","18","","11","Z-LS0089","2","20000","1","Z-FS0089","14","20.00000000000000000000","45","20.00000000000000000000","19","","20","0.00000000000000000000","50000","0.00000000000000000000","50230","False","28","","10","Item","13","LABELS","21","","3","","42","0.00000000000000000000","50200","False","41","0.00000000000000000000"</v>
      </c>
      <c r="C2100" s="15"/>
      <c r="D2100" s="16" t="str">
        <f>"Z-FS0089"</f>
        <v>Z-FS0089</v>
      </c>
      <c r="E2100" s="16">
        <v>20000</v>
      </c>
      <c r="F2100" s="16" t="str">
        <f>"Z-LS0089"</f>
        <v>Z-LS0089</v>
      </c>
      <c r="G2100" s="17" t="str">
        <f>"Sleeve ORG GDNESS ORG Blend Apple Sauce 20/4/4oz"</f>
        <v>Sleeve ORG GDNESS ORG Blend Apple Sauce 20/4/4oz</v>
      </c>
      <c r="H2100" s="18" t="str">
        <f t="shared" si="206"/>
        <v>LABELS</v>
      </c>
      <c r="I2100" s="19">
        <v>20</v>
      </c>
      <c r="J2100" s="20">
        <v>20</v>
      </c>
    </row>
    <row r="2101" spans="1:10" ht="15.75" thickBot="1" x14ac:dyDescent="0.3">
      <c r="A2101" t="s">
        <v>31</v>
      </c>
      <c r="B2101" s="15" t="str">
        <f>"""Manzana NAV"",""MANZANA"",""99000772"",""44"","" "",""22"",""False"",""43"",""0.00000000000000000000"",""12"",""Sleeve ORG KINGS Cinnamon Sauce 18/4/4oz"",""50220"",""False"",""29"","""",""50210"",""False"",""18"","""",""11"",""LS0142"",""2"",""10000"",""1"",""FS0142"",""14"",""18.00000000000000000000"",""4"&amp;"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KINGS Cinnamon Sauce 18/4/4oz","50220","False","29","","50210","False","18","","11","LS0142","2","10000","1","FS0142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1" s="15"/>
      <c r="D2101" s="16" t="str">
        <f>"FS0142"</f>
        <v>FS0142</v>
      </c>
      <c r="E2101" s="16">
        <v>10000</v>
      </c>
      <c r="F2101" s="16" t="str">
        <f>"LS0142"</f>
        <v>LS0142</v>
      </c>
      <c r="G2101" s="17" t="str">
        <f>"Sleeve ORG KINGS Cinnamon Sauce 18/4/4oz"</f>
        <v>Sleeve ORG KINGS Cinnamon Sauce 18/4/4oz</v>
      </c>
      <c r="H2101" s="18" t="str">
        <f t="shared" si="206"/>
        <v>LABELS</v>
      </c>
      <c r="I2101" s="19">
        <v>18</v>
      </c>
      <c r="J2101" s="20">
        <v>18</v>
      </c>
    </row>
    <row r="2102" spans="1:10" ht="15.75" thickBot="1" x14ac:dyDescent="0.3">
      <c r="A2102" t="s">
        <v>31</v>
      </c>
      <c r="B2102" s="15" t="str">
        <f>"""Manzana NAV"",""MANZANA"",""99000772"",""44"","" "",""22"",""False"",""43"",""0.00000000000000000000"",""12"",""Sleeve ORG KINGS Unsweetened Blend Sauce 18/4/4oz"",""50220"",""False"",""29"","""",""50210"",""False"",""18"","""",""11"",""LS0141"",""2"",""10000"",""1"",""FS0141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KINGS Unsweetened Blend Sauce 18/4/4oz","50220","False","29","","50210","False","18","","11","LS0141","2","10000","1","FS0141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2" s="15"/>
      <c r="D2102" s="16" t="str">
        <f>"FS0141"</f>
        <v>FS0141</v>
      </c>
      <c r="E2102" s="16">
        <v>10000</v>
      </c>
      <c r="F2102" s="16" t="str">
        <f>"LS0141"</f>
        <v>LS0141</v>
      </c>
      <c r="G2102" s="17" t="str">
        <f>"Sleeve ORG KINGS Unsweetened Blend Sauce 18/4/4oz"</f>
        <v>Sleeve ORG KINGS Unsweetened Blend Sauce 18/4/4oz</v>
      </c>
      <c r="H2102" s="18" t="str">
        <f t="shared" si="206"/>
        <v>LABELS</v>
      </c>
      <c r="I2102" s="19">
        <v>18</v>
      </c>
      <c r="J2102" s="20">
        <v>18</v>
      </c>
    </row>
    <row r="2103" spans="1:10" ht="15.75" thickBot="1" x14ac:dyDescent="0.3">
      <c r="A2103" t="s">
        <v>31</v>
      </c>
      <c r="B2103" s="15" t="str">
        <f>"""Manzana NAV"",""MANZANA"",""99000772"",""44"","" "",""22"",""False"",""43"",""0.00000000000000000000"",""12"",""Sleeve ORG N.COAST Apricot Apple Sauce 18/4/4oz"",""50220"",""False"",""29"","""",""50210"",""False"",""18"","""",""11"",""LS0078"",""2"",""20000"",""1"",""FS0078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N.COAST Apricot Apple Sauce 18/4/4oz","50220","False","29","","50210","False","18","","11","LS0078","2","20000","1","FS0078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3" s="15"/>
      <c r="D2103" s="16" t="str">
        <f>"FS0078"</f>
        <v>FS0078</v>
      </c>
      <c r="E2103" s="16">
        <v>20000</v>
      </c>
      <c r="F2103" s="16" t="str">
        <f>"LS0078"</f>
        <v>LS0078</v>
      </c>
      <c r="G2103" s="17" t="str">
        <f>"Sleeve ORG N.COAST Apricot Apple Sauce 18/4/4oz"</f>
        <v>Sleeve ORG N.COAST Apricot Apple Sauce 18/4/4oz</v>
      </c>
      <c r="H2103" s="18" t="str">
        <f t="shared" si="206"/>
        <v>LABELS</v>
      </c>
      <c r="I2103" s="19">
        <v>18</v>
      </c>
      <c r="J2103" s="20">
        <v>18</v>
      </c>
    </row>
    <row r="2104" spans="1:10" ht="15.75" thickBot="1" x14ac:dyDescent="0.3">
      <c r="A2104" t="s">
        <v>31</v>
      </c>
      <c r="B2104" s="15" t="str">
        <f>"""Manzana NAV"",""MANZANA"",""99000772"",""44"","" "",""22"",""False"",""43"",""0.00000000000000000000"",""12"",""Sleeve ORG N.COAST Berry Apple Sauce 18/4/4oz"",""50220"",""False"",""29"","""",""50210"",""False"",""18"","""",""11"",""LS0077"",""2"",""20000"",""1"",""FS0077"",""14"",""18.0000000000000000000"&amp;"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N.COAST Berry Apple Sauce 18/4/4oz","50220","False","29","","50210","False","18","","11","LS0077","2","20000","1","FS0077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4" s="15"/>
      <c r="D2104" s="16" t="str">
        <f>"FS0077"</f>
        <v>FS0077</v>
      </c>
      <c r="E2104" s="16">
        <v>20000</v>
      </c>
      <c r="F2104" s="16" t="str">
        <f>"LS0077"</f>
        <v>LS0077</v>
      </c>
      <c r="G2104" s="17" t="str">
        <f>"Sleeve ORG N.COAST Berry Apple Sauce 18/4/4oz"</f>
        <v>Sleeve ORG N.COAST Berry Apple Sauce 18/4/4oz</v>
      </c>
      <c r="H2104" s="18" t="str">
        <f t="shared" si="206"/>
        <v>LABELS</v>
      </c>
      <c r="I2104" s="19">
        <v>18</v>
      </c>
      <c r="J2104" s="20">
        <v>18</v>
      </c>
    </row>
    <row r="2105" spans="1:10" ht="15.75" thickBot="1" x14ac:dyDescent="0.3">
      <c r="A2105" t="s">
        <v>31</v>
      </c>
      <c r="B2105" s="15" t="str">
        <f>"""Manzana NAV"",""MANZANA"",""99000772"",""44"","" "",""22"",""False"",""43"",""0.00000000000000000000"",""12"",""Sleeve ORG NASH BROS Blend Apple Sauce 18/4/4oz"",""50220"",""False"",""29"","""",""50210"",""False"",""18"","""",""11"",""Z-LS0092"",""2"",""20000"",""1"",""Z-FS0092"",""14"",""18.0000000000000"&amp;"0000000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NASH BROS Blend Apple Sauce 18/4/4oz","50220","False","29","","50210","False","18","","11","Z-LS0092","2","20000","1","Z-FS0092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5" s="15"/>
      <c r="D2105" s="16" t="str">
        <f>"Z-FS0092"</f>
        <v>Z-FS0092</v>
      </c>
      <c r="E2105" s="16">
        <v>20000</v>
      </c>
      <c r="F2105" s="16" t="str">
        <f>"Z-LS0092"</f>
        <v>Z-LS0092</v>
      </c>
      <c r="G2105" s="17" t="str">
        <f>"Sleeve ORG NASH BROS Blend Apple Sauce 18/4/4oz"</f>
        <v>Sleeve ORG NASH BROS Blend Apple Sauce 18/4/4oz</v>
      </c>
      <c r="H2105" s="18" t="str">
        <f t="shared" si="206"/>
        <v>LABELS</v>
      </c>
      <c r="I2105" s="19">
        <v>18</v>
      </c>
      <c r="J2105" s="20">
        <v>18</v>
      </c>
    </row>
    <row r="2106" spans="1:10" ht="15.75" thickBot="1" x14ac:dyDescent="0.3">
      <c r="A2106" t="s">
        <v>31</v>
      </c>
      <c r="B2106" s="15" t="str">
        <f>"""Manzana NAV"",""MANZANA"",""99000772"",""44"","" "",""22"",""False"",""43"",""0.00000000000000000000"",""12"",""Sleeve ORG NASH BROS Cinn Apple Sauce 18/4/4oz"",""50220"",""False"",""29"","""",""50210"",""False"",""18"","""",""11"",""Z-LS0093"",""2"",""20000"",""1"",""Z-FS0093"",""14"",""18.00000000000000"&amp;"000000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NASH BROS Cinn Apple Sauce 18/4/4oz","50220","False","29","","50210","False","18","","11","Z-LS0093","2","20000","1","Z-FS0093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6" s="15"/>
      <c r="D2106" s="16" t="str">
        <f>"Z-FS0093"</f>
        <v>Z-FS0093</v>
      </c>
      <c r="E2106" s="16">
        <v>20000</v>
      </c>
      <c r="F2106" s="16" t="str">
        <f>"Z-LS0093"</f>
        <v>Z-LS0093</v>
      </c>
      <c r="G2106" s="17" t="str">
        <f>"Sleeve ORG NASH BROS Cinn Apple Sauce 18/4/4oz"</f>
        <v>Sleeve ORG NASH BROS Cinn Apple Sauce 18/4/4oz</v>
      </c>
      <c r="H2106" s="18" t="str">
        <f t="shared" si="206"/>
        <v>LABELS</v>
      </c>
      <c r="I2106" s="19">
        <v>18</v>
      </c>
      <c r="J2106" s="20">
        <v>18</v>
      </c>
    </row>
    <row r="2107" spans="1:10" ht="15.75" thickBot="1" x14ac:dyDescent="0.3">
      <c r="A2107" t="s">
        <v>31</v>
      </c>
      <c r="B2107" s="15" t="str">
        <f>"""Manzana NAV"",""MANZANA"",""99000772"",""44"","" "",""22"",""False"",""43"",""0.00000000000000000000"",""12"",""Sleeve ORG NASH BROS Sweet Blend Sauce 18/4/4oz"",""50220"",""False"",""29"","""",""50210"",""False"",""18"","""",""11"",""Z-LS0110"",""2"",""20000"",""1"",""FS0110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NASH BROS Sweet Blend Sauce 18/4/4oz","50220","False","29","","50210","False","18","","11","Z-LS0110","2","20000","1","FS0110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7" s="15"/>
      <c r="D2107" s="16" t="str">
        <f>"FS0110"</f>
        <v>FS0110</v>
      </c>
      <c r="E2107" s="16">
        <v>20000</v>
      </c>
      <c r="F2107" s="16" t="str">
        <f>"Z-LS0110"</f>
        <v>Z-LS0110</v>
      </c>
      <c r="G2107" s="17" t="str">
        <f>"Sleeve ORG NASH BROS Sweet Blend Sauce 18/4/4oz"</f>
        <v>Sleeve ORG NASH BROS Sweet Blend Sauce 18/4/4oz</v>
      </c>
      <c r="H2107" s="18" t="str">
        <f t="shared" si="206"/>
        <v>LABELS</v>
      </c>
      <c r="I2107" s="19">
        <v>18</v>
      </c>
      <c r="J2107" s="20">
        <v>18</v>
      </c>
    </row>
    <row r="2108" spans="1:10" ht="15.75" thickBot="1" x14ac:dyDescent="0.3">
      <c r="A2108" t="s">
        <v>31</v>
      </c>
      <c r="B2108" s="15" t="str">
        <f>"""Manzana NAV"",""MANZANA"",""99000772"",""44"","" "",""22"",""False"",""43"",""0.00000000000000000000"",""12"",""Sleeve ORG SPIRAL Blend Apple Sauce 18/4/4oz"",""50220"",""False"",""29"","""",""50210"",""False"",""18"","""",""11"",""LS0094"",""2"",""20000"",""1"",""FS0094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SPIRAL Blend Apple Sauce 18/4/4oz","50220","False","29","","50210","False","18","","11","LS0094","2","20000","1","FS0094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8" s="15"/>
      <c r="D2108" s="16" t="str">
        <f>"FS0094"</f>
        <v>FS0094</v>
      </c>
      <c r="E2108" s="16">
        <v>20000</v>
      </c>
      <c r="F2108" s="16" t="str">
        <f>"LS0094"</f>
        <v>LS0094</v>
      </c>
      <c r="G2108" s="17" t="str">
        <f>"Sleeve ORG SPIRAL Blend Apple Sauce 18/4/4oz"</f>
        <v>Sleeve ORG SPIRAL Blend Apple Sauce 18/4/4oz</v>
      </c>
      <c r="H2108" s="18" t="str">
        <f t="shared" si="206"/>
        <v>LABELS</v>
      </c>
      <c r="I2108" s="19">
        <v>18</v>
      </c>
      <c r="J2108" s="20">
        <v>18</v>
      </c>
    </row>
    <row r="2109" spans="1:10" ht="15.75" thickBot="1" x14ac:dyDescent="0.3">
      <c r="A2109" t="s">
        <v>31</v>
      </c>
      <c r="B2109" s="15" t="str">
        <f>"""Manzana NAV"",""MANZANA"",""99000772"",""44"","" "",""22"",""False"",""43"",""0.00000000000000000000"",""12"",""Sleeve ORG SPIRAL FDS BlackBerry 18/4/4oz"",""50220"",""False"",""29"","""",""50210"",""False"",""18"","""",""11"",""LS0129"",""2"",""20000"",""1"",""FS0129"",""14"",""18.00000000000000000000"","""&amp;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SPIRAL FDS BlackBerry 18/4/4oz","50220","False","29","","50210","False","18","","11","LS0129","2","20000","1","FS0129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9" s="15"/>
      <c r="D2109" s="16" t="str">
        <f>"FS0129"</f>
        <v>FS0129</v>
      </c>
      <c r="E2109" s="16">
        <v>20000</v>
      </c>
      <c r="F2109" s="16" t="str">
        <f>"LS0129"</f>
        <v>LS0129</v>
      </c>
      <c r="G2109" s="17" t="str">
        <f>"Sleeve ORG SPIRAL FDS BlackBerry 18/4/4oz"</f>
        <v>Sleeve ORG SPIRAL FDS BlackBerry 18/4/4oz</v>
      </c>
      <c r="H2109" s="18" t="str">
        <f t="shared" si="206"/>
        <v>LABELS</v>
      </c>
      <c r="I2109" s="19">
        <v>18</v>
      </c>
      <c r="J2109" s="20">
        <v>18</v>
      </c>
    </row>
    <row r="2110" spans="1:10" ht="15.75" thickBot="1" x14ac:dyDescent="0.3">
      <c r="A2110" t="s">
        <v>31</v>
      </c>
      <c r="B2110" s="15" t="str">
        <f>"""Manzana NAV"",""MANZANA"",""99000772"",""44"","" "",""22"",""False"",""43"",""0.00000000000000000000"",""12"",""Sleeve ORG SPROUTS Apricot Apple Sauce 18/4/4oz"",""50220"",""False"",""29"","""",""50210"",""False"",""18"","""",""11"",""LS0104"",""2"",""20000"",""1"",""FS0104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SPROUTS Apricot Apple Sauce 18/4/4oz","50220","False","29","","50210","False","18","","11","LS0104","2","20000","1","FS0104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10" s="15"/>
      <c r="D2110" s="16" t="str">
        <f>"FS0104"</f>
        <v>FS0104</v>
      </c>
      <c r="E2110" s="16">
        <v>20000</v>
      </c>
      <c r="F2110" s="16" t="str">
        <f>"LS0104"</f>
        <v>LS0104</v>
      </c>
      <c r="G2110" s="17" t="str">
        <f>"Sleeve ORG SPROUTS Apricot Apple Sauce 18/4/4oz"</f>
        <v>Sleeve ORG SPROUTS Apricot Apple Sauce 18/4/4oz</v>
      </c>
      <c r="H2110" s="18" t="str">
        <f t="shared" si="206"/>
        <v>LABELS</v>
      </c>
      <c r="I2110" s="19">
        <v>18</v>
      </c>
      <c r="J2110" s="20">
        <v>18</v>
      </c>
    </row>
    <row r="2111" spans="1:10" ht="15.75" thickBot="1" x14ac:dyDescent="0.3">
      <c r="A2111" t="s">
        <v>31</v>
      </c>
      <c r="B2111" s="15" t="str">
        <f>"""Manzana NAV"",""MANZANA"",""99000772"",""44"","" "",""22"",""False"",""43"",""0.00000000000000000000"",""12"",""Sleeve ORG SPROUTS Blend Apple Sauce 18/4/4oz"",""50220"",""False"",""29"","""",""50210"",""False"",""18"","""",""11"",""LS0102"",""2"",""20000"",""1"",""FS0102"",""14"",""18.0000000000000000000"&amp;"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SPROUTS Blend Apple Sauce 18/4/4oz","50220","False","29","","50210","False","18","","11","LS0102","2","20000","1","FS0102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11" s="15"/>
      <c r="D2111" s="16" t="str">
        <f>"FS0102"</f>
        <v>FS0102</v>
      </c>
      <c r="E2111" s="16">
        <v>20000</v>
      </c>
      <c r="F2111" s="16" t="str">
        <f>"LS0102"</f>
        <v>LS0102</v>
      </c>
      <c r="G2111" s="17" t="str">
        <f>"Sleeve ORG SPROUTS Blend Apple Sauce 18/4/4oz"</f>
        <v>Sleeve ORG SPROUTS Blend Apple Sauce 18/4/4oz</v>
      </c>
      <c r="H2111" s="18" t="str">
        <f t="shared" si="206"/>
        <v>LABELS</v>
      </c>
      <c r="I2111" s="19">
        <v>18</v>
      </c>
      <c r="J2111" s="20">
        <v>18</v>
      </c>
    </row>
    <row r="2112" spans="1:10" ht="15.75" thickBot="1" x14ac:dyDescent="0.3">
      <c r="A2112" t="s">
        <v>31</v>
      </c>
      <c r="B2112" s="15" t="str">
        <f>"""Manzana NAV"",""MANZANA"",""99000772"",""44"","" "",""22"",""False"",""43"",""0.00000000000000000000"",""12"",""Sleeve ORG SPROUTS Cinn Apple Sauce 18/4/4oz"",""50220"",""False"",""29"","""",""50210"",""False"",""18"","""",""11"",""LS0103"",""2"",""20000"",""1"",""FS0103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SPROUTS Cinn Apple Sauce 18/4/4oz","50220","False","29","","50210","False","18","","11","LS0103","2","20000","1","FS0103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12" s="15"/>
      <c r="D2112" s="16" t="str">
        <f>"FS0103"</f>
        <v>FS0103</v>
      </c>
      <c r="E2112" s="16">
        <v>20000</v>
      </c>
      <c r="F2112" s="16" t="str">
        <f>"LS0103"</f>
        <v>LS0103</v>
      </c>
      <c r="G2112" s="17" t="str">
        <f>"Sleeve ORG SPROUTS Cinn Apple Sauce 18/4/4oz"</f>
        <v>Sleeve ORG SPROUTS Cinn Apple Sauce 18/4/4oz</v>
      </c>
      <c r="H2112" s="18" t="str">
        <f t="shared" si="206"/>
        <v>LABELS</v>
      </c>
      <c r="I2112" s="19">
        <v>18</v>
      </c>
      <c r="J2112" s="20">
        <v>18</v>
      </c>
    </row>
    <row r="2113" spans="1:10" ht="15.75" thickBot="1" x14ac:dyDescent="0.3">
      <c r="A2113" t="s">
        <v>31</v>
      </c>
      <c r="B2113" s="15" t="str">
        <f>"""Manzana NAV"",""MANZANA"",""99000772"",""44"","" "",""22"",""False"",""43"",""0.00000000000000000000"",""12"",""Sleeve ORG W.FOODS Berry Apple Sauce 12/6/4oz"",""50220"",""False"",""29"","""",""50210"",""False"",""18"","""",""11"",""LS0107"",""2"",""20000"",""1"",""FS0107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W.FOODS Berry Apple Sauce 12/6/4oz","50220","False","29","","50210","False","18","","11","LS0107","2","20000","1","FS0107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3" s="15"/>
      <c r="D2113" s="16" t="str">
        <f>"FS0107"</f>
        <v>FS0107</v>
      </c>
      <c r="E2113" s="16">
        <v>20000</v>
      </c>
      <c r="F2113" s="16" t="str">
        <f>"LS0107"</f>
        <v>LS0107</v>
      </c>
      <c r="G2113" s="17" t="str">
        <f>"Sleeve ORG W.FOODS Berry Apple Sauce 12/6/4oz"</f>
        <v>Sleeve ORG W.FOODS Berry Apple Sauce 12/6/4oz</v>
      </c>
      <c r="H2113" s="18" t="str">
        <f t="shared" si="206"/>
        <v>LABELS</v>
      </c>
      <c r="I2113" s="19">
        <v>12</v>
      </c>
      <c r="J2113" s="20">
        <v>12</v>
      </c>
    </row>
    <row r="2114" spans="1:10" ht="15.75" thickBot="1" x14ac:dyDescent="0.3">
      <c r="A2114" t="s">
        <v>31</v>
      </c>
      <c r="B2114" s="15" t="str">
        <f>"""Manzana NAV"",""MANZANA"",""99000772"",""44"","" "",""22"",""False"",""43"",""0.00000000000000000000"",""12"",""Sleeve ORG W.FOODS Cinn Apple Sauce 12/6/4oz"",""50220"",""False"",""29"","""",""50210"",""False"",""18"","""",""11"",""LS0106"",""2"",""20000"",""1"",""FS0106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W.FOODS Cinn Apple Sauce 12/6/4oz","50220","False","29","","50210","False","18","","11","LS0106","2","20000","1","FS0106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4" s="15"/>
      <c r="D2114" s="16" t="str">
        <f>"FS0106"</f>
        <v>FS0106</v>
      </c>
      <c r="E2114" s="16">
        <v>20000</v>
      </c>
      <c r="F2114" s="16" t="str">
        <f>"LS0106"</f>
        <v>LS0106</v>
      </c>
      <c r="G2114" s="17" t="str">
        <f>"Sleeve ORG W.FOODS Cinn Apple Sauce 12/6/4oz"</f>
        <v>Sleeve ORG W.FOODS Cinn Apple Sauce 12/6/4oz</v>
      </c>
      <c r="H2114" s="18" t="str">
        <f t="shared" si="206"/>
        <v>LABELS</v>
      </c>
      <c r="I2114" s="19">
        <v>12</v>
      </c>
      <c r="J2114" s="20">
        <v>12</v>
      </c>
    </row>
    <row r="2115" spans="1:10" ht="15.75" thickBot="1" x14ac:dyDescent="0.3">
      <c r="A2115" t="s">
        <v>31</v>
      </c>
      <c r="B2115" s="15" t="str">
        <f>"""Manzana NAV"",""MANZANA"",""99000772"",""44"","" "",""22"",""False"",""43"",""0.00000000000000000000"",""12"",""Sleeve RALEYS ORG Berry Sauce Pouches 4/3.2oz"",""50220"",""False"",""29"","""",""50210"",""False"",""18"","""",""11"",""LSP0009"",""2"",""10000"",""1"",""FSP0009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RALEYS ORG Berry Sauce Pouches 4/3.2oz","50220","False","29","","50210","False","18","","11","LSP0009","2","10000","1","FSP0009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5" s="15"/>
      <c r="D2115" s="16" t="str">
        <f>"FSP0009"</f>
        <v>FSP0009</v>
      </c>
      <c r="E2115" s="16">
        <v>10000</v>
      </c>
      <c r="F2115" s="16" t="str">
        <f>"LSP0009"</f>
        <v>LSP0009</v>
      </c>
      <c r="G2115" s="17" t="str">
        <f>"Sleeve RALEYS ORG Berry Sauce Pouches 4/3.2oz"</f>
        <v>Sleeve RALEYS ORG Berry Sauce Pouches 4/3.2oz</v>
      </c>
      <c r="H2115" s="18" t="str">
        <f t="shared" si="206"/>
        <v>LABELS</v>
      </c>
      <c r="I2115" s="19">
        <v>12</v>
      </c>
      <c r="J2115" s="20">
        <v>12</v>
      </c>
    </row>
    <row r="2116" spans="1:10" ht="15.75" thickBot="1" x14ac:dyDescent="0.3">
      <c r="A2116" t="s">
        <v>31</v>
      </c>
      <c r="B2116" s="15" t="str">
        <f>"""Manzana NAV"",""MANZANA"",""99000772"",""44"","" "",""22"",""False"",""43"",""0.00000000000000000000"",""12"",""Sleeve RALEY'S ORG Blend Apple Sauce 12/6/4oz"",""50220"",""False"",""29"","""",""50210"",""False"",""18"","""",""11"",""LS0155"",""2"",""10000"",""1"",""FS0155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RALEY'S ORG Blend Apple Sauce 12/6/4oz","50220","False","29","","50210","False","18","","11","LS0155","2","10000","1","FS0155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6" s="15"/>
      <c r="D2116" s="16" t="str">
        <f>"FS0155"</f>
        <v>FS0155</v>
      </c>
      <c r="E2116" s="16">
        <v>10000</v>
      </c>
      <c r="F2116" s="16" t="str">
        <f>"LS0155"</f>
        <v>LS0155</v>
      </c>
      <c r="G2116" s="17" t="str">
        <f>"Sleeve RALEY'S ORG Blend Apple Sauce 12/6/4oz"</f>
        <v>Sleeve RALEY'S ORG Blend Apple Sauce 12/6/4oz</v>
      </c>
      <c r="H2116" s="18" t="str">
        <f t="shared" si="206"/>
        <v>LABELS</v>
      </c>
      <c r="I2116" s="19">
        <v>12</v>
      </c>
      <c r="J2116" s="20">
        <v>12</v>
      </c>
    </row>
    <row r="2117" spans="1:10" ht="15.75" thickBot="1" x14ac:dyDescent="0.3">
      <c r="A2117" t="s">
        <v>31</v>
      </c>
      <c r="B2117" s="15" t="str">
        <f>"""Manzana NAV"",""MANZANA"",""99000772"",""44"","" "",""22"",""False"",""43"",""0.00000000000000000000"",""12"",""Sleeve RALEYS ORG Blend Sauce Pouches 4/3.2oz"",""50220"",""False"",""29"","""",""50210"",""False"",""18"","""",""11"",""LSP0007"",""2"",""10000"",""1"",""FSP0007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RALEYS ORG Blend Sauce Pouches 4/3.2oz","50220","False","29","","50210","False","18","","11","LSP0007","2","10000","1","FSP0007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7" s="15"/>
      <c r="D2117" s="16" t="str">
        <f>"FSP0007"</f>
        <v>FSP0007</v>
      </c>
      <c r="E2117" s="16">
        <v>10000</v>
      </c>
      <c r="F2117" s="16" t="str">
        <f>"LSP0007"</f>
        <v>LSP0007</v>
      </c>
      <c r="G2117" s="17" t="str">
        <f>"Sleeve RALEYS ORG Blend Sauce Pouches 4/3.2oz"</f>
        <v>Sleeve RALEYS ORG Blend Sauce Pouches 4/3.2oz</v>
      </c>
      <c r="H2117" s="18" t="str">
        <f t="shared" si="206"/>
        <v>LABELS</v>
      </c>
      <c r="I2117" s="19">
        <v>12</v>
      </c>
      <c r="J2117" s="20">
        <v>12</v>
      </c>
    </row>
    <row r="2118" spans="1:10" ht="15.75" thickBot="1" x14ac:dyDescent="0.3">
      <c r="A2118" t="s">
        <v>31</v>
      </c>
      <c r="B2118" s="15" t="str">
        <f>"""Manzana NAV"",""MANZANA"",""99000772"",""44"","" "",""22"",""False"",""43"",""0.00000000000000000000"",""12"",""Sleeve RALEY'S ORG Cinn Apple Sauce 12/6/4oz"",""50220"",""False"",""29"","""",""50210"",""False"",""18"","""",""11"",""LS0156"",""2"",""10000"",""1"",""FS0156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RALEY'S ORG Cinn Apple Sauce 12/6/4oz","50220","False","29","","50210","False","18","","11","LS0156","2","10000","1","FS0156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8" s="15"/>
      <c r="D2118" s="16" t="str">
        <f>"FS0156"</f>
        <v>FS0156</v>
      </c>
      <c r="E2118" s="16">
        <v>10000</v>
      </c>
      <c r="F2118" s="16" t="str">
        <f>"LS0156"</f>
        <v>LS0156</v>
      </c>
      <c r="G2118" s="17" t="str">
        <f>"Sleeve RALEY'S ORG Cinn Apple Sauce 12/6/4oz"</f>
        <v>Sleeve RALEY'S ORG Cinn Apple Sauce 12/6/4oz</v>
      </c>
      <c r="H2118" s="18" t="str">
        <f t="shared" si="206"/>
        <v>LABELS</v>
      </c>
      <c r="I2118" s="19">
        <v>12</v>
      </c>
      <c r="J2118" s="20">
        <v>12</v>
      </c>
    </row>
    <row r="2119" spans="1:10" ht="15.75" thickBot="1" x14ac:dyDescent="0.3">
      <c r="A2119" t="s">
        <v>31</v>
      </c>
      <c r="B2119" s="15" t="str">
        <f>"""Manzana NAV"",""MANZANA"",""99000772"",""44"","" "",""22"",""False"",""43"",""0.00000000000000000000"",""12"",""Sleeve RALEYS ORG Cinn Sauce Pouches 4/3.2oz"",""50220"",""False"",""29"","""",""50210"",""False"",""18"","""",""11"",""LSP0008"",""2"",""10000"",""1"",""FSP0008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RALEYS ORG Cinn Sauce Pouches 4/3.2oz","50220","False","29","","50210","False","18","","11","LSP0008","2","10000","1","FSP0008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9" s="15"/>
      <c r="D2119" s="16" t="str">
        <f>"FSP0008"</f>
        <v>FSP0008</v>
      </c>
      <c r="E2119" s="16">
        <v>10000</v>
      </c>
      <c r="F2119" s="16" t="str">
        <f>"LSP0008"</f>
        <v>LSP0008</v>
      </c>
      <c r="G2119" s="17" t="str">
        <f>"Sleeve RALEYS ORG Cinn Sauce Pouches 4/3.2oz"</f>
        <v>Sleeve RALEYS ORG Cinn Sauce Pouches 4/3.2oz</v>
      </c>
      <c r="H2119" s="18" t="str">
        <f t="shared" si="206"/>
        <v>LABELS</v>
      </c>
      <c r="I2119" s="19">
        <v>12</v>
      </c>
      <c r="J2119" s="20">
        <v>12</v>
      </c>
    </row>
    <row r="2120" spans="1:10" ht="15.75" thickBot="1" x14ac:dyDescent="0.3">
      <c r="A2120" t="s">
        <v>31</v>
      </c>
      <c r="B2120" s="15" t="str">
        <f>"""Manzana NAV"",""MANZANA"",""99000772"",""44"","" "",""22"",""False"",""43"",""0.00000000000000000000"",""12"",""Sleeve SPIRAL ORG Apricot Apple Sauce 18/4/4oz"",""50220"",""False"",""29"","""",""50210"",""False"",""18"","""",""11"",""LS0097"",""2"",""5000"",""1"",""FS0097"",""14"",""18.0000000000000000000"&amp;"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SPIRAL ORG Apricot Apple Sauce 18/4/4oz","50220","False","29","","50210","False","18","","11","LS0097","2","5000","1","FS0097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20" s="15"/>
      <c r="D2120" s="16" t="str">
        <f>"FS0097"</f>
        <v>FS0097</v>
      </c>
      <c r="E2120" s="16">
        <v>5000</v>
      </c>
      <c r="F2120" s="16" t="str">
        <f>"LS0097"</f>
        <v>LS0097</v>
      </c>
      <c r="G2120" s="17" t="str">
        <f>"Sleeve SPIRAL ORG Apricot Apple Sauce 18/4/4oz"</f>
        <v>Sleeve SPIRAL ORG Apricot Apple Sauce 18/4/4oz</v>
      </c>
      <c r="H2120" s="18" t="str">
        <f t="shared" si="206"/>
        <v>LABELS</v>
      </c>
      <c r="I2120" s="19">
        <v>18</v>
      </c>
      <c r="J2120" s="20">
        <v>18</v>
      </c>
    </row>
    <row r="2121" spans="1:10" ht="15.75" thickBot="1" x14ac:dyDescent="0.3">
      <c r="A2121" t="s">
        <v>31</v>
      </c>
      <c r="B2121" s="15" t="str">
        <f>"""Manzana NAV"",""MANZANA"",""99000772"",""44"","" "",""22"",""False"",""43"",""0.00000000000000000000"",""12"",""Sleeve SPIRAL ORG Cinn Apple Sauce 18/4/4oz"",""50220"",""False"",""29"","""",""50210"",""False"",""18"","""",""11"",""LS0095"",""2"",""5000"",""1"",""FS0095"",""14"",""18.00000000000000000000"","&amp;"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SPIRAL ORG Cinn Apple Sauce 18/4/4oz","50220","False","29","","50210","False","18","","11","LS0095","2","5000","1","FS0095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21" s="15"/>
      <c r="D2121" s="16" t="str">
        <f>"FS0095"</f>
        <v>FS0095</v>
      </c>
      <c r="E2121" s="16">
        <v>5000</v>
      </c>
      <c r="F2121" s="16" t="str">
        <f>"LS0095"</f>
        <v>LS0095</v>
      </c>
      <c r="G2121" s="17" t="str">
        <f>"Sleeve SPIRAL ORG Cinn Apple Sauce 18/4/4oz"</f>
        <v>Sleeve SPIRAL ORG Cinn Apple Sauce 18/4/4oz</v>
      </c>
      <c r="H2121" s="18" t="str">
        <f t="shared" si="206"/>
        <v>LABELS</v>
      </c>
      <c r="I2121" s="19">
        <v>18</v>
      </c>
      <c r="J2121" s="20">
        <v>18</v>
      </c>
    </row>
    <row r="2122" spans="1:10" ht="15.75" thickBot="1" x14ac:dyDescent="0.3">
      <c r="A2122" t="s">
        <v>31</v>
      </c>
      <c r="B2122" s="15" t="str">
        <f>"""Manzana NAV"",""MANZANA"",""99000772"",""44"","" "",""22"",""False"",""43"",""0.00000000000000000000"",""12"",""Sleeve TRADER.JOES ORG Apple Sauce pouches 4/3.2oz"",""50220"",""False"",""29"","""",""50210"",""False"",""18"","""",""11"",""LSP0017"",""2"",""15000"",""1"",""FSP0017"",""14"",""28.000000000000"&amp;"00000000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Apple Sauce pouches 4/3.2oz","50220","False","29","","50210","False","18","","11","LSP0017","2","15000","1","FSP0017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2" s="15"/>
      <c r="D2122" s="16" t="str">
        <f>"FSP0017"</f>
        <v>FSP0017</v>
      </c>
      <c r="E2122" s="16">
        <v>15000</v>
      </c>
      <c r="F2122" s="16" t="str">
        <f>"LSP0017"</f>
        <v>LSP0017</v>
      </c>
      <c r="G2122" s="17" t="str">
        <f>"Sleeve TRADER.JOES ORG Apple Sauce pouches 4/3.2oz"</f>
        <v>Sleeve TRADER.JOES ORG Apple Sauce pouches 4/3.2oz</v>
      </c>
      <c r="H2122" s="18" t="str">
        <f>"CARTON"</f>
        <v>CARTON</v>
      </c>
      <c r="I2122" s="19">
        <v>28</v>
      </c>
      <c r="J2122" s="20">
        <v>28</v>
      </c>
    </row>
    <row r="2123" spans="1:10" ht="15.75" thickBot="1" x14ac:dyDescent="0.3">
      <c r="A2123" t="s">
        <v>31</v>
      </c>
      <c r="B2123" s="15" t="str">
        <f>"""Manzana NAV"",""MANZANA"",""99000772"",""44"","" "",""22"",""False"",""43"",""0.00000000000000000000"",""12"",""Sleeve TRADER.JOES ORG Banana AS Pouches 4/3.2oz"",""50220"",""False"",""29"","""",""50210"",""False"",""18"","""",""11"",""LSP0019"",""2"",""20000"",""1"",""FSP0019"",""14"",""28.00000000000000"&amp;"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Banana AS Pouches 4/3.2oz","50220","False","29","","50210","False","18","","11","LSP0019","2","20000","1","FSP0019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3" s="15"/>
      <c r="D2123" s="16" t="str">
        <f>"FSP0019"</f>
        <v>FSP0019</v>
      </c>
      <c r="E2123" s="16">
        <v>20000</v>
      </c>
      <c r="F2123" s="16" t="str">
        <f>"LSP0019"</f>
        <v>LSP0019</v>
      </c>
      <c r="G2123" s="17" t="str">
        <f>"Sleeve TRADER.JOES ORG Banana AS Pouches 4/3.2oz"</f>
        <v>Sleeve TRADER.JOES ORG Banana AS Pouches 4/3.2oz</v>
      </c>
      <c r="H2123" s="18" t="str">
        <f>"CARTON"</f>
        <v>CARTON</v>
      </c>
      <c r="I2123" s="19">
        <v>28</v>
      </c>
      <c r="J2123" s="20">
        <v>28</v>
      </c>
    </row>
    <row r="2124" spans="1:10" ht="15.75" thickBot="1" x14ac:dyDescent="0.3">
      <c r="A2124" t="s">
        <v>31</v>
      </c>
      <c r="B2124" s="15" t="str">
        <f>"""Manzana NAV"",""MANZANA"",""99000772"",""44"","" "",""22"",""False"",""43"",""0.00000000000000000000"",""12"",""Sleeve TRADER.JOES ORG Carrot AS Pouches 4/3.2oz "",""50220"",""False"",""29"","""",""50210"",""False"",""18"","""",""11"",""LSP0018"",""2"",""20000"",""1"",""FSP0018"",""14"",""28.0000000000000"&amp;"0000000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Carrot AS Pouches 4/3.2oz ","50220","False","29","","50210","False","18","","11","LSP0018","2","20000","1","FSP0018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4" s="15"/>
      <c r="D2124" s="16" t="str">
        <f>"FSP0018"</f>
        <v>FSP0018</v>
      </c>
      <c r="E2124" s="16">
        <v>20000</v>
      </c>
      <c r="F2124" s="16" t="str">
        <f>"LSP0018"</f>
        <v>LSP0018</v>
      </c>
      <c r="G2124" s="17" t="str">
        <f>"Sleeve TRADER.JOES ORG Carrot AS Pouches 4/3.2oz "</f>
        <v xml:space="preserve">Sleeve TRADER.JOES ORG Carrot AS Pouches 4/3.2oz </v>
      </c>
      <c r="H2124" s="18" t="str">
        <f>"CARTON"</f>
        <v>CARTON</v>
      </c>
      <c r="I2124" s="19">
        <v>28</v>
      </c>
      <c r="J2124" s="20">
        <v>28</v>
      </c>
    </row>
    <row r="2125" spans="1:10" ht="15.75" thickBot="1" x14ac:dyDescent="0.3">
      <c r="A2125" t="s">
        <v>31</v>
      </c>
      <c r="B2125" s="15" t="str">
        <f>"""Manzana NAV"",""MANZANA"",""99000772"",""44"","" "",""22"",""False"",""43"",""0.00000000000000000000"",""12"",""Sleeve TRADER.JOES ORG Strawberry AS Pouch 4/3.2oz"",""50220"",""False"",""29"","""",""50210"",""False"",""18"","""",""11"",""LSP0020"",""2"",""20000"",""1"",""FSP0020"",""14"",""28.000000000000"&amp;"00000000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Strawberry AS Pouch 4/3.2oz","50220","False","29","","50210","False","18","","11","LSP0020","2","20000","1","FSP0020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5" s="15"/>
      <c r="D2125" s="16" t="str">
        <f>"FSP0020"</f>
        <v>FSP0020</v>
      </c>
      <c r="E2125" s="16">
        <v>20000</v>
      </c>
      <c r="F2125" s="16" t="str">
        <f>"LSP0020"</f>
        <v>LSP0020</v>
      </c>
      <c r="G2125" s="17" t="str">
        <f>"Sleeve TRADER.JOES ORG Strawberry AS Pouch 4/3.2oz"</f>
        <v>Sleeve TRADER.JOES ORG Strawberry AS Pouch 4/3.2oz</v>
      </c>
      <c r="H2125" s="18" t="str">
        <f>"CARTON"</f>
        <v>CARTON</v>
      </c>
      <c r="I2125" s="19">
        <v>28</v>
      </c>
      <c r="J2125" s="20">
        <v>28</v>
      </c>
    </row>
    <row r="2126" spans="1:10" ht="15.75" thickBot="1" x14ac:dyDescent="0.3">
      <c r="A2126" t="s">
        <v>31</v>
      </c>
      <c r="B2126" s="15" t="str">
        <f>"""Manzana NAV"",""MANZANA"",""99000772"",""44"","" "",""22"",""False"",""43"",""0.00000000000000000000"",""12"",""Sleeve WHOLE.FOODS ORG Blend Apple Sauce 12/6/4oz"",""50220"",""False"",""29"","""",""50210"",""False"",""18"","""",""11"",""LS0105"",""2"",""5000"",""1"",""FS0105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WHOLE.FOODS ORG Blend Apple Sauce 12/6/4oz","50220","False","29","","50210","False","18","","11","LS0105","2","5000","1","FS0105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26" s="15"/>
      <c r="D2126" s="16" t="str">
        <f>"FS0105"</f>
        <v>FS0105</v>
      </c>
      <c r="E2126" s="16">
        <v>5000</v>
      </c>
      <c r="F2126" s="16" t="str">
        <f>"LS0105"</f>
        <v>LS0105</v>
      </c>
      <c r="G2126" s="17" t="str">
        <f>"Sleeve WHOLE.FOODS ORG Blend Apple Sauce 12/6/4oz"</f>
        <v>Sleeve WHOLE.FOODS ORG Blend Apple Sauce 12/6/4oz</v>
      </c>
      <c r="H2126" s="18" t="str">
        <f>"LABELS"</f>
        <v>LABELS</v>
      </c>
      <c r="I2126" s="19">
        <v>12</v>
      </c>
      <c r="J2126" s="20">
        <v>12</v>
      </c>
    </row>
    <row r="2127" spans="1:10" ht="15.75" thickBot="1" x14ac:dyDescent="0.3">
      <c r="A2127" t="s">
        <v>31</v>
      </c>
      <c r="B2127" s="15" t="str">
        <f>"""Manzana NAV"",""MANZANA"",""99000772"",""44"","" "",""22"",""False"",""43"",""0.00000000000000000000"",""12"",""Water"",""50220"",""False"",""29"","""",""50210"",""False"",""18"","""",""11"",""I0001"",""2"",""40000"",""1"",""IJ018"",""14"",""26.66675000000000000000"",""45"",""26.66675000000000000000"",""19"","""","&amp;"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Water","50220","False","29","","50210","False","18","","11","I0001","2","40000","1","IJ018","14","26.66675000000000000000","45","26.66675000000000000000","19","","20","0.00000000000000000000","50000","0.00000000000000000000","50230","False","28","","10","Item","13","OZ","21","","3","","42","0.00000000000000000000","50200","False","41","0.00000000000000000000"</v>
      </c>
      <c r="C2127" s="15"/>
      <c r="D2127" s="16" t="str">
        <f>"IJ018"</f>
        <v>IJ018</v>
      </c>
      <c r="E2127" s="16">
        <v>40000</v>
      </c>
      <c r="F2127" s="16" t="str">
        <f>"I0001"</f>
        <v>I0001</v>
      </c>
      <c r="G2127" s="17" t="str">
        <f>"Water"</f>
        <v>Water</v>
      </c>
      <c r="H2127" s="18" t="str">
        <f>"OZ"</f>
        <v>OZ</v>
      </c>
      <c r="I2127" s="19">
        <v>26.666749999999997</v>
      </c>
      <c r="J2127" s="20">
        <v>26.666749999999997</v>
      </c>
    </row>
    <row r="2128" spans="1:10" x14ac:dyDescent="0.25">
      <c r="B2128" s="21"/>
      <c r="C2128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I18"/>
  <sheetViews>
    <sheetView topLeftCell="B2" workbookViewId="0">
      <selection activeCell="D21" sqref="D21"/>
    </sheetView>
  </sheetViews>
  <sheetFormatPr defaultRowHeight="15" x14ac:dyDescent="0.25"/>
  <cols>
    <col min="1" max="1" width="9.140625" hidden="1" customWidth="1"/>
    <col min="2" max="2" width="11.85546875" bestFit="1" customWidth="1"/>
    <col min="3" max="3" width="41.28515625" bestFit="1" customWidth="1"/>
    <col min="4" max="4" width="17.85546875" bestFit="1" customWidth="1"/>
    <col min="5" max="5" width="13.28515625" bestFit="1" customWidth="1"/>
    <col min="6" max="6" width="10.42578125" bestFit="1" customWidth="1"/>
    <col min="7" max="7" width="24.140625" bestFit="1" customWidth="1"/>
    <col min="8" max="8" width="22.85546875" bestFit="1" customWidth="1"/>
    <col min="9" max="9" width="21.28515625" customWidth="1"/>
  </cols>
  <sheetData>
    <row r="1" spans="1:9" hidden="1" x14ac:dyDescent="0.25">
      <c r="A1" t="s">
        <v>0</v>
      </c>
    </row>
    <row r="2" spans="1:9" x14ac:dyDescent="0.25">
      <c r="B2" t="s">
        <v>32</v>
      </c>
      <c r="C2" t="s">
        <v>26</v>
      </c>
      <c r="D2" t="s">
        <v>33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</row>
    <row r="3" spans="1:9" x14ac:dyDescent="0.25">
      <c r="B3" s="23" t="s">
        <v>39</v>
      </c>
      <c r="C3" s="24" t="s">
        <v>40</v>
      </c>
      <c r="D3" s="1" t="s">
        <v>41</v>
      </c>
      <c r="E3" s="24" t="s">
        <v>42</v>
      </c>
      <c r="F3" s="24"/>
      <c r="G3" t="s">
        <v>43</v>
      </c>
      <c r="H3" t="s">
        <v>44</v>
      </c>
    </row>
    <row r="4" spans="1:9" x14ac:dyDescent="0.25">
      <c r="B4" s="23" t="s">
        <v>45</v>
      </c>
      <c r="C4" s="24" t="s">
        <v>46</v>
      </c>
      <c r="D4" s="1" t="s">
        <v>47</v>
      </c>
      <c r="E4" s="24" t="s">
        <v>48</v>
      </c>
      <c r="F4" s="24"/>
      <c r="G4" t="s">
        <v>43</v>
      </c>
      <c r="H4" t="s">
        <v>44</v>
      </c>
    </row>
    <row r="5" spans="1:9" x14ac:dyDescent="0.25">
      <c r="B5" s="23" t="s">
        <v>49</v>
      </c>
      <c r="C5" s="24" t="s">
        <v>50</v>
      </c>
      <c r="D5" s="1"/>
      <c r="E5" s="24" t="s">
        <v>48</v>
      </c>
      <c r="F5" s="24"/>
      <c r="G5" t="s">
        <v>43</v>
      </c>
      <c r="H5" t="s">
        <v>44</v>
      </c>
    </row>
    <row r="6" spans="1:9" x14ac:dyDescent="0.25">
      <c r="B6" s="23" t="s">
        <v>51</v>
      </c>
      <c r="C6" s="24" t="s">
        <v>52</v>
      </c>
      <c r="D6" s="1" t="s">
        <v>41</v>
      </c>
      <c r="E6" s="24" t="s">
        <v>42</v>
      </c>
      <c r="F6" s="24" t="s">
        <v>53</v>
      </c>
      <c r="G6" t="s">
        <v>43</v>
      </c>
      <c r="H6" t="s">
        <v>44</v>
      </c>
    </row>
    <row r="7" spans="1:9" x14ac:dyDescent="0.25">
      <c r="B7" s="23" t="s">
        <v>54</v>
      </c>
      <c r="C7" s="24" t="s">
        <v>55</v>
      </c>
      <c r="D7" s="1" t="s">
        <v>47</v>
      </c>
      <c r="E7" s="24" t="s">
        <v>56</v>
      </c>
      <c r="F7" s="24"/>
    </row>
    <row r="8" spans="1:9" x14ac:dyDescent="0.25">
      <c r="B8" s="23" t="s">
        <v>57</v>
      </c>
      <c r="C8" s="24" t="s">
        <v>58</v>
      </c>
      <c r="D8" s="1" t="s">
        <v>59</v>
      </c>
      <c r="E8" s="24" t="s">
        <v>42</v>
      </c>
      <c r="F8" s="24"/>
      <c r="G8" t="s">
        <v>43</v>
      </c>
      <c r="H8" t="s">
        <v>44</v>
      </c>
      <c r="I8" t="s">
        <v>60</v>
      </c>
    </row>
    <row r="9" spans="1:9" x14ac:dyDescent="0.25">
      <c r="B9" s="23" t="s">
        <v>61</v>
      </c>
      <c r="C9" s="24" t="s">
        <v>62</v>
      </c>
      <c r="D9" s="1"/>
      <c r="E9" s="24" t="s">
        <v>63</v>
      </c>
      <c r="F9" s="24" t="s">
        <v>64</v>
      </c>
    </row>
    <row r="10" spans="1:9" x14ac:dyDescent="0.25">
      <c r="B10" s="23" t="s">
        <v>65</v>
      </c>
      <c r="C10" s="24" t="s">
        <v>66</v>
      </c>
      <c r="D10" s="23" t="s">
        <v>67</v>
      </c>
      <c r="E10" s="24" t="s">
        <v>68</v>
      </c>
      <c r="F10" s="24"/>
      <c r="G10" t="s">
        <v>69</v>
      </c>
      <c r="H10" t="s">
        <v>70</v>
      </c>
      <c r="I10" t="s">
        <v>60</v>
      </c>
    </row>
    <row r="11" spans="1:9" x14ac:dyDescent="0.25">
      <c r="B11" s="23" t="s">
        <v>8</v>
      </c>
      <c r="C11" s="24" t="s">
        <v>71</v>
      </c>
      <c r="D11" s="1" t="s">
        <v>72</v>
      </c>
      <c r="E11" s="24" t="s">
        <v>73</v>
      </c>
      <c r="F11" s="24"/>
      <c r="G11" t="s">
        <v>44</v>
      </c>
      <c r="H11" t="s">
        <v>74</v>
      </c>
    </row>
    <row r="12" spans="1:9" x14ac:dyDescent="0.25">
      <c r="B12" s="23" t="s">
        <v>75</v>
      </c>
      <c r="C12" s="24" t="s">
        <v>76</v>
      </c>
      <c r="D12" s="1" t="s">
        <v>72</v>
      </c>
      <c r="E12" s="24" t="s">
        <v>77</v>
      </c>
      <c r="F12" s="24"/>
      <c r="G12" t="s">
        <v>44</v>
      </c>
      <c r="H12" t="s">
        <v>74</v>
      </c>
    </row>
    <row r="13" spans="1:9" x14ac:dyDescent="0.25">
      <c r="B13" s="23" t="s">
        <v>13</v>
      </c>
      <c r="C13" s="24" t="s">
        <v>78</v>
      </c>
      <c r="D13" s="1" t="s">
        <v>16</v>
      </c>
      <c r="E13" s="24" t="s">
        <v>16</v>
      </c>
      <c r="F13" s="24"/>
      <c r="G13" t="s">
        <v>69</v>
      </c>
      <c r="H13" t="s">
        <v>79</v>
      </c>
    </row>
    <row r="14" spans="1:9" x14ac:dyDescent="0.25">
      <c r="B14" s="23" t="s">
        <v>11</v>
      </c>
      <c r="C14" s="24" t="s">
        <v>80</v>
      </c>
      <c r="D14" s="1" t="s">
        <v>56</v>
      </c>
      <c r="E14" s="24" t="s">
        <v>56</v>
      </c>
      <c r="F14" s="24"/>
      <c r="G14" t="s">
        <v>43</v>
      </c>
      <c r="H14" t="s">
        <v>44</v>
      </c>
      <c r="I14" t="s">
        <v>60</v>
      </c>
    </row>
    <row r="15" spans="1:9" x14ac:dyDescent="0.25">
      <c r="B15" s="23" t="s">
        <v>81</v>
      </c>
      <c r="C15" s="24" t="s">
        <v>82</v>
      </c>
      <c r="D15" s="1" t="s">
        <v>47</v>
      </c>
      <c r="E15" s="24" t="s">
        <v>56</v>
      </c>
      <c r="F15" s="24"/>
      <c r="G15" t="s">
        <v>43</v>
      </c>
      <c r="H15" t="s">
        <v>44</v>
      </c>
    </row>
    <row r="16" spans="1:9" x14ac:dyDescent="0.25">
      <c r="B16" s="23" t="s">
        <v>83</v>
      </c>
      <c r="C16" s="24" t="s">
        <v>84</v>
      </c>
      <c r="D16" s="1" t="s">
        <v>47</v>
      </c>
      <c r="E16" s="24" t="s">
        <v>56</v>
      </c>
      <c r="F16" s="24"/>
      <c r="G16" t="s">
        <v>43</v>
      </c>
      <c r="H16" t="s">
        <v>44</v>
      </c>
    </row>
    <row r="17" spans="2:8" x14ac:dyDescent="0.25">
      <c r="B17" s="23" t="s">
        <v>85</v>
      </c>
      <c r="C17" s="24" t="s">
        <v>86</v>
      </c>
      <c r="D17" s="1" t="s">
        <v>47</v>
      </c>
      <c r="E17" s="24" t="s">
        <v>56</v>
      </c>
      <c r="F17" s="24"/>
      <c r="G17" t="s">
        <v>43</v>
      </c>
      <c r="H17" t="s">
        <v>44</v>
      </c>
    </row>
    <row r="18" spans="2:8" x14ac:dyDescent="0.25">
      <c r="B18" s="1"/>
      <c r="C18" s="1"/>
      <c r="D18" s="1"/>
      <c r="E18" s="1"/>
      <c r="F18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Items (1)</vt:lpstr>
      <vt:lpstr>BOM</vt:lpstr>
      <vt:lpstr>Container_specification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 Renard</dc:creator>
  <cp:lastModifiedBy>Maud Renard</cp:lastModifiedBy>
  <dcterms:created xsi:type="dcterms:W3CDTF">2016-06-06T22:33:45Z</dcterms:created>
  <dcterms:modified xsi:type="dcterms:W3CDTF">2016-06-06T23:03:44Z</dcterms:modified>
</cp:coreProperties>
</file>