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825" yWindow="210" windowWidth="15600" windowHeight="7410" activeTab="2"/>
  </bookViews>
  <sheets>
    <sheet name="données préliminaires" sheetId="1" r:id="rId1"/>
    <sheet name="Test du khi²" sheetId="3" r:id="rId2"/>
    <sheet name="Calcul carte de contrôles" sheetId="5" r:id="rId3"/>
    <sheet name="Accueil" sheetId="4" r:id="rId4"/>
    <sheet name="données production" sheetId="2" r:id="rId5"/>
  </sheets>
  <externalReferences>
    <externalReference r:id="rId6"/>
    <externalReference r:id="rId7"/>
  </externalReferences>
  <definedNames>
    <definedName name="alpha">'Test du khi²'!$L$1</definedName>
    <definedName name="alpha2">'[1]Risque dépassement norme (1)'!$P$5</definedName>
    <definedName name="critique">'Test du khi²'!$M$5</definedName>
    <definedName name="décision">'Test du khi²'!$M$6</definedName>
    <definedName name="Données">'données préliminaires'!$B$2:$E$5,'données préliminaires'!$A$7:$C$10,'données préliminaires'!$E$7:$E$10,'données préliminaires'!$A$12:$E$15,'données préliminaires'!$A$17:$C$20,'données préliminaires'!$E$17:$E$20,'données préliminaires'!$A$22:$E$25,'données préliminaires'!$A$27:$C$30</definedName>
    <definedName name="Données_échantillon_ch1">'[1]Données (1)'!$A:$A</definedName>
    <definedName name="Données_préliminaires">'données préliminaires'!$A$35:$A$134</definedName>
    <definedName name="Données_test">'données préliminaires'!$B$2:$E$5,'données préliminaires'!$A$7:$A$10,'données préliminaires'!$B$7:$B$10,'données préliminaires'!$C$7:$C$10,'données préliminaires'!$E$7:$E$11,'données préliminaires'!$E$11,'données préliminaires'!$A$12:$A$15,'données préliminaires'!$B$12:$E$15,'données préliminaires'!$A$17:$C$20,'données préliminaires'!$E$17:$E$20,'données préliminaires'!$A$22:$E$25,'données préliminaires'!$A$27:$C$30</definedName>
    <definedName name="écart_types_échantillons">'Calcul carte de contrôles'!$C$4:$C$28</definedName>
    <definedName name="Echantillon_preliminaire1">'données préliminaires'!$B$2:$B$5</definedName>
    <definedName name="Echantillon_preliminaire10">'données préliminaires'!$B$12:$B$15</definedName>
    <definedName name="Echantillon_preliminaire11">'données préliminaires'!$C$12:$C$15</definedName>
    <definedName name="Echantillon_preliminaire12">'données préliminaires'!$D$12:$D$15</definedName>
    <definedName name="Echantillon_preliminaire13">'données préliminaires'!$E$12:$E$15</definedName>
    <definedName name="Echantillon_preliminaire14">'données préliminaires'!$A$17:$A$20</definedName>
    <definedName name="Echantillon_preliminaire15">'données préliminaires'!$B$17:$B$20</definedName>
    <definedName name="Echantillon_preliminaire16">'données préliminaires'!$C$17:$C$20</definedName>
    <definedName name="Echantillon_preliminaire17">'données préliminaires'!$E$17:$E$20</definedName>
    <definedName name="Echantillon_preliminaire18">'données préliminaires'!$A$22:$A$25</definedName>
    <definedName name="Echantillon_preliminaire19">'données préliminaires'!$B$22:$B$25</definedName>
    <definedName name="Echantillon_preliminaire2">'données préliminaires'!$C$2:$C$5</definedName>
    <definedName name="Echantillon_preliminaire20">'données préliminaires'!$C$22:$C$25</definedName>
    <definedName name="Echantillon_preliminaire21">'données préliminaires'!$D$22:$D$25</definedName>
    <definedName name="Echantillon_preliminaire22">'données préliminaires'!$E$22:$E$25</definedName>
    <definedName name="Echantillon_preliminaire23">'données préliminaires'!$A$27:$A$30</definedName>
    <definedName name="Echantillon_preliminaire24">'données préliminaires'!$B$27:$B$30</definedName>
    <definedName name="Echantillon_preliminaire25">'données préliminaires'!$C$27:$C$30</definedName>
    <definedName name="Echantillon_preliminaire3">'données préliminaires'!$D$2:$D$5</definedName>
    <definedName name="Echantillon_preliminaire4">'données préliminaires'!$E$2:$E$5</definedName>
    <definedName name="Echantillon_preliminaire5">'données préliminaires'!$A$7:$A$10</definedName>
    <definedName name="Echantillon_preliminaire6">'données préliminaires'!$B$7:$B$10</definedName>
    <definedName name="Echantillon_preliminaire7">'données préliminaires'!$C$7:$C$10</definedName>
    <definedName name="Echantillon_preliminaire8">'données préliminaires'!$E$7:$E$10</definedName>
    <definedName name="Echantillon_preliminaire9">'données préliminaires'!$A$12:$A$15</definedName>
    <definedName name="k">'Test du khi²'!$M$4</definedName>
    <definedName name="k_ch1">'Test du khi²'!$M$4</definedName>
    <definedName name="LIC_ecarttype">'Calcul carte de contrôles'!$N$6</definedName>
    <definedName name="LIC_moyenne">'Calcul carte de contrôles'!$I$6</definedName>
    <definedName name="LIS_ecarttype">'Calcul carte de contrôles'!$N$9</definedName>
    <definedName name="LIS_moyenne">'Calcul carte de contrôles'!$I$9</definedName>
    <definedName name="LSC_ecarttype">'Calcul carte de contrôles'!$N$5</definedName>
    <definedName name="LSC_moyenne">'Calcul carte de contrôles'!$I$5</definedName>
    <definedName name="LSS_ecarttype">'Calcul carte de contrôles'!$N$8</definedName>
    <definedName name="LSS_moyenne">'Calcul carte de contrôles'!$I$8</definedName>
    <definedName name="moyenne_µ">'Calcul carte de contrôles'!$C$31</definedName>
    <definedName name="moyenne_σ">'Calcul carte de contrôles'!$C$32</definedName>
    <definedName name="moyennes_échantillons">'Calcul carte de contrôles'!$B$4:$B$28</definedName>
    <definedName name="n_ch1">'[1]Information échantillon (1)'!$B$2</definedName>
    <definedName name="n_préliminaires">'données préliminaires'!$H$2</definedName>
    <definedName name="n1_ch2">'[1]Information échantillon (2)'!$B$2</definedName>
    <definedName name="nombre_échantillons">'Calcul carte de contrôles'!$C$30</definedName>
    <definedName name="nombre_échantillons_provisoire">'données production'!#REF!</definedName>
    <definedName name="S_ch1">'données préliminaires'!$B$4</definedName>
    <definedName name="S_préliminaire">'données préliminaires'!$H$4</definedName>
    <definedName name="Sp_ch1">'[1]Information échantillon (1)'!$B$5</definedName>
    <definedName name="Sp_préliminaire">'données préliminaires'!$H$5</definedName>
    <definedName name="w_préliminaire">'données préliminaires'!$H$6</definedName>
    <definedName name="X̅_ch1">'[1]Information échantillon (1)'!$B$3</definedName>
    <definedName name="X̅_préliminaire">'données préliminaires'!$H$3</definedName>
  </definedNames>
  <calcPr calcId="125725"/>
</workbook>
</file>

<file path=xl/calcChain.xml><?xml version="1.0" encoding="utf-8"?>
<calcChain xmlns="http://schemas.openxmlformats.org/spreadsheetml/2006/main">
  <c r="N8" i="5"/>
  <c r="N9"/>
  <c r="N6"/>
  <c r="N5"/>
  <c r="B38" l="1"/>
  <c r="I9"/>
  <c r="I8"/>
  <c r="I6"/>
  <c r="I5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A17"/>
  <c r="A18"/>
  <c r="A19"/>
  <c r="A20"/>
  <c r="A21"/>
  <c r="A22"/>
  <c r="A23"/>
  <c r="A24"/>
  <c r="A25"/>
  <c r="A26"/>
  <c r="A27"/>
  <c r="A28"/>
  <c r="C31" l="1"/>
  <c r="A9" l="1"/>
  <c r="A5"/>
  <c r="A6"/>
  <c r="A7"/>
  <c r="A8"/>
  <c r="A10"/>
  <c r="A11"/>
  <c r="A12"/>
  <c r="A13"/>
  <c r="A14"/>
  <c r="A15"/>
  <c r="A16"/>
  <c r="A4"/>
  <c r="C30" s="1"/>
  <c r="H2" i="1" l="1"/>
  <c r="G4" i="3"/>
  <c r="C32" i="5" l="1"/>
  <c r="H4" i="1"/>
  <c r="H3"/>
  <c r="E15" i="3" l="1"/>
  <c r="G15" s="1"/>
  <c r="E14"/>
  <c r="G14" s="1"/>
  <c r="E13"/>
  <c r="G13" s="1"/>
  <c r="E12"/>
  <c r="G12" s="1"/>
  <c r="E11"/>
  <c r="G11" s="1"/>
  <c r="E10"/>
  <c r="G10" s="1"/>
  <c r="E9"/>
  <c r="G9" s="1"/>
  <c r="E8"/>
  <c r="G8" s="1"/>
  <c r="E7"/>
  <c r="G7" s="1"/>
  <c r="E6"/>
  <c r="G6" s="1"/>
  <c r="E18"/>
  <c r="G18" s="1"/>
  <c r="E17"/>
  <c r="G17" s="1"/>
  <c r="E16"/>
  <c r="G16" s="1"/>
  <c r="M5"/>
  <c r="C3"/>
  <c r="H6" i="1"/>
  <c r="E63" i="3"/>
  <c r="G63" s="1"/>
  <c r="E62"/>
  <c r="G62" s="1"/>
  <c r="E61"/>
  <c r="G61" s="1"/>
  <c r="E60"/>
  <c r="G60" s="1"/>
  <c r="E59"/>
  <c r="G59" s="1"/>
  <c r="E58"/>
  <c r="G58" s="1"/>
  <c r="E57"/>
  <c r="G57" s="1"/>
  <c r="E56"/>
  <c r="G56" s="1"/>
  <c r="E55"/>
  <c r="G55" s="1"/>
  <c r="E54"/>
  <c r="G54" s="1"/>
  <c r="E53"/>
  <c r="G53" s="1"/>
  <c r="E52"/>
  <c r="G52" s="1"/>
  <c r="E51"/>
  <c r="G51" s="1"/>
  <c r="E50"/>
  <c r="G50" s="1"/>
  <c r="E49"/>
  <c r="G49" s="1"/>
  <c r="E48"/>
  <c r="G48" s="1"/>
  <c r="E47"/>
  <c r="G47" s="1"/>
  <c r="E46"/>
  <c r="G46" s="1"/>
  <c r="E45"/>
  <c r="G45" s="1"/>
  <c r="E44"/>
  <c r="G44" s="1"/>
  <c r="E43"/>
  <c r="G43" s="1"/>
  <c r="E42"/>
  <c r="G42" s="1"/>
  <c r="E41"/>
  <c r="G41" s="1"/>
  <c r="E40"/>
  <c r="G40" s="1"/>
  <c r="E39"/>
  <c r="G39" s="1"/>
  <c r="E38"/>
  <c r="G38" s="1"/>
  <c r="E37"/>
  <c r="G37" s="1"/>
  <c r="E36"/>
  <c r="G36" s="1"/>
  <c r="E35"/>
  <c r="G35" s="1"/>
  <c r="E34"/>
  <c r="G34" s="1"/>
  <c r="E33"/>
  <c r="G33" s="1"/>
  <c r="E32"/>
  <c r="G32" s="1"/>
  <c r="E31"/>
  <c r="G31" s="1"/>
  <c r="E30"/>
  <c r="G30" s="1"/>
  <c r="E29"/>
  <c r="G29" s="1"/>
  <c r="E28"/>
  <c r="G28" s="1"/>
  <c r="E27"/>
  <c r="G27" s="1"/>
  <c r="E26"/>
  <c r="G26" s="1"/>
  <c r="E25"/>
  <c r="G25" s="1"/>
  <c r="E24"/>
  <c r="G24" s="1"/>
  <c r="E23"/>
  <c r="G23" s="1"/>
  <c r="E22"/>
  <c r="G22" s="1"/>
  <c r="E21"/>
  <c r="G21" s="1"/>
  <c r="E20"/>
  <c r="G20" s="1"/>
  <c r="E19"/>
  <c r="G19" s="1"/>
  <c r="E5" l="1"/>
  <c r="G5" s="1"/>
  <c r="H5" i="1"/>
  <c r="H45" i="3" l="1"/>
  <c r="H4"/>
  <c r="I4" s="1"/>
  <c r="H23"/>
  <c r="I23" s="1"/>
  <c r="H37"/>
  <c r="I37" s="1"/>
  <c r="H7"/>
  <c r="I7" s="1"/>
  <c r="H53"/>
  <c r="I53" s="1"/>
  <c r="H42"/>
  <c r="I42" s="1"/>
  <c r="H28"/>
  <c r="I28" s="1"/>
  <c r="H26"/>
  <c r="I26" s="1"/>
  <c r="H41"/>
  <c r="I41" s="1"/>
  <c r="H35"/>
  <c r="I35" s="1"/>
  <c r="H57"/>
  <c r="I57" s="1"/>
  <c r="H19"/>
  <c r="I19" s="1"/>
  <c r="H5"/>
  <c r="I5" s="1"/>
  <c r="H22"/>
  <c r="I22" s="1"/>
  <c r="H6"/>
  <c r="I6" s="1"/>
  <c r="H27"/>
  <c r="I27" s="1"/>
  <c r="H34"/>
  <c r="I34" s="1"/>
  <c r="H15"/>
  <c r="I15" s="1"/>
  <c r="H14"/>
  <c r="I14" s="1"/>
  <c r="H61"/>
  <c r="I61" s="1"/>
  <c r="H49"/>
  <c r="I49" s="1"/>
  <c r="H20"/>
  <c r="I20" s="1"/>
  <c r="H21"/>
  <c r="I21" s="1"/>
  <c r="H11"/>
  <c r="I11" s="1"/>
  <c r="H18"/>
  <c r="I18" s="1"/>
  <c r="H56"/>
  <c r="I56" s="1"/>
  <c r="H63"/>
  <c r="I63" s="1"/>
  <c r="H62"/>
  <c r="I62" s="1"/>
  <c r="H17"/>
  <c r="I17" s="1"/>
  <c r="H24"/>
  <c r="I24" s="1"/>
  <c r="H36"/>
  <c r="I36" s="1"/>
  <c r="H60"/>
  <c r="I60" s="1"/>
  <c r="H10"/>
  <c r="I10" s="1"/>
  <c r="H8"/>
  <c r="I8" s="1"/>
  <c r="H55"/>
  <c r="I55" s="1"/>
  <c r="H54"/>
  <c r="I54" s="1"/>
  <c r="H16"/>
  <c r="I16" s="1"/>
  <c r="H48"/>
  <c r="I48" s="1"/>
  <c r="H44"/>
  <c r="I44" s="1"/>
  <c r="H32"/>
  <c r="I32" s="1"/>
  <c r="H59"/>
  <c r="I59" s="1"/>
  <c r="H9"/>
  <c r="I9" s="1"/>
  <c r="H47"/>
  <c r="I47" s="1"/>
  <c r="H46"/>
  <c r="I46" s="1"/>
  <c r="H13"/>
  <c r="I13" s="1"/>
  <c r="H52"/>
  <c r="I52" s="1"/>
  <c r="H40"/>
  <c r="I40" s="1"/>
  <c r="I45"/>
  <c r="H51"/>
  <c r="I51" s="1"/>
  <c r="H58"/>
  <c r="I58" s="1"/>
  <c r="H39"/>
  <c r="I39" s="1"/>
  <c r="H38"/>
  <c r="I38" s="1"/>
  <c r="H12"/>
  <c r="I12" s="1"/>
  <c r="H25"/>
  <c r="I25" s="1"/>
  <c r="H29"/>
  <c r="I29" s="1"/>
  <c r="H43"/>
  <c r="I43" s="1"/>
  <c r="H50"/>
  <c r="I50" s="1"/>
  <c r="H31"/>
  <c r="I31" s="1"/>
  <c r="H30"/>
  <c r="I30" s="1"/>
  <c r="H33"/>
  <c r="I33" s="1"/>
  <c r="M6" l="1"/>
  <c r="L10" l="1"/>
  <c r="N10"/>
</calcChain>
</file>

<file path=xl/sharedStrings.xml><?xml version="1.0" encoding="utf-8"?>
<sst xmlns="http://schemas.openxmlformats.org/spreadsheetml/2006/main" count="93" uniqueCount="72">
  <si>
    <t>8 h 00</t>
  </si>
  <si>
    <t>8 h 30</t>
  </si>
  <si>
    <t>9 h 00</t>
  </si>
  <si>
    <t>9 h 30</t>
  </si>
  <si>
    <t>10 h 00</t>
  </si>
  <si>
    <t>Début de la production et ajustement</t>
  </si>
  <si>
    <t>10 h 30</t>
  </si>
  <si>
    <t>11 h 00</t>
  </si>
  <si>
    <t>11 h 30</t>
  </si>
  <si>
    <t>repas</t>
  </si>
  <si>
    <t>12 h 30</t>
  </si>
  <si>
    <t>13 h 00</t>
  </si>
  <si>
    <t>13 h 30</t>
  </si>
  <si>
    <t>14 h 00</t>
  </si>
  <si>
    <t>14 h 30</t>
  </si>
  <si>
    <t>15 h 00</t>
  </si>
  <si>
    <t>18 h 00</t>
  </si>
  <si>
    <t>18 h 30</t>
  </si>
  <si>
    <t>19 h 00</t>
  </si>
  <si>
    <t>20 h 00</t>
  </si>
  <si>
    <t>20 h 30</t>
  </si>
  <si>
    <t>21 h 00</t>
  </si>
  <si>
    <t>21 h 30</t>
  </si>
  <si>
    <t>22 h 00</t>
  </si>
  <si>
    <t>22 h 30</t>
  </si>
  <si>
    <t>23 h 00</t>
  </si>
  <si>
    <t>23 h 30</t>
  </si>
  <si>
    <t>24 h 00</t>
  </si>
  <si>
    <t>Max données</t>
  </si>
  <si>
    <t>ei</t>
  </si>
  <si>
    <t>ei+1</t>
  </si>
  <si>
    <t>npi</t>
  </si>
  <si>
    <t>ni²/npi</t>
  </si>
  <si>
    <t>Borne sup dernier intervalle</t>
  </si>
  <si>
    <t>Nombre de classe</t>
  </si>
  <si>
    <t>k</t>
  </si>
  <si>
    <t>Valeur critique</t>
  </si>
  <si>
    <t>C</t>
  </si>
  <si>
    <t>Variable de décision</t>
  </si>
  <si>
    <t>D</t>
  </si>
  <si>
    <t>Hypothèses</t>
  </si>
  <si>
    <t xml:space="preserve">H0 : </t>
  </si>
  <si>
    <t xml:space="preserve">L'échantillon suis une loi normale </t>
  </si>
  <si>
    <t>H1 :</t>
  </si>
  <si>
    <t>L'échantillon ne suis pas une loi normale</t>
  </si>
  <si>
    <t>Critère</t>
  </si>
  <si>
    <t>D&lt;C</t>
  </si>
  <si>
    <t>D&gt;C</t>
  </si>
  <si>
    <t>Risque</t>
  </si>
  <si>
    <t>beta</t>
  </si>
  <si>
    <t>alpha</t>
  </si>
  <si>
    <t>Décision</t>
  </si>
  <si>
    <t>Taille</t>
  </si>
  <si>
    <t>Moyenne observée</t>
  </si>
  <si>
    <t>Ecart-type observé</t>
  </si>
  <si>
    <t>S' observé</t>
  </si>
  <si>
    <t>Etendue observée</t>
  </si>
  <si>
    <t>Données préliminaires</t>
  </si>
  <si>
    <t>ni</t>
  </si>
  <si>
    <t xml:space="preserve">Veuillez indiquer le risque d'erreur acceptable : </t>
  </si>
  <si>
    <t>Calcul carte de contrôle sur la moyenne</t>
  </si>
  <si>
    <t>Limite supérieure de contrôle</t>
  </si>
  <si>
    <t>Limite inférieure de contrôle</t>
  </si>
  <si>
    <t>Limite supérieure de surveillace</t>
  </si>
  <si>
    <t>Limite inférieure de surveillance</t>
  </si>
  <si>
    <t>Calcul carte de contrôle sur l'écart-type</t>
  </si>
  <si>
    <t>n° Echantillon</t>
  </si>
  <si>
    <t>Moyenne</t>
  </si>
  <si>
    <t>Ecart-type</t>
  </si>
  <si>
    <t>Valeur moyenne µ</t>
  </si>
  <si>
    <t>Valeur moyenne σ</t>
  </si>
  <si>
    <t>Nombre échantillon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</si>
</sst>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5.4"/>
      <color rgb="FF363636"/>
      <name val="Segoe UI Light"/>
      <family val="2"/>
    </font>
    <font>
      <sz val="15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8" xfId="0" applyBorder="1"/>
    <xf numFmtId="1" fontId="0" fillId="0" borderId="8" xfId="0" applyNumberFormat="1" applyBorder="1"/>
    <xf numFmtId="0" fontId="2" fillId="0" borderId="8" xfId="0" applyFont="1" applyBorder="1"/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2" borderId="14" xfId="0" applyFill="1" applyBorder="1" applyAlignment="1">
      <alignment horizontal="center"/>
    </xf>
    <xf numFmtId="0" fontId="0" fillId="2" borderId="15" xfId="0" applyFill="1" applyBorder="1"/>
    <xf numFmtId="0" fontId="0" fillId="2" borderId="15" xfId="0" applyFill="1" applyBorder="1" applyAlignment="1"/>
    <xf numFmtId="0" fontId="3" fillId="0" borderId="8" xfId="0" applyFont="1" applyBorder="1"/>
    <xf numFmtId="0" fontId="3" fillId="4" borderId="8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0" fillId="0" borderId="8" xfId="0" applyNumberFormat="1" applyBorder="1"/>
    <xf numFmtId="2" fontId="0" fillId="0" borderId="12" xfId="0" applyNumberFormat="1" applyBorder="1" applyAlignment="1">
      <alignment horizontal="center"/>
    </xf>
    <xf numFmtId="0" fontId="0" fillId="2" borderId="0" xfId="0" applyFill="1" applyAlignment="1"/>
    <xf numFmtId="0" fontId="0" fillId="2" borderId="11" xfId="0" applyFill="1" applyBorder="1" applyAlignment="1"/>
    <xf numFmtId="2" fontId="0" fillId="0" borderId="8" xfId="0" applyNumberFormat="1" applyBorder="1" applyAlignment="1">
      <alignment horizontal="center"/>
    </xf>
    <xf numFmtId="0" fontId="0" fillId="2" borderId="10" xfId="0" applyFill="1" applyBorder="1" applyAlignment="1"/>
    <xf numFmtId="0" fontId="0" fillId="2" borderId="9" xfId="0" applyFill="1" applyBorder="1" applyAlignment="1"/>
    <xf numFmtId="1" fontId="0" fillId="2" borderId="0" xfId="0" applyNumberFormat="1" applyFill="1" applyAlignment="1"/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/>
    </xf>
    <xf numFmtId="0" fontId="6" fillId="0" borderId="0" xfId="0" applyFont="1" applyAlignment="1"/>
    <xf numFmtId="0" fontId="1" fillId="0" borderId="8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3" borderId="20" xfId="0" applyFill="1" applyBorder="1" applyAlignment="1">
      <alignment horizontal="right"/>
    </xf>
    <xf numFmtId="0" fontId="0" fillId="3" borderId="21" xfId="0" applyFill="1" applyBorder="1" applyAlignment="1">
      <alignment horizontal="right"/>
    </xf>
    <xf numFmtId="0" fontId="0" fillId="3" borderId="2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4" fillId="7" borderId="24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/>
    </xf>
    <xf numFmtId="2" fontId="7" fillId="0" borderId="17" xfId="0" applyNumberFormat="1" applyFont="1" applyBorder="1"/>
    <xf numFmtId="0" fontId="7" fillId="0" borderId="18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2" fontId="7" fillId="0" borderId="19" xfId="0" applyNumberFormat="1" applyFont="1" applyBorder="1"/>
    <xf numFmtId="0" fontId="0" fillId="8" borderId="17" xfId="0" applyFill="1" applyBorder="1"/>
    <xf numFmtId="0" fontId="7" fillId="0" borderId="6" xfId="0" applyFont="1" applyBorder="1" applyAlignment="1">
      <alignment horizontal="center"/>
    </xf>
    <xf numFmtId="0" fontId="0" fillId="8" borderId="19" xfId="0" applyFill="1" applyBorder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Carte</a:t>
            </a:r>
            <a:r>
              <a:rPr lang="fr-FR" baseline="0"/>
              <a:t> de contrôle sur la moyenne</a:t>
            </a:r>
            <a:endParaRPr lang="fr-FR"/>
          </a:p>
        </c:rich>
      </c:tx>
      <c:layout/>
    </c:title>
    <c:plotArea>
      <c:layout>
        <c:manualLayout>
          <c:layoutTarget val="inner"/>
          <c:xMode val="edge"/>
          <c:yMode val="edge"/>
          <c:x val="0.12546482543419368"/>
          <c:y val="0.13548213306673129"/>
          <c:w val="0.65124361165265343"/>
          <c:h val="0.76150544510734819"/>
        </c:manualLayout>
      </c:layout>
      <c:scatterChart>
        <c:scatterStyle val="lineMarker"/>
        <c:ser>
          <c:idx val="0"/>
          <c:order val="0"/>
          <c:tx>
            <c:v>Moyenne échantillon</c:v>
          </c:tx>
          <c:xVal>
            <c:numRef>
              <c:f>'Calcul carte de contrôles'!$A$4:$A$28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</c:numCache>
            </c:numRef>
          </c:xVal>
          <c:yVal>
            <c:numRef>
              <c:f>'Calcul carte de contrôles'!$B$4:$B$28</c:f>
              <c:numCache>
                <c:formatCode>General</c:formatCode>
                <c:ptCount val="25"/>
                <c:pt idx="0">
                  <c:v>449</c:v>
                </c:pt>
                <c:pt idx="1">
                  <c:v>443.5</c:v>
                </c:pt>
                <c:pt idx="2">
                  <c:v>450</c:v>
                </c:pt>
                <c:pt idx="3">
                  <c:v>451</c:v>
                </c:pt>
                <c:pt idx="4">
                  <c:v>454</c:v>
                </c:pt>
                <c:pt idx="5">
                  <c:v>457</c:v>
                </c:pt>
                <c:pt idx="6">
                  <c:v>452</c:v>
                </c:pt>
                <c:pt idx="7">
                  <c:v>462</c:v>
                </c:pt>
                <c:pt idx="8">
                  <c:v>456</c:v>
                </c:pt>
                <c:pt idx="9">
                  <c:v>457</c:v>
                </c:pt>
                <c:pt idx="10">
                  <c:v>448</c:v>
                </c:pt>
                <c:pt idx="11">
                  <c:v>456</c:v>
                </c:pt>
                <c:pt idx="12">
                  <c:v>449</c:v>
                </c:pt>
                <c:pt idx="13">
                  <c:v>450</c:v>
                </c:pt>
                <c:pt idx="14">
                  <c:v>448</c:v>
                </c:pt>
                <c:pt idx="15">
                  <c:v>449.5</c:v>
                </c:pt>
                <c:pt idx="16">
                  <c:v>459</c:v>
                </c:pt>
                <c:pt idx="17">
                  <c:v>451</c:v>
                </c:pt>
                <c:pt idx="18">
                  <c:v>450.75</c:v>
                </c:pt>
                <c:pt idx="19">
                  <c:v>459</c:v>
                </c:pt>
                <c:pt idx="20">
                  <c:v>450.75</c:v>
                </c:pt>
                <c:pt idx="21">
                  <c:v>460</c:v>
                </c:pt>
                <c:pt idx="22">
                  <c:v>450.5</c:v>
                </c:pt>
                <c:pt idx="23">
                  <c:v>453.25</c:v>
                </c:pt>
                <c:pt idx="24">
                  <c:v>456.5</c:v>
                </c:pt>
              </c:numCache>
            </c:numRef>
          </c:yVal>
        </c:ser>
        <c:ser>
          <c:idx val="1"/>
          <c:order val="1"/>
          <c:tx>
            <c:v>Valeur moyenne µ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00B05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contrôles'!$C$31</c:f>
              <c:numCache>
                <c:formatCode>0.00</c:formatCode>
                <c:ptCount val="1"/>
                <c:pt idx="0">
                  <c:v>452.91</c:v>
                </c:pt>
              </c:numCache>
            </c:numRef>
          </c:yVal>
        </c:ser>
        <c:ser>
          <c:idx val="2"/>
          <c:order val="2"/>
          <c:tx>
            <c:v>LSC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00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contrôles'!$I$5</c:f>
              <c:numCache>
                <c:formatCode>0.00</c:formatCode>
                <c:ptCount val="1"/>
                <c:pt idx="0">
                  <c:v>465.35084330968596</c:v>
                </c:pt>
              </c:numCache>
            </c:numRef>
          </c:yVal>
        </c:ser>
        <c:ser>
          <c:idx val="3"/>
          <c:order val="3"/>
          <c:tx>
            <c:v>LIC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00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contrôles'!$I$6</c:f>
              <c:numCache>
                <c:formatCode>0.00</c:formatCode>
                <c:ptCount val="1"/>
                <c:pt idx="0">
                  <c:v>440.46915669031409</c:v>
                </c:pt>
              </c:numCache>
            </c:numRef>
          </c:yVal>
        </c:ser>
        <c:ser>
          <c:idx val="4"/>
          <c:order val="4"/>
          <c:tx>
            <c:v>LSS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FF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contrôles'!$I$8</c:f>
              <c:numCache>
                <c:formatCode>0.00</c:formatCode>
                <c:ptCount val="1"/>
                <c:pt idx="0">
                  <c:v>460.80054103655038</c:v>
                </c:pt>
              </c:numCache>
            </c:numRef>
          </c:yVal>
        </c:ser>
        <c:ser>
          <c:idx val="5"/>
          <c:order val="5"/>
          <c:tx>
            <c:v>LIS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FF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contrôles'!$I$9</c:f>
              <c:numCache>
                <c:formatCode>0.00</c:formatCode>
                <c:ptCount val="1"/>
                <c:pt idx="0">
                  <c:v>445.01945896344967</c:v>
                </c:pt>
              </c:numCache>
            </c:numRef>
          </c:yVal>
        </c:ser>
        <c:axId val="148332928"/>
        <c:axId val="148334848"/>
      </c:scatterChart>
      <c:valAx>
        <c:axId val="1483329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n°</a:t>
                </a:r>
                <a:r>
                  <a:rPr lang="fr-FR" baseline="0"/>
                  <a:t> échantillon</a:t>
                </a:r>
                <a:endParaRPr lang="fr-FR"/>
              </a:p>
            </c:rich>
          </c:tx>
          <c:layout/>
        </c:title>
        <c:numFmt formatCode="General" sourceLinked="1"/>
        <c:tickLblPos val="nextTo"/>
        <c:crossAx val="148334848"/>
        <c:crosses val="autoZero"/>
        <c:crossBetween val="midCat"/>
      </c:valAx>
      <c:valAx>
        <c:axId val="14833484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moyenne</a:t>
                </a:r>
                <a:r>
                  <a:rPr lang="fr-FR" baseline="0"/>
                  <a:t> échantillon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3.7591813915108852E-2"/>
              <c:y val="0.39123719620940134"/>
            </c:manualLayout>
          </c:layout>
        </c:title>
        <c:numFmt formatCode="General" sourceLinked="1"/>
        <c:tickLblPos val="nextTo"/>
        <c:crossAx val="14833292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9828779321583687"/>
          <c:y val="0.41261836787227479"/>
          <c:w val="0.20171220678416324"/>
          <c:h val="0.23176184212481774"/>
        </c:manualLayout>
      </c:layout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Carte de contrôle</a:t>
            </a:r>
            <a:r>
              <a:rPr lang="en-US" baseline="0"/>
              <a:t> sur l'écart-type</a:t>
            </a:r>
            <a:endParaRPr lang="en-US"/>
          </a:p>
        </c:rich>
      </c:tx>
      <c:layout/>
    </c:title>
    <c:plotArea>
      <c:layout>
        <c:manualLayout>
          <c:layoutTarget val="inner"/>
          <c:xMode val="edge"/>
          <c:yMode val="edge"/>
          <c:x val="9.661113903235323E-2"/>
          <c:y val="0.12822431863663913"/>
          <c:w val="0.68112000004462459"/>
          <c:h val="0.79045498943845616"/>
        </c:manualLayout>
      </c:layout>
      <c:scatterChart>
        <c:scatterStyle val="lineMarker"/>
        <c:ser>
          <c:idx val="0"/>
          <c:order val="0"/>
          <c:tx>
            <c:v>Ecart-type échantillon</c:v>
          </c:tx>
          <c:xVal>
            <c:numRef>
              <c:f>'Calcul carte de contrôles'!$A$4:$A$28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</c:numCache>
            </c:numRef>
          </c:xVal>
          <c:yVal>
            <c:numRef>
              <c:f>'Calcul carte de contrôles'!$C$4:$C$28</c:f>
              <c:numCache>
                <c:formatCode>0.00</c:formatCode>
                <c:ptCount val="25"/>
                <c:pt idx="0">
                  <c:v>6.97614984548545</c:v>
                </c:pt>
                <c:pt idx="1">
                  <c:v>10.723805294763608</c:v>
                </c:pt>
                <c:pt idx="2">
                  <c:v>5.715476066494082</c:v>
                </c:pt>
                <c:pt idx="3">
                  <c:v>7.2571803523590805</c:v>
                </c:pt>
                <c:pt idx="4">
                  <c:v>5.8878405775518976</c:v>
                </c:pt>
                <c:pt idx="5">
                  <c:v>4.5460605656619517</c:v>
                </c:pt>
                <c:pt idx="6">
                  <c:v>7.0710678118654755</c:v>
                </c:pt>
                <c:pt idx="7">
                  <c:v>6.0553007081949835</c:v>
                </c:pt>
                <c:pt idx="8">
                  <c:v>8.2462112512353212</c:v>
                </c:pt>
                <c:pt idx="9">
                  <c:v>3.3665016461206929</c:v>
                </c:pt>
                <c:pt idx="10">
                  <c:v>6.7330032922413858</c:v>
                </c:pt>
                <c:pt idx="11">
                  <c:v>5.715476066494082</c:v>
                </c:pt>
                <c:pt idx="12">
                  <c:v>6.6833125519211407</c:v>
                </c:pt>
                <c:pt idx="13">
                  <c:v>8.0415587212098796</c:v>
                </c:pt>
                <c:pt idx="14">
                  <c:v>8.0415587212098796</c:v>
                </c:pt>
                <c:pt idx="15">
                  <c:v>9.3985814532477896</c:v>
                </c:pt>
                <c:pt idx="16">
                  <c:v>8.0829037686547611</c:v>
                </c:pt>
                <c:pt idx="17">
                  <c:v>8.6794777108610237</c:v>
                </c:pt>
                <c:pt idx="18">
                  <c:v>12.816005617976296</c:v>
                </c:pt>
                <c:pt idx="19">
                  <c:v>4.6904157598234297</c:v>
                </c:pt>
                <c:pt idx="20">
                  <c:v>5.315072906367325</c:v>
                </c:pt>
                <c:pt idx="21">
                  <c:v>3.9157800414902435</c:v>
                </c:pt>
                <c:pt idx="22">
                  <c:v>12.714820748507099</c:v>
                </c:pt>
                <c:pt idx="23">
                  <c:v>8.7321245982864895</c:v>
                </c:pt>
                <c:pt idx="24">
                  <c:v>7.9372539331937721</c:v>
                </c:pt>
              </c:numCache>
            </c:numRef>
          </c:yVal>
        </c:ser>
        <c:ser>
          <c:idx val="1"/>
          <c:order val="1"/>
          <c:tx>
            <c:v>Valeur moyenne σ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00B05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contrôles'!$C$32</c:f>
              <c:numCache>
                <c:formatCode>0.00</c:formatCode>
                <c:ptCount val="1"/>
                <c:pt idx="0">
                  <c:v>7.3337176004486864</c:v>
                </c:pt>
              </c:numCache>
            </c:numRef>
          </c:yVal>
        </c:ser>
        <c:ser>
          <c:idx val="2"/>
          <c:order val="2"/>
          <c:tx>
            <c:v>LSC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00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contrôles'!$N$5</c:f>
              <c:numCache>
                <c:formatCode>General</c:formatCode>
                <c:ptCount val="1"/>
                <c:pt idx="0">
                  <c:v>0.62753832493966288</c:v>
                </c:pt>
              </c:numCache>
            </c:numRef>
          </c:yVal>
        </c:ser>
        <c:ser>
          <c:idx val="3"/>
          <c:order val="3"/>
          <c:tx>
            <c:v>LIC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00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contrôles'!$N$6</c:f>
              <c:numCache>
                <c:formatCode>General</c:formatCode>
                <c:ptCount val="1"/>
                <c:pt idx="0">
                  <c:v>16.236866814935986</c:v>
                </c:pt>
              </c:numCache>
            </c:numRef>
          </c:yVal>
        </c:ser>
        <c:ser>
          <c:idx val="4"/>
          <c:order val="4"/>
          <c:tx>
            <c:v>LSS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FF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contrôles'!$N$8</c:f>
              <c:numCache>
                <c:formatCode>General</c:formatCode>
                <c:ptCount val="1"/>
                <c:pt idx="0">
                  <c:v>1.8701638810741057</c:v>
                </c:pt>
              </c:numCache>
            </c:numRef>
          </c:yVal>
        </c:ser>
        <c:ser>
          <c:idx val="5"/>
          <c:order val="5"/>
          <c:tx>
            <c:v>LIS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FF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contrôles'!$N$9</c:f>
              <c:numCache>
                <c:formatCode>General</c:formatCode>
                <c:ptCount val="1"/>
                <c:pt idx="0">
                  <c:v>12.309131690138015</c:v>
                </c:pt>
              </c:numCache>
            </c:numRef>
          </c:yVal>
        </c:ser>
        <c:axId val="160643712"/>
        <c:axId val="160658176"/>
      </c:scatterChart>
      <c:valAx>
        <c:axId val="1606437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n° échantillon</a:t>
                </a:r>
              </a:p>
            </c:rich>
          </c:tx>
          <c:layout/>
        </c:title>
        <c:numFmt formatCode="General" sourceLinked="1"/>
        <c:tickLblPos val="nextTo"/>
        <c:crossAx val="160658176"/>
        <c:crosses val="autoZero"/>
        <c:crossBetween val="midCat"/>
      </c:valAx>
      <c:valAx>
        <c:axId val="16065817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Ecart-type</a:t>
                </a:r>
                <a:r>
                  <a:rPr lang="fr-FR" baseline="0"/>
                  <a:t> échantillon</a:t>
                </a:r>
                <a:endParaRPr lang="fr-FR"/>
              </a:p>
            </c:rich>
          </c:tx>
          <c:layout/>
        </c:title>
        <c:numFmt formatCode="0.00" sourceLinked="1"/>
        <c:tickLblPos val="nextTo"/>
        <c:crossAx val="16064371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Carte</a:t>
            </a:r>
            <a:r>
              <a:rPr lang="fr-FR" baseline="0"/>
              <a:t> de contrôle sur la moyenne</a:t>
            </a:r>
            <a:endParaRPr lang="fr-FR"/>
          </a:p>
        </c:rich>
      </c:tx>
      <c:layout/>
    </c:title>
    <c:plotArea>
      <c:layout>
        <c:manualLayout>
          <c:layoutTarget val="inner"/>
          <c:xMode val="edge"/>
          <c:yMode val="edge"/>
          <c:x val="0.12546482543419363"/>
          <c:y val="0.13548213306673124"/>
          <c:w val="0.65124361165265321"/>
          <c:h val="0.76150544510734819"/>
        </c:manualLayout>
      </c:layout>
      <c:scatterChart>
        <c:scatterStyle val="lineMarker"/>
        <c:ser>
          <c:idx val="0"/>
          <c:order val="0"/>
          <c:tx>
            <c:v>Moyenne échantillon</c:v>
          </c:tx>
          <c:xVal>
            <c:numRef>
              <c:f>'Calcul carte de contrôles'!$A$4:$A$28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</c:numCache>
            </c:numRef>
          </c:xVal>
          <c:yVal>
            <c:numRef>
              <c:f>'Calcul carte de contrôles'!$B$4:$B$28</c:f>
              <c:numCache>
                <c:formatCode>General</c:formatCode>
                <c:ptCount val="25"/>
                <c:pt idx="0">
                  <c:v>449</c:v>
                </c:pt>
                <c:pt idx="1">
                  <c:v>443.5</c:v>
                </c:pt>
                <c:pt idx="2">
                  <c:v>450</c:v>
                </c:pt>
                <c:pt idx="3">
                  <c:v>451</c:v>
                </c:pt>
                <c:pt idx="4">
                  <c:v>454</c:v>
                </c:pt>
                <c:pt idx="5">
                  <c:v>457</c:v>
                </c:pt>
                <c:pt idx="6">
                  <c:v>452</c:v>
                </c:pt>
                <c:pt idx="7">
                  <c:v>462</c:v>
                </c:pt>
                <c:pt idx="8">
                  <c:v>456</c:v>
                </c:pt>
                <c:pt idx="9">
                  <c:v>457</c:v>
                </c:pt>
                <c:pt idx="10">
                  <c:v>448</c:v>
                </c:pt>
                <c:pt idx="11">
                  <c:v>456</c:v>
                </c:pt>
                <c:pt idx="12">
                  <c:v>449</c:v>
                </c:pt>
                <c:pt idx="13">
                  <c:v>450</c:v>
                </c:pt>
                <c:pt idx="14">
                  <c:v>448</c:v>
                </c:pt>
                <c:pt idx="15">
                  <c:v>449.5</c:v>
                </c:pt>
                <c:pt idx="16">
                  <c:v>459</c:v>
                </c:pt>
                <c:pt idx="17">
                  <c:v>451</c:v>
                </c:pt>
                <c:pt idx="18">
                  <c:v>450.75</c:v>
                </c:pt>
                <c:pt idx="19">
                  <c:v>459</c:v>
                </c:pt>
                <c:pt idx="20">
                  <c:v>450.75</c:v>
                </c:pt>
                <c:pt idx="21">
                  <c:v>460</c:v>
                </c:pt>
                <c:pt idx="22">
                  <c:v>450.5</c:v>
                </c:pt>
                <c:pt idx="23">
                  <c:v>453.25</c:v>
                </c:pt>
                <c:pt idx="24">
                  <c:v>456.5</c:v>
                </c:pt>
              </c:numCache>
            </c:numRef>
          </c:yVal>
        </c:ser>
        <c:ser>
          <c:idx val="1"/>
          <c:order val="1"/>
          <c:tx>
            <c:v>Valeur moyenne µ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00B05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contrôles'!$C$31</c:f>
              <c:numCache>
                <c:formatCode>0.00</c:formatCode>
                <c:ptCount val="1"/>
                <c:pt idx="0">
                  <c:v>452.91</c:v>
                </c:pt>
              </c:numCache>
            </c:numRef>
          </c:yVal>
        </c:ser>
        <c:ser>
          <c:idx val="2"/>
          <c:order val="2"/>
          <c:tx>
            <c:v>LSC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00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contrôles'!$I$5</c:f>
              <c:numCache>
                <c:formatCode>0.00</c:formatCode>
                <c:ptCount val="1"/>
                <c:pt idx="0">
                  <c:v>465.35084330968596</c:v>
                </c:pt>
              </c:numCache>
            </c:numRef>
          </c:yVal>
        </c:ser>
        <c:ser>
          <c:idx val="3"/>
          <c:order val="3"/>
          <c:tx>
            <c:v>LIC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00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contrôles'!$I$6</c:f>
              <c:numCache>
                <c:formatCode>0.00</c:formatCode>
                <c:ptCount val="1"/>
                <c:pt idx="0">
                  <c:v>440.46915669031409</c:v>
                </c:pt>
              </c:numCache>
            </c:numRef>
          </c:yVal>
        </c:ser>
        <c:ser>
          <c:idx val="4"/>
          <c:order val="4"/>
          <c:tx>
            <c:v>LSS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FF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contrôles'!$I$8</c:f>
              <c:numCache>
                <c:formatCode>0.00</c:formatCode>
                <c:ptCount val="1"/>
                <c:pt idx="0">
                  <c:v>460.80054103655038</c:v>
                </c:pt>
              </c:numCache>
            </c:numRef>
          </c:yVal>
        </c:ser>
        <c:ser>
          <c:idx val="5"/>
          <c:order val="5"/>
          <c:tx>
            <c:v>LIS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FF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contrôles'!$I$9</c:f>
              <c:numCache>
                <c:formatCode>0.00</c:formatCode>
                <c:ptCount val="1"/>
                <c:pt idx="0">
                  <c:v>445.01945896344967</c:v>
                </c:pt>
              </c:numCache>
            </c:numRef>
          </c:yVal>
        </c:ser>
        <c:axId val="157228032"/>
        <c:axId val="92489984"/>
      </c:scatterChart>
      <c:valAx>
        <c:axId val="1572280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n°</a:t>
                </a:r>
                <a:r>
                  <a:rPr lang="fr-FR" baseline="0"/>
                  <a:t> échantillon</a:t>
                </a:r>
                <a:endParaRPr lang="fr-FR"/>
              </a:p>
            </c:rich>
          </c:tx>
          <c:layout/>
        </c:title>
        <c:numFmt formatCode="General" sourceLinked="1"/>
        <c:tickLblPos val="nextTo"/>
        <c:crossAx val="92489984"/>
        <c:crosses val="autoZero"/>
        <c:crossBetween val="midCat"/>
      </c:valAx>
      <c:valAx>
        <c:axId val="9248998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moyenne</a:t>
                </a:r>
                <a:r>
                  <a:rPr lang="fr-FR" baseline="0"/>
                  <a:t> échantillon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3.7591813915108845E-2"/>
              <c:y val="0.39123719620940117"/>
            </c:manualLayout>
          </c:layout>
        </c:title>
        <c:numFmt formatCode="General" sourceLinked="1"/>
        <c:tickLblPos val="nextTo"/>
        <c:crossAx val="15722803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9828779321583687"/>
          <c:y val="0.41261836787227457"/>
          <c:w val="0.20171220678416316"/>
          <c:h val="0.23176184212481774"/>
        </c:manualLayout>
      </c:layout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Carte de contrôle</a:t>
            </a:r>
            <a:r>
              <a:rPr lang="en-US" baseline="0"/>
              <a:t> sur l'écart-type</a:t>
            </a:r>
            <a:endParaRPr lang="en-US"/>
          </a:p>
        </c:rich>
      </c:tx>
      <c:layout/>
    </c:title>
    <c:plotArea>
      <c:layout>
        <c:manualLayout>
          <c:layoutTarget val="inner"/>
          <c:xMode val="edge"/>
          <c:yMode val="edge"/>
          <c:x val="9.6611139032353258E-2"/>
          <c:y val="0.12822431863663913"/>
          <c:w val="0.68112000004462436"/>
          <c:h val="0.79045498943845616"/>
        </c:manualLayout>
      </c:layout>
      <c:scatterChart>
        <c:scatterStyle val="lineMarker"/>
        <c:ser>
          <c:idx val="0"/>
          <c:order val="0"/>
          <c:tx>
            <c:v>Ecart-type échantillon</c:v>
          </c:tx>
          <c:xVal>
            <c:numRef>
              <c:f>'Calcul carte de contrôles'!$A$4:$A$28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</c:numCache>
            </c:numRef>
          </c:xVal>
          <c:yVal>
            <c:numRef>
              <c:f>'Calcul carte de contrôles'!$C$4:$C$28</c:f>
              <c:numCache>
                <c:formatCode>0.00</c:formatCode>
                <c:ptCount val="25"/>
                <c:pt idx="0">
                  <c:v>6.97614984548545</c:v>
                </c:pt>
                <c:pt idx="1">
                  <c:v>10.723805294763608</c:v>
                </c:pt>
                <c:pt idx="2">
                  <c:v>5.715476066494082</c:v>
                </c:pt>
                <c:pt idx="3">
                  <c:v>7.2571803523590805</c:v>
                </c:pt>
                <c:pt idx="4">
                  <c:v>5.8878405775518976</c:v>
                </c:pt>
                <c:pt idx="5">
                  <c:v>4.5460605656619517</c:v>
                </c:pt>
                <c:pt idx="6">
                  <c:v>7.0710678118654755</c:v>
                </c:pt>
                <c:pt idx="7">
                  <c:v>6.0553007081949835</c:v>
                </c:pt>
                <c:pt idx="8">
                  <c:v>8.2462112512353212</c:v>
                </c:pt>
                <c:pt idx="9">
                  <c:v>3.3665016461206929</c:v>
                </c:pt>
                <c:pt idx="10">
                  <c:v>6.7330032922413858</c:v>
                </c:pt>
                <c:pt idx="11">
                  <c:v>5.715476066494082</c:v>
                </c:pt>
                <c:pt idx="12">
                  <c:v>6.6833125519211407</c:v>
                </c:pt>
                <c:pt idx="13">
                  <c:v>8.0415587212098796</c:v>
                </c:pt>
                <c:pt idx="14">
                  <c:v>8.0415587212098796</c:v>
                </c:pt>
                <c:pt idx="15">
                  <c:v>9.3985814532477896</c:v>
                </c:pt>
                <c:pt idx="16">
                  <c:v>8.0829037686547611</c:v>
                </c:pt>
                <c:pt idx="17">
                  <c:v>8.6794777108610237</c:v>
                </c:pt>
                <c:pt idx="18">
                  <c:v>12.816005617976296</c:v>
                </c:pt>
                <c:pt idx="19">
                  <c:v>4.6904157598234297</c:v>
                </c:pt>
                <c:pt idx="20">
                  <c:v>5.315072906367325</c:v>
                </c:pt>
                <c:pt idx="21">
                  <c:v>3.9157800414902435</c:v>
                </c:pt>
                <c:pt idx="22">
                  <c:v>12.714820748507099</c:v>
                </c:pt>
                <c:pt idx="23">
                  <c:v>8.7321245982864895</c:v>
                </c:pt>
                <c:pt idx="24">
                  <c:v>7.9372539331937721</c:v>
                </c:pt>
              </c:numCache>
            </c:numRef>
          </c:yVal>
        </c:ser>
        <c:ser>
          <c:idx val="1"/>
          <c:order val="1"/>
          <c:tx>
            <c:v>Valeur moyenne σ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00B05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contrôles'!$C$32</c:f>
              <c:numCache>
                <c:formatCode>0.00</c:formatCode>
                <c:ptCount val="1"/>
                <c:pt idx="0">
                  <c:v>7.3337176004486864</c:v>
                </c:pt>
              </c:numCache>
            </c:numRef>
          </c:yVal>
        </c:ser>
        <c:ser>
          <c:idx val="2"/>
          <c:order val="2"/>
          <c:tx>
            <c:v>LSC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00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contrôles'!$N$5</c:f>
              <c:numCache>
                <c:formatCode>General</c:formatCode>
                <c:ptCount val="1"/>
                <c:pt idx="0">
                  <c:v>0.62753832493966288</c:v>
                </c:pt>
              </c:numCache>
            </c:numRef>
          </c:yVal>
        </c:ser>
        <c:ser>
          <c:idx val="3"/>
          <c:order val="3"/>
          <c:tx>
            <c:v>LIC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00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contrôles'!$N$6</c:f>
              <c:numCache>
                <c:formatCode>General</c:formatCode>
                <c:ptCount val="1"/>
                <c:pt idx="0">
                  <c:v>16.236866814935986</c:v>
                </c:pt>
              </c:numCache>
            </c:numRef>
          </c:yVal>
        </c:ser>
        <c:ser>
          <c:idx val="4"/>
          <c:order val="4"/>
          <c:tx>
            <c:v>LSS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FF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contrôles'!$N$8</c:f>
              <c:numCache>
                <c:formatCode>General</c:formatCode>
                <c:ptCount val="1"/>
                <c:pt idx="0">
                  <c:v>1.8701638810741057</c:v>
                </c:pt>
              </c:numCache>
            </c:numRef>
          </c:yVal>
        </c:ser>
        <c:ser>
          <c:idx val="5"/>
          <c:order val="5"/>
          <c:tx>
            <c:v>LIS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errBars>
            <c:errDir val="x"/>
            <c:errBarType val="plus"/>
            <c:errValType val="fixedVal"/>
            <c:noEndCap val="1"/>
            <c:val val="25"/>
            <c:spPr>
              <a:ln w="25400">
                <a:solidFill>
                  <a:srgbClr val="FFFF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'Calcul carte de contrôles'!$N$9</c:f>
              <c:numCache>
                <c:formatCode>General</c:formatCode>
                <c:ptCount val="1"/>
                <c:pt idx="0">
                  <c:v>12.309131690138015</c:v>
                </c:pt>
              </c:numCache>
            </c:numRef>
          </c:yVal>
        </c:ser>
        <c:axId val="100962304"/>
        <c:axId val="97776768"/>
      </c:scatterChart>
      <c:valAx>
        <c:axId val="1009623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n° échantillon</a:t>
                </a:r>
              </a:p>
            </c:rich>
          </c:tx>
          <c:layout/>
        </c:title>
        <c:numFmt formatCode="General" sourceLinked="1"/>
        <c:tickLblPos val="nextTo"/>
        <c:crossAx val="97776768"/>
        <c:crosses val="autoZero"/>
        <c:crossBetween val="midCat"/>
      </c:valAx>
      <c:valAx>
        <c:axId val="9777676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Ecart-type</a:t>
                </a:r>
                <a:r>
                  <a:rPr lang="fr-FR" baseline="0"/>
                  <a:t> échantillon</a:t>
                </a:r>
                <a:endParaRPr lang="fr-FR"/>
              </a:p>
            </c:rich>
          </c:tx>
          <c:layout/>
        </c:title>
        <c:numFmt formatCode="0.00" sourceLinked="1"/>
        <c:tickLblPos val="nextTo"/>
        <c:crossAx val="10096230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504264</xdr:colOff>
      <xdr:row>10</xdr:row>
      <xdr:rowOff>100852</xdr:rowOff>
    </xdr:from>
    <xdr:to>
      <xdr:col>14</xdr:col>
      <xdr:colOff>163283</xdr:colOff>
      <xdr:row>36</xdr:row>
      <xdr:rowOff>126546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414617</xdr:colOff>
      <xdr:row>38</xdr:row>
      <xdr:rowOff>134471</xdr:rowOff>
    </xdr:from>
    <xdr:to>
      <xdr:col>14</xdr:col>
      <xdr:colOff>590708</xdr:colOff>
      <xdr:row>67</xdr:row>
      <xdr:rowOff>52829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435430</xdr:colOff>
      <xdr:row>1</xdr:row>
      <xdr:rowOff>227238</xdr:rowOff>
    </xdr:from>
    <xdr:to>
      <xdr:col>19</xdr:col>
      <xdr:colOff>27214</xdr:colOff>
      <xdr:row>26</xdr:row>
      <xdr:rowOff>40821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340178</xdr:colOff>
      <xdr:row>28</xdr:row>
      <xdr:rowOff>27214</xdr:rowOff>
    </xdr:from>
    <xdr:to>
      <xdr:col>19</xdr:col>
      <xdr:colOff>449034</xdr:colOff>
      <xdr:row>56</xdr:row>
      <xdr:rowOff>136072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xel/Desktop/Maths/Test%20Stats/AVEC%20MAC/HSM%20Maths%20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xel/Desktop/HSM/MSP/MSP%202016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texte d'utilisation"/>
      <sheetName val="Accueil"/>
      <sheetName val="Données (1)"/>
      <sheetName val="Données (2)"/>
      <sheetName val="Menu (1)"/>
      <sheetName val="Menu (2)"/>
      <sheetName val="Information échantillon (1)"/>
      <sheetName val="Information échantillon (2)"/>
      <sheetName val="Calcul Intervalle conf moy (1)"/>
      <sheetName val="Rés Intervalle conf moy (1)"/>
      <sheetName val="Calcul Intervalle conf moy (2)"/>
      <sheetName val="Rés Intervalle conf moy (2)"/>
      <sheetName val="Calcul test de comparaison (2)"/>
      <sheetName val="Résultat test de comparaison (2"/>
      <sheetName val="Test du khi² 1_ch1"/>
      <sheetName val="Risque dépassement norme (1)"/>
      <sheetName val="Test du khi² 1_ch2"/>
      <sheetName val="Test du khi² 2_ch2"/>
      <sheetName val="Risque dépassement norme (2)"/>
      <sheetName val="Calcul test proportion (1)"/>
      <sheetName val="Résultat test proportion (1)"/>
      <sheetName val="Calcul test proportion (2)"/>
      <sheetName val="Résultat test proportion (2)"/>
      <sheetName val="Calcul test moyenne (1)"/>
      <sheetName val="Résultat test moyenne (1)"/>
      <sheetName val="Calcul test moyenne (2)"/>
      <sheetName val="Résultat test moyenne (2)"/>
      <sheetName val="HSM Maths 4"/>
    </sheetNames>
    <sheetDataSet>
      <sheetData sheetId="0" refreshError="1"/>
      <sheetData sheetId="1" refreshError="1"/>
      <sheetData sheetId="2">
        <row r="1">
          <cell r="A1" t="str">
            <v>Echantillon 1</v>
          </cell>
        </row>
        <row r="2">
          <cell r="A2">
            <v>62.469280306684958</v>
          </cell>
        </row>
        <row r="3">
          <cell r="A3">
            <v>59.439182178719783</v>
          </cell>
        </row>
        <row r="4">
          <cell r="A4">
            <v>64.15719765391114</v>
          </cell>
        </row>
        <row r="5">
          <cell r="A5">
            <v>67.357067974624812</v>
          </cell>
        </row>
        <row r="6">
          <cell r="A6">
            <v>67.114885679073637</v>
          </cell>
        </row>
        <row r="7">
          <cell r="A7">
            <v>68.772712621465331</v>
          </cell>
        </row>
        <row r="8">
          <cell r="A8">
            <v>56.630878317262976</v>
          </cell>
        </row>
        <row r="9">
          <cell r="A9">
            <v>62.674038145813391</v>
          </cell>
        </row>
        <row r="10">
          <cell r="A10">
            <v>66.794569830561528</v>
          </cell>
        </row>
        <row r="11">
          <cell r="A11">
            <v>60.031227986654265</v>
          </cell>
        </row>
        <row r="12">
          <cell r="A12">
            <v>61.260367102475719</v>
          </cell>
        </row>
        <row r="13">
          <cell r="A13">
            <v>58.159659784904214</v>
          </cell>
        </row>
        <row r="14">
          <cell r="A14">
            <v>57.674576238240114</v>
          </cell>
        </row>
        <row r="15">
          <cell r="A15">
            <v>60.369348558195632</v>
          </cell>
        </row>
        <row r="16">
          <cell r="A16">
            <v>61.002128132712095</v>
          </cell>
        </row>
        <row r="17">
          <cell r="A17">
            <v>56.834413227078038</v>
          </cell>
        </row>
        <row r="18">
          <cell r="A18">
            <v>61.639432898117228</v>
          </cell>
        </row>
        <row r="19">
          <cell r="A19">
            <v>62.147452536917989</v>
          </cell>
        </row>
        <row r="20">
          <cell r="A20">
            <v>63.818044464822741</v>
          </cell>
        </row>
        <row r="21">
          <cell r="A21">
            <v>62.266971850475237</v>
          </cell>
        </row>
        <row r="22">
          <cell r="A22">
            <v>62.386329046601894</v>
          </cell>
        </row>
        <row r="23">
          <cell r="A23">
            <v>62.252254407211147</v>
          </cell>
        </row>
        <row r="24">
          <cell r="A24">
            <v>67.56218881582609</v>
          </cell>
        </row>
        <row r="25">
          <cell r="A25">
            <v>63.135618189333762</v>
          </cell>
        </row>
        <row r="26">
          <cell r="A26">
            <v>62.822911287183523</v>
          </cell>
        </row>
        <row r="27">
          <cell r="A27">
            <v>61.809057070603011</v>
          </cell>
        </row>
        <row r="28">
          <cell r="A28">
            <v>69.513857125455985</v>
          </cell>
        </row>
        <row r="29">
          <cell r="A29">
            <v>66.083586217244743</v>
          </cell>
        </row>
        <row r="30">
          <cell r="A30">
            <v>70.76452966521029</v>
          </cell>
        </row>
        <row r="31">
          <cell r="A31">
            <v>61.369789319540722</v>
          </cell>
        </row>
        <row r="32">
          <cell r="A32">
            <v>68.550513061380485</v>
          </cell>
        </row>
        <row r="33">
          <cell r="A33">
            <v>58.401567185681778</v>
          </cell>
        </row>
        <row r="34">
          <cell r="A34">
            <v>65.070739948167471</v>
          </cell>
        </row>
        <row r="35">
          <cell r="A35">
            <v>66.19679352388485</v>
          </cell>
        </row>
        <row r="36">
          <cell r="A36">
            <v>69.348638317931915</v>
          </cell>
        </row>
        <row r="37">
          <cell r="A37">
            <v>63.137997086413087</v>
          </cell>
        </row>
        <row r="38">
          <cell r="A38">
            <v>61.776235339492267</v>
          </cell>
        </row>
        <row r="39">
          <cell r="A39">
            <v>65.492928980346193</v>
          </cell>
        </row>
        <row r="40">
          <cell r="A40">
            <v>62.217896084801758</v>
          </cell>
        </row>
        <row r="41">
          <cell r="A41">
            <v>65.748595216972177</v>
          </cell>
        </row>
        <row r="42">
          <cell r="A42">
            <v>58.923021425469777</v>
          </cell>
        </row>
        <row r="43">
          <cell r="A43">
            <v>60.773563701330566</v>
          </cell>
        </row>
        <row r="44">
          <cell r="A44">
            <v>58.683129919698693</v>
          </cell>
        </row>
        <row r="45">
          <cell r="A45">
            <v>62.275081246296757</v>
          </cell>
        </row>
        <row r="46">
          <cell r="A46">
            <v>63.299314502727064</v>
          </cell>
        </row>
        <row r="47">
          <cell r="A47">
            <v>63.48716278898646</v>
          </cell>
        </row>
        <row r="48">
          <cell r="A48">
            <v>62.399580384406725</v>
          </cell>
        </row>
        <row r="49">
          <cell r="A49">
            <v>70.202954885642981</v>
          </cell>
        </row>
        <row r="50">
          <cell r="A50">
            <v>57.998303601378574</v>
          </cell>
        </row>
        <row r="51">
          <cell r="A51">
            <v>61.116921370738417</v>
          </cell>
        </row>
        <row r="52">
          <cell r="A52">
            <v>55.409499692358075</v>
          </cell>
        </row>
        <row r="53">
          <cell r="A53">
            <v>67.887777005124377</v>
          </cell>
        </row>
        <row r="54">
          <cell r="A54">
            <v>59.432732724415835</v>
          </cell>
        </row>
        <row r="55">
          <cell r="A55">
            <v>61.373902168268977</v>
          </cell>
        </row>
        <row r="56">
          <cell r="A56">
            <v>65.74891240324942</v>
          </cell>
        </row>
        <row r="57">
          <cell r="A57">
            <v>64.846806436433695</v>
          </cell>
        </row>
        <row r="58">
          <cell r="A58">
            <v>66.111287152123992</v>
          </cell>
        </row>
        <row r="59">
          <cell r="A59">
            <v>65.246799477789324</v>
          </cell>
        </row>
        <row r="60">
          <cell r="A60">
            <v>59.147265074896858</v>
          </cell>
        </row>
        <row r="61">
          <cell r="A61">
            <v>59.941210521172614</v>
          </cell>
        </row>
        <row r="62">
          <cell r="A62">
            <v>65.551382886950165</v>
          </cell>
        </row>
        <row r="63">
          <cell r="A63">
            <v>64.400172915155423</v>
          </cell>
        </row>
        <row r="64">
          <cell r="A64">
            <v>60.486503071841433</v>
          </cell>
        </row>
        <row r="65">
          <cell r="A65">
            <v>62.6530615600117</v>
          </cell>
        </row>
        <row r="66">
          <cell r="A66">
            <v>63.807760580856119</v>
          </cell>
        </row>
        <row r="67">
          <cell r="A67">
            <v>65.129172709019628</v>
          </cell>
        </row>
        <row r="68">
          <cell r="A68">
            <v>63.830016484642691</v>
          </cell>
        </row>
        <row r="69">
          <cell r="A69">
            <v>60.576020087863434</v>
          </cell>
        </row>
        <row r="70">
          <cell r="A70">
            <v>69.243022336193832</v>
          </cell>
        </row>
        <row r="71">
          <cell r="A71">
            <v>64.910314177721744</v>
          </cell>
        </row>
        <row r="72">
          <cell r="A72">
            <v>63.623940560317713</v>
          </cell>
        </row>
        <row r="73">
          <cell r="A73">
            <v>65.972507582954137</v>
          </cell>
        </row>
        <row r="74">
          <cell r="A74">
            <v>66.072223899935494</v>
          </cell>
        </row>
        <row r="75">
          <cell r="A75">
            <v>61.426752450641651</v>
          </cell>
        </row>
        <row r="76">
          <cell r="A76">
            <v>60.53810575485695</v>
          </cell>
        </row>
        <row r="77">
          <cell r="A77">
            <v>66.844685262365971</v>
          </cell>
        </row>
        <row r="78">
          <cell r="A78">
            <v>59.676345882506574</v>
          </cell>
        </row>
        <row r="79">
          <cell r="A79">
            <v>58.567434462928212</v>
          </cell>
        </row>
        <row r="80">
          <cell r="A80">
            <v>65.605107193731243</v>
          </cell>
        </row>
        <row r="81">
          <cell r="A81">
            <v>65.379059106815845</v>
          </cell>
        </row>
        <row r="82">
          <cell r="A82">
            <v>70.237633918621583</v>
          </cell>
        </row>
        <row r="83">
          <cell r="A83">
            <v>67.875639343581867</v>
          </cell>
        </row>
        <row r="84">
          <cell r="A84">
            <v>67.442102091261773</v>
          </cell>
        </row>
        <row r="85">
          <cell r="A85">
            <v>63.750177174368581</v>
          </cell>
        </row>
        <row r="86">
          <cell r="A86">
            <v>63.406047685019438</v>
          </cell>
        </row>
        <row r="87">
          <cell r="A87">
            <v>64.806474439136224</v>
          </cell>
        </row>
        <row r="88">
          <cell r="A88">
            <v>63.320904315331425</v>
          </cell>
        </row>
        <row r="89">
          <cell r="A89">
            <v>60.130507291431421</v>
          </cell>
        </row>
        <row r="90">
          <cell r="A90">
            <v>57.898100932105443</v>
          </cell>
        </row>
        <row r="91">
          <cell r="A91">
            <v>65.967827323218813</v>
          </cell>
        </row>
        <row r="92">
          <cell r="A92">
            <v>64.777095941279555</v>
          </cell>
        </row>
        <row r="93">
          <cell r="A93">
            <v>65.315509074024163</v>
          </cell>
        </row>
        <row r="94">
          <cell r="A94">
            <v>64.061766875964537</v>
          </cell>
        </row>
        <row r="95">
          <cell r="A95">
            <v>60.216514112651929</v>
          </cell>
        </row>
        <row r="96">
          <cell r="A96">
            <v>67.238405064016121</v>
          </cell>
        </row>
        <row r="97">
          <cell r="A97">
            <v>62.435239170552812</v>
          </cell>
        </row>
        <row r="98">
          <cell r="A98">
            <v>60.796242520153463</v>
          </cell>
        </row>
        <row r="99">
          <cell r="A99">
            <v>60.85450259069912</v>
          </cell>
        </row>
        <row r="100">
          <cell r="A100">
            <v>62.07012252252607</v>
          </cell>
        </row>
        <row r="101">
          <cell r="A101">
            <v>61.994579324162622</v>
          </cell>
        </row>
      </sheetData>
      <sheetData sheetId="3" refreshError="1"/>
      <sheetData sheetId="4" refreshError="1"/>
      <sheetData sheetId="5" refreshError="1"/>
      <sheetData sheetId="6">
        <row r="2">
          <cell r="B2">
            <v>100</v>
          </cell>
        </row>
        <row r="3">
          <cell r="B3">
            <v>63.27449668537912</v>
          </cell>
        </row>
        <row r="5">
          <cell r="B5">
            <v>3.3824011742961888</v>
          </cell>
        </row>
      </sheetData>
      <sheetData sheetId="7">
        <row r="2">
          <cell r="B2">
            <v>100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ées préliminaires"/>
      <sheetName val="Feuil1"/>
      <sheetName val="données production"/>
      <sheetName val="Calcul"/>
    </sheetNames>
    <sheetDataSet>
      <sheetData sheetId="0" refreshError="1"/>
      <sheetData sheetId="1">
        <row r="4">
          <cell r="H4">
            <v>457</v>
          </cell>
        </row>
        <row r="5">
          <cell r="H5">
            <v>432</v>
          </cell>
        </row>
      </sheetData>
      <sheetData sheetId="2">
        <row r="18">
          <cell r="A18">
            <v>1</v>
          </cell>
          <cell r="B18">
            <v>444</v>
          </cell>
        </row>
        <row r="19">
          <cell r="A19">
            <v>2</v>
          </cell>
          <cell r="B19">
            <v>442</v>
          </cell>
        </row>
        <row r="20">
          <cell r="A20">
            <v>3</v>
          </cell>
          <cell r="B20">
            <v>445</v>
          </cell>
        </row>
        <row r="21">
          <cell r="A21">
            <v>4</v>
          </cell>
          <cell r="B21">
            <v>446</v>
          </cell>
        </row>
        <row r="22">
          <cell r="A22">
            <v>5</v>
          </cell>
          <cell r="B22">
            <v>446</v>
          </cell>
        </row>
        <row r="23">
          <cell r="A23">
            <v>6</v>
          </cell>
          <cell r="B23">
            <v>442</v>
          </cell>
        </row>
        <row r="24">
          <cell r="A24">
            <v>7</v>
          </cell>
          <cell r="B24">
            <v>445</v>
          </cell>
        </row>
        <row r="25">
          <cell r="A25">
            <v>8</v>
          </cell>
          <cell r="B25">
            <v>441</v>
          </cell>
        </row>
        <row r="26">
          <cell r="A26">
            <v>9</v>
          </cell>
          <cell r="B26">
            <v>446</v>
          </cell>
        </row>
        <row r="27">
          <cell r="A27">
            <v>10</v>
          </cell>
          <cell r="B27">
            <v>445</v>
          </cell>
        </row>
        <row r="28">
          <cell r="A28">
            <v>11</v>
          </cell>
          <cell r="B28">
            <v>443</v>
          </cell>
        </row>
        <row r="29">
          <cell r="A29">
            <v>12</v>
          </cell>
          <cell r="B29">
            <v>440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34"/>
  <sheetViews>
    <sheetView showGridLines="0" zoomScale="70" zoomScaleNormal="70" workbookViewId="0">
      <selection activeCell="G21" sqref="G21"/>
    </sheetView>
  </sheetViews>
  <sheetFormatPr baseColWidth="10" defaultRowHeight="15"/>
  <cols>
    <col min="7" max="7" width="36.140625" customWidth="1"/>
    <col min="8" max="8" width="32.42578125" customWidth="1"/>
  </cols>
  <sheetData>
    <row r="1" spans="1:8" ht="20.2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G1" s="16"/>
      <c r="H1" s="17" t="s">
        <v>57</v>
      </c>
    </row>
    <row r="2" spans="1:8" ht="19.5">
      <c r="A2" s="35" t="s">
        <v>5</v>
      </c>
      <c r="B2" s="4">
        <v>449</v>
      </c>
      <c r="C2" s="4">
        <v>452</v>
      </c>
      <c r="D2" s="4">
        <v>447</v>
      </c>
      <c r="E2" s="4">
        <v>459</v>
      </c>
      <c r="G2" s="18" t="s">
        <v>52</v>
      </c>
      <c r="H2" s="19">
        <f>COUNT(Données_préliminaires)</f>
        <v>100</v>
      </c>
    </row>
    <row r="3" spans="1:8" ht="19.5">
      <c r="A3" s="36"/>
      <c r="B3" s="4">
        <v>450</v>
      </c>
      <c r="C3" s="4">
        <v>445</v>
      </c>
      <c r="D3" s="4">
        <v>457</v>
      </c>
      <c r="E3" s="4">
        <v>449</v>
      </c>
      <c r="G3" s="18" t="s">
        <v>53</v>
      </c>
      <c r="H3" s="20">
        <f>AVERAGE(Données_préliminaires)</f>
        <v>452.91</v>
      </c>
    </row>
    <row r="4" spans="1:8" ht="19.5">
      <c r="A4" s="36"/>
      <c r="B4" s="4">
        <v>457</v>
      </c>
      <c r="C4" s="4">
        <v>449</v>
      </c>
      <c r="D4" s="4">
        <v>444</v>
      </c>
      <c r="E4" s="4">
        <v>454</v>
      </c>
      <c r="G4" s="18" t="s">
        <v>54</v>
      </c>
      <c r="H4" s="20">
        <f>STDEV(Données_préliminaires)</f>
        <v>8.051720438528374</v>
      </c>
    </row>
    <row r="5" spans="1:8" ht="20.25" thickBot="1">
      <c r="A5" s="37"/>
      <c r="B5" s="5">
        <v>440</v>
      </c>
      <c r="C5" s="5">
        <v>428</v>
      </c>
      <c r="D5" s="5">
        <v>452</v>
      </c>
      <c r="E5" s="5">
        <v>442</v>
      </c>
      <c r="G5" s="18" t="s">
        <v>55</v>
      </c>
      <c r="H5" s="20">
        <f>SQRT(n_préliminaires/(n_préliminaires-1))*S_préliminaire</f>
        <v>8.0922835186165027</v>
      </c>
    </row>
    <row r="6" spans="1:8" ht="20.25" thickBot="1">
      <c r="A6" s="6" t="s">
        <v>6</v>
      </c>
      <c r="B6" s="5" t="s">
        <v>7</v>
      </c>
      <c r="C6" s="5" t="s">
        <v>8</v>
      </c>
      <c r="D6" s="5" t="s">
        <v>9</v>
      </c>
      <c r="E6" s="5" t="s">
        <v>10</v>
      </c>
      <c r="G6" s="18" t="s">
        <v>56</v>
      </c>
      <c r="H6" s="20">
        <f>MAX(Données_préliminaires)-MIN(Données_préliminaires)</f>
        <v>40</v>
      </c>
    </row>
    <row r="7" spans="1:8">
      <c r="A7" s="3">
        <v>452</v>
      </c>
      <c r="B7" s="4">
        <v>458</v>
      </c>
      <c r="C7" s="4">
        <v>461</v>
      </c>
      <c r="D7" s="35"/>
      <c r="E7" s="4">
        <v>468</v>
      </c>
    </row>
    <row r="8" spans="1:8">
      <c r="A8" s="3">
        <v>454</v>
      </c>
      <c r="B8" s="4">
        <v>453</v>
      </c>
      <c r="C8" s="4">
        <v>454</v>
      </c>
      <c r="D8" s="36"/>
      <c r="E8" s="4">
        <v>461</v>
      </c>
    </row>
    <row r="9" spans="1:8">
      <c r="A9" s="3">
        <v>448</v>
      </c>
      <c r="B9" s="4">
        <v>463</v>
      </c>
      <c r="C9" s="4">
        <v>448</v>
      </c>
      <c r="D9" s="36"/>
      <c r="E9" s="4">
        <v>465</v>
      </c>
    </row>
    <row r="10" spans="1:8" ht="15.75" thickBot="1">
      <c r="A10" s="6">
        <v>462</v>
      </c>
      <c r="B10" s="5">
        <v>454</v>
      </c>
      <c r="C10" s="5">
        <v>445</v>
      </c>
      <c r="D10" s="37"/>
      <c r="E10" s="5">
        <v>454</v>
      </c>
    </row>
    <row r="11" spans="1:8" ht="15.75" thickBot="1">
      <c r="A11" s="6" t="s">
        <v>11</v>
      </c>
      <c r="B11" s="5" t="s">
        <v>12</v>
      </c>
      <c r="C11" s="5" t="s">
        <v>13</v>
      </c>
      <c r="D11" s="5" t="s">
        <v>14</v>
      </c>
      <c r="E11" s="5" t="s">
        <v>15</v>
      </c>
    </row>
    <row r="12" spans="1:8">
      <c r="A12" s="3">
        <v>465</v>
      </c>
      <c r="B12" s="4">
        <v>458</v>
      </c>
      <c r="C12" s="4">
        <v>456</v>
      </c>
      <c r="D12" s="4">
        <v>459</v>
      </c>
      <c r="E12" s="4">
        <v>449</v>
      </c>
    </row>
    <row r="13" spans="1:8">
      <c r="A13" s="3">
        <v>457</v>
      </c>
      <c r="B13" s="4">
        <v>452</v>
      </c>
      <c r="C13" s="4">
        <v>450</v>
      </c>
      <c r="D13" s="4">
        <v>461</v>
      </c>
      <c r="E13" s="4">
        <v>447</v>
      </c>
    </row>
    <row r="14" spans="1:8">
      <c r="A14" s="3">
        <v>457</v>
      </c>
      <c r="B14" s="4">
        <v>459</v>
      </c>
      <c r="C14" s="4">
        <v>440</v>
      </c>
      <c r="D14" s="4">
        <v>456</v>
      </c>
      <c r="E14" s="4">
        <v>458</v>
      </c>
    </row>
    <row r="15" spans="1:8" ht="15.75" thickBot="1">
      <c r="A15" s="6">
        <v>445</v>
      </c>
      <c r="B15" s="5">
        <v>459</v>
      </c>
      <c r="C15" s="5">
        <v>446</v>
      </c>
      <c r="D15" s="5">
        <v>448</v>
      </c>
      <c r="E15" s="5">
        <v>442</v>
      </c>
    </row>
    <row r="16" spans="1:8" ht="15.75" thickBot="1">
      <c r="A16" s="1" t="s">
        <v>16</v>
      </c>
      <c r="B16" s="2" t="s">
        <v>17</v>
      </c>
      <c r="C16" s="2" t="s">
        <v>18</v>
      </c>
      <c r="D16" s="2" t="s">
        <v>9</v>
      </c>
      <c r="E16" s="2" t="s">
        <v>19</v>
      </c>
    </row>
    <row r="17" spans="1:5">
      <c r="A17" s="3">
        <v>442</v>
      </c>
      <c r="B17" s="4">
        <v>438</v>
      </c>
      <c r="C17" s="4">
        <v>459</v>
      </c>
      <c r="D17" s="35"/>
      <c r="E17" s="4">
        <v>458</v>
      </c>
    </row>
    <row r="18" spans="1:5">
      <c r="A18" s="3">
        <v>461</v>
      </c>
      <c r="B18" s="4">
        <v>455</v>
      </c>
      <c r="C18" s="4">
        <v>438</v>
      </c>
      <c r="D18" s="36"/>
      <c r="E18" s="4">
        <v>466</v>
      </c>
    </row>
    <row r="19" spans="1:5">
      <c r="A19" s="3">
        <v>450</v>
      </c>
      <c r="B19" s="4">
        <v>454</v>
      </c>
      <c r="C19" s="4">
        <v>446</v>
      </c>
      <c r="D19" s="36"/>
      <c r="E19" s="4">
        <v>464</v>
      </c>
    </row>
    <row r="20" spans="1:5" ht="15.75" thickBot="1">
      <c r="A20" s="6">
        <v>447</v>
      </c>
      <c r="B20" s="5">
        <v>445</v>
      </c>
      <c r="C20" s="5">
        <v>455</v>
      </c>
      <c r="D20" s="37"/>
      <c r="E20" s="5">
        <v>448</v>
      </c>
    </row>
    <row r="21" spans="1:5" ht="15.75" thickBot="1">
      <c r="A21" s="6" t="s">
        <v>20</v>
      </c>
      <c r="B21" s="5" t="s">
        <v>21</v>
      </c>
      <c r="C21" s="5" t="s">
        <v>22</v>
      </c>
      <c r="D21" s="5" t="s">
        <v>23</v>
      </c>
      <c r="E21" s="5" t="s">
        <v>24</v>
      </c>
    </row>
    <row r="22" spans="1:5">
      <c r="A22" s="3">
        <v>447</v>
      </c>
      <c r="B22" s="4">
        <v>465</v>
      </c>
      <c r="C22" s="4">
        <v>461</v>
      </c>
      <c r="D22" s="4">
        <v>455</v>
      </c>
      <c r="E22" s="4">
        <v>465</v>
      </c>
    </row>
    <row r="23" spans="1:5">
      <c r="A23" s="3">
        <v>464</v>
      </c>
      <c r="B23" s="4">
        <v>436</v>
      </c>
      <c r="C23" s="4">
        <v>461</v>
      </c>
      <c r="D23" s="4">
        <v>449</v>
      </c>
      <c r="E23" s="4">
        <v>456</v>
      </c>
    </row>
    <row r="24" spans="1:5">
      <c r="A24" s="3">
        <v>447</v>
      </c>
      <c r="B24" s="4">
        <v>445</v>
      </c>
      <c r="C24" s="4">
        <v>462</v>
      </c>
      <c r="D24" s="4">
        <v>455</v>
      </c>
      <c r="E24" s="4">
        <v>458</v>
      </c>
    </row>
    <row r="25" spans="1:5" ht="15.75" thickBot="1">
      <c r="A25" s="6">
        <v>446</v>
      </c>
      <c r="B25" s="5">
        <v>457</v>
      </c>
      <c r="C25" s="5">
        <v>452</v>
      </c>
      <c r="D25" s="5">
        <v>444</v>
      </c>
      <c r="E25" s="5">
        <v>461</v>
      </c>
    </row>
    <row r="26" spans="1:5" ht="15.75" thickBot="1">
      <c r="A26" s="6" t="s">
        <v>25</v>
      </c>
      <c r="B26" s="5" t="s">
        <v>26</v>
      </c>
      <c r="C26" s="5" t="s">
        <v>27</v>
      </c>
      <c r="D26" s="5"/>
      <c r="E26" s="5"/>
    </row>
    <row r="27" spans="1:5">
      <c r="A27" s="3">
        <v>466</v>
      </c>
      <c r="B27" s="4">
        <v>460</v>
      </c>
      <c r="C27" s="4">
        <v>468</v>
      </c>
      <c r="D27" s="35"/>
      <c r="E27" s="35"/>
    </row>
    <row r="28" spans="1:5">
      <c r="A28" s="3">
        <v>449</v>
      </c>
      <c r="B28" s="4">
        <v>441</v>
      </c>
      <c r="C28" s="4">
        <v>453</v>
      </c>
      <c r="D28" s="36"/>
      <c r="E28" s="36"/>
    </row>
    <row r="29" spans="1:5">
      <c r="A29" s="3">
        <v>452</v>
      </c>
      <c r="B29" s="4">
        <v>459</v>
      </c>
      <c r="C29" s="4">
        <v>455</v>
      </c>
      <c r="D29" s="36"/>
      <c r="E29" s="36"/>
    </row>
    <row r="30" spans="1:5" ht="15.75" thickBot="1">
      <c r="A30" s="6">
        <v>435</v>
      </c>
      <c r="B30" s="5">
        <v>453</v>
      </c>
      <c r="C30" s="5">
        <v>450</v>
      </c>
      <c r="D30" s="37"/>
      <c r="E30" s="37"/>
    </row>
    <row r="35" spans="1:1">
      <c r="A35" s="29">
        <v>452</v>
      </c>
    </row>
    <row r="36" spans="1:1">
      <c r="A36" s="30">
        <v>454</v>
      </c>
    </row>
    <row r="37" spans="1:1">
      <c r="A37" s="30">
        <v>448</v>
      </c>
    </row>
    <row r="38" spans="1:1">
      <c r="A38" s="30">
        <v>462</v>
      </c>
    </row>
    <row r="39" spans="1:1">
      <c r="A39" s="30">
        <v>465</v>
      </c>
    </row>
    <row r="40" spans="1:1">
      <c r="A40" s="30">
        <v>457</v>
      </c>
    </row>
    <row r="41" spans="1:1">
      <c r="A41" s="30">
        <v>457</v>
      </c>
    </row>
    <row r="42" spans="1:1">
      <c r="A42" s="30">
        <v>445</v>
      </c>
    </row>
    <row r="43" spans="1:1">
      <c r="A43" s="30">
        <v>442</v>
      </c>
    </row>
    <row r="44" spans="1:1">
      <c r="A44" s="30">
        <v>461</v>
      </c>
    </row>
    <row r="45" spans="1:1">
      <c r="A45" s="30">
        <v>450</v>
      </c>
    </row>
    <row r="46" spans="1:1">
      <c r="A46" s="30">
        <v>447</v>
      </c>
    </row>
    <row r="47" spans="1:1">
      <c r="A47" s="30">
        <v>447</v>
      </c>
    </row>
    <row r="48" spans="1:1">
      <c r="A48" s="30">
        <v>464</v>
      </c>
    </row>
    <row r="49" spans="1:1">
      <c r="A49" s="30">
        <v>447</v>
      </c>
    </row>
    <row r="50" spans="1:1">
      <c r="A50" s="30">
        <v>446</v>
      </c>
    </row>
    <row r="51" spans="1:1">
      <c r="A51" s="30">
        <v>466</v>
      </c>
    </row>
    <row r="52" spans="1:1">
      <c r="A52" s="30">
        <v>449</v>
      </c>
    </row>
    <row r="53" spans="1:1">
      <c r="A53" s="30">
        <v>452</v>
      </c>
    </row>
    <row r="54" spans="1:1">
      <c r="A54" s="30">
        <v>435</v>
      </c>
    </row>
    <row r="55" spans="1:1">
      <c r="A55" s="30">
        <v>449</v>
      </c>
    </row>
    <row r="56" spans="1:1">
      <c r="A56" s="30">
        <v>450</v>
      </c>
    </row>
    <row r="57" spans="1:1">
      <c r="A57" s="30">
        <v>457</v>
      </c>
    </row>
    <row r="58" spans="1:1">
      <c r="A58" s="30">
        <v>440</v>
      </c>
    </row>
    <row r="59" spans="1:1">
      <c r="A59" s="30">
        <v>458</v>
      </c>
    </row>
    <row r="60" spans="1:1">
      <c r="A60" s="30">
        <v>453</v>
      </c>
    </row>
    <row r="61" spans="1:1">
      <c r="A61" s="30">
        <v>463</v>
      </c>
    </row>
    <row r="62" spans="1:1">
      <c r="A62" s="30">
        <v>454</v>
      </c>
    </row>
    <row r="63" spans="1:1">
      <c r="A63" s="30">
        <v>458</v>
      </c>
    </row>
    <row r="64" spans="1:1">
      <c r="A64" s="30">
        <v>452</v>
      </c>
    </row>
    <row r="65" spans="1:1">
      <c r="A65" s="30">
        <v>459</v>
      </c>
    </row>
    <row r="66" spans="1:1">
      <c r="A66" s="30">
        <v>459</v>
      </c>
    </row>
    <row r="67" spans="1:1">
      <c r="A67" s="30">
        <v>438</v>
      </c>
    </row>
    <row r="68" spans="1:1">
      <c r="A68" s="30">
        <v>455</v>
      </c>
    </row>
    <row r="69" spans="1:1">
      <c r="A69" s="30">
        <v>454</v>
      </c>
    </row>
    <row r="70" spans="1:1">
      <c r="A70" s="30">
        <v>445</v>
      </c>
    </row>
    <row r="71" spans="1:1">
      <c r="A71" s="30">
        <v>465</v>
      </c>
    </row>
    <row r="72" spans="1:1">
      <c r="A72" s="30">
        <v>436</v>
      </c>
    </row>
    <row r="73" spans="1:1">
      <c r="A73" s="30">
        <v>445</v>
      </c>
    </row>
    <row r="74" spans="1:1">
      <c r="A74" s="30">
        <v>457</v>
      </c>
    </row>
    <row r="75" spans="1:1">
      <c r="A75" s="30">
        <v>460</v>
      </c>
    </row>
    <row r="76" spans="1:1">
      <c r="A76" s="30">
        <v>441</v>
      </c>
    </row>
    <row r="77" spans="1:1">
      <c r="A77" s="30">
        <v>459</v>
      </c>
    </row>
    <row r="78" spans="1:1">
      <c r="A78" s="30">
        <v>453</v>
      </c>
    </row>
    <row r="79" spans="1:1">
      <c r="A79" s="30">
        <v>452</v>
      </c>
    </row>
    <row r="80" spans="1:1">
      <c r="A80" s="30">
        <v>445</v>
      </c>
    </row>
    <row r="81" spans="1:1">
      <c r="A81" s="30">
        <v>449</v>
      </c>
    </row>
    <row r="82" spans="1:1">
      <c r="A82" s="30">
        <v>428</v>
      </c>
    </row>
    <row r="83" spans="1:1">
      <c r="A83" s="30">
        <v>461</v>
      </c>
    </row>
    <row r="84" spans="1:1">
      <c r="A84" s="30">
        <v>454</v>
      </c>
    </row>
    <row r="85" spans="1:1">
      <c r="A85" s="30">
        <v>448</v>
      </c>
    </row>
    <row r="86" spans="1:1">
      <c r="A86" s="30">
        <v>445</v>
      </c>
    </row>
    <row r="87" spans="1:1">
      <c r="A87" s="30">
        <v>456</v>
      </c>
    </row>
    <row r="88" spans="1:1">
      <c r="A88" s="30">
        <v>450</v>
      </c>
    </row>
    <row r="89" spans="1:1">
      <c r="A89" s="30">
        <v>440</v>
      </c>
    </row>
    <row r="90" spans="1:1">
      <c r="A90" s="30">
        <v>446</v>
      </c>
    </row>
    <row r="91" spans="1:1">
      <c r="A91" s="30">
        <v>459</v>
      </c>
    </row>
    <row r="92" spans="1:1">
      <c r="A92" s="30">
        <v>438</v>
      </c>
    </row>
    <row r="93" spans="1:1">
      <c r="A93" s="30">
        <v>446</v>
      </c>
    </row>
    <row r="94" spans="1:1">
      <c r="A94" s="30">
        <v>455</v>
      </c>
    </row>
    <row r="95" spans="1:1">
      <c r="A95" s="30">
        <v>461</v>
      </c>
    </row>
    <row r="96" spans="1:1">
      <c r="A96" s="30">
        <v>461</v>
      </c>
    </row>
    <row r="97" spans="1:1">
      <c r="A97" s="30">
        <v>462</v>
      </c>
    </row>
    <row r="98" spans="1:1">
      <c r="A98" s="30">
        <v>452</v>
      </c>
    </row>
    <row r="99" spans="1:1">
      <c r="A99" s="30">
        <v>468</v>
      </c>
    </row>
    <row r="100" spans="1:1">
      <c r="A100" s="30">
        <v>453</v>
      </c>
    </row>
    <row r="101" spans="1:1">
      <c r="A101" s="30">
        <v>455</v>
      </c>
    </row>
    <row r="102" spans="1:1">
      <c r="A102" s="30">
        <v>450</v>
      </c>
    </row>
    <row r="103" spans="1:1">
      <c r="A103" s="30">
        <v>447</v>
      </c>
    </row>
    <row r="104" spans="1:1">
      <c r="A104" s="30">
        <v>457</v>
      </c>
    </row>
    <row r="105" spans="1:1">
      <c r="A105" s="30">
        <v>444</v>
      </c>
    </row>
    <row r="106" spans="1:1">
      <c r="A106" s="30">
        <v>452</v>
      </c>
    </row>
    <row r="107" spans="1:1">
      <c r="A107" s="30">
        <v>459</v>
      </c>
    </row>
    <row r="108" spans="1:1">
      <c r="A108" s="30">
        <v>461</v>
      </c>
    </row>
    <row r="109" spans="1:1">
      <c r="A109" s="30">
        <v>456</v>
      </c>
    </row>
    <row r="110" spans="1:1">
      <c r="A110" s="30">
        <v>448</v>
      </c>
    </row>
    <row r="111" spans="1:1">
      <c r="A111" s="30">
        <v>455</v>
      </c>
    </row>
    <row r="112" spans="1:1">
      <c r="A112" s="30">
        <v>449</v>
      </c>
    </row>
    <row r="113" spans="1:1">
      <c r="A113" s="30">
        <v>455</v>
      </c>
    </row>
    <row r="114" spans="1:1">
      <c r="A114" s="30">
        <v>444</v>
      </c>
    </row>
    <row r="115" spans="1:1">
      <c r="A115" s="30">
        <v>459</v>
      </c>
    </row>
    <row r="116" spans="1:1">
      <c r="A116" s="30">
        <v>449</v>
      </c>
    </row>
    <row r="117" spans="1:1">
      <c r="A117" s="30">
        <v>454</v>
      </c>
    </row>
    <row r="118" spans="1:1">
      <c r="A118" s="30">
        <v>442</v>
      </c>
    </row>
    <row r="119" spans="1:1">
      <c r="A119" s="30">
        <v>468</v>
      </c>
    </row>
    <row r="120" spans="1:1">
      <c r="A120" s="30">
        <v>461</v>
      </c>
    </row>
    <row r="121" spans="1:1">
      <c r="A121" s="30">
        <v>465</v>
      </c>
    </row>
    <row r="122" spans="1:1">
      <c r="A122" s="30">
        <v>454</v>
      </c>
    </row>
    <row r="123" spans="1:1">
      <c r="A123" s="30">
        <v>449</v>
      </c>
    </row>
    <row r="124" spans="1:1">
      <c r="A124" s="30">
        <v>447</v>
      </c>
    </row>
    <row r="125" spans="1:1">
      <c r="A125" s="30">
        <v>458</v>
      </c>
    </row>
    <row r="126" spans="1:1">
      <c r="A126" s="30">
        <v>442</v>
      </c>
    </row>
    <row r="127" spans="1:1">
      <c r="A127" s="30">
        <v>458</v>
      </c>
    </row>
    <row r="128" spans="1:1">
      <c r="A128" s="30">
        <v>466</v>
      </c>
    </row>
    <row r="129" spans="1:1">
      <c r="A129" s="30">
        <v>464</v>
      </c>
    </row>
    <row r="130" spans="1:1">
      <c r="A130" s="30">
        <v>448</v>
      </c>
    </row>
    <row r="131" spans="1:1">
      <c r="A131" s="30">
        <v>465</v>
      </c>
    </row>
    <row r="132" spans="1:1">
      <c r="A132" s="30">
        <v>456</v>
      </c>
    </row>
    <row r="133" spans="1:1">
      <c r="A133" s="30">
        <v>458</v>
      </c>
    </row>
    <row r="134" spans="1:1">
      <c r="A134" s="31">
        <v>461</v>
      </c>
    </row>
  </sheetData>
  <mergeCells count="5">
    <mergeCell ref="A2:A5"/>
    <mergeCell ref="D7:D10"/>
    <mergeCell ref="D17:D20"/>
    <mergeCell ref="D27:D30"/>
    <mergeCell ref="E27:E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W161"/>
  <sheetViews>
    <sheetView showGridLines="0" zoomScale="85" zoomScaleNormal="85" workbookViewId="0">
      <selection activeCell="C12" sqref="C12"/>
    </sheetView>
  </sheetViews>
  <sheetFormatPr baseColWidth="10" defaultRowHeight="15"/>
  <cols>
    <col min="1" max="1" width="2.85546875" customWidth="1"/>
    <col min="2" max="2" width="27.5703125" customWidth="1"/>
    <col min="4" max="4" width="2.7109375" customWidth="1"/>
    <col min="6" max="9" width="11.42578125" customWidth="1"/>
    <col min="10" max="10" width="10.42578125" customWidth="1"/>
    <col min="11" max="11" width="19.5703125" customWidth="1"/>
    <col min="12" max="12" width="12.42578125" customWidth="1"/>
    <col min="13" max="13" width="30.5703125" customWidth="1"/>
    <col min="15" max="15" width="41.7109375" customWidth="1"/>
  </cols>
  <sheetData>
    <row r="1" spans="1:23" ht="60" customHeight="1" thickBot="1">
      <c r="A1" s="38"/>
      <c r="B1" s="23"/>
      <c r="C1" s="23"/>
      <c r="D1" s="23"/>
      <c r="E1" s="23"/>
      <c r="F1" s="51" t="s">
        <v>59</v>
      </c>
      <c r="G1" s="52"/>
      <c r="H1" s="52"/>
      <c r="I1" s="52"/>
      <c r="J1" s="52"/>
      <c r="K1" s="52"/>
      <c r="L1" s="32">
        <v>0.05</v>
      </c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4.25" customHeight="1">
      <c r="A2" s="38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33" customHeight="1">
      <c r="A3" s="38"/>
      <c r="B3" s="7" t="s">
        <v>28</v>
      </c>
      <c r="C3" s="7">
        <f>MAX(Données_préliminaires)</f>
        <v>468</v>
      </c>
      <c r="D3" s="39"/>
      <c r="E3" s="7" t="s">
        <v>29</v>
      </c>
      <c r="F3" s="7" t="s">
        <v>30</v>
      </c>
      <c r="G3" s="7" t="s">
        <v>58</v>
      </c>
      <c r="H3" s="7" t="s">
        <v>31</v>
      </c>
      <c r="I3" s="7" t="s">
        <v>32</v>
      </c>
      <c r="J3" s="40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</row>
    <row r="4" spans="1:23" ht="25.5">
      <c r="A4" s="38"/>
      <c r="B4" s="7" t="s">
        <v>33</v>
      </c>
      <c r="C4" s="7">
        <v>500</v>
      </c>
      <c r="D4" s="39"/>
      <c r="E4" s="8">
        <v>400</v>
      </c>
      <c r="F4" s="8">
        <v>440</v>
      </c>
      <c r="G4" s="8">
        <f t="shared" ref="G4:G35" si="0">COUNTIFS(Données_préliminaires,"&gt;=" &amp;E4,Données_préliminaires, "&lt;" &amp;F4)</f>
        <v>5</v>
      </c>
      <c r="H4" s="9">
        <f>IFERROR(n_préliminaires*(NORMDIST(F4,X̅_préliminaire,Sp_préliminaire,TRUE)-NORMDIST(E4,X̅_préliminaire,Sp_préliminaire,TRUE)),"-")</f>
        <v>5.5317333640391766</v>
      </c>
      <c r="I4" s="21">
        <f t="shared" ref="I4:I63" si="1">IFERROR((G4^2)/H4,"")</f>
        <v>4.5193790724839689</v>
      </c>
      <c r="J4" s="27"/>
      <c r="K4" s="7" t="s">
        <v>34</v>
      </c>
      <c r="L4" s="10" t="s">
        <v>35</v>
      </c>
      <c r="M4" s="10">
        <v>12</v>
      </c>
      <c r="N4" s="26"/>
      <c r="O4" s="23"/>
      <c r="P4" s="23"/>
      <c r="Q4" s="23"/>
      <c r="R4" s="23"/>
      <c r="S4" s="23"/>
      <c r="T4" s="23"/>
      <c r="U4" s="23"/>
      <c r="V4" s="23"/>
      <c r="W4" s="23"/>
    </row>
    <row r="5" spans="1:23" ht="25.5">
      <c r="A5" s="38"/>
      <c r="B5" s="23"/>
      <c r="C5" s="23"/>
      <c r="D5" s="24"/>
      <c r="E5" s="7">
        <f>IF(OR(F4=$C$4,F4=""),"-",F4)</f>
        <v>440</v>
      </c>
      <c r="F5" s="7">
        <v>443</v>
      </c>
      <c r="G5" s="8">
        <f t="shared" si="0"/>
        <v>6</v>
      </c>
      <c r="H5" s="9">
        <f t="shared" ref="H5:H35" si="2">IFERROR(n_préliminaires*(NORMDIST(F5,X̅_préliminaire,Sp_préliminaire,TRUE)-NORMDIST(E5,X̅_préliminaire,Sp_préliminaire,TRUE)),"-")</f>
        <v>5.5041234234097463</v>
      </c>
      <c r="I5" s="21">
        <f t="shared" si="1"/>
        <v>6.5405510070663313</v>
      </c>
      <c r="J5" s="27"/>
      <c r="K5" s="7" t="s">
        <v>36</v>
      </c>
      <c r="L5" s="10" t="s">
        <v>37</v>
      </c>
      <c r="M5" s="25">
        <f>CHIINV(alpha,k-3)</f>
        <v>16.918977616106066</v>
      </c>
      <c r="N5" s="26"/>
      <c r="O5" s="23"/>
      <c r="P5" s="23"/>
      <c r="Q5" s="23"/>
      <c r="R5" s="23"/>
      <c r="S5" s="23"/>
      <c r="T5" s="23"/>
      <c r="U5" s="23"/>
      <c r="V5" s="23"/>
      <c r="W5" s="23"/>
    </row>
    <row r="6" spans="1:23" ht="26.25" thickBot="1">
      <c r="A6" s="38"/>
      <c r="B6" s="23"/>
      <c r="C6" s="23"/>
      <c r="D6" s="24"/>
      <c r="E6" s="7">
        <f t="shared" ref="E6:E63" si="3">IF(OR(F5=$C$4,F5=""),"-",F5)</f>
        <v>443</v>
      </c>
      <c r="F6" s="7">
        <v>446</v>
      </c>
      <c r="G6" s="8">
        <f t="shared" si="0"/>
        <v>7</v>
      </c>
      <c r="H6" s="9">
        <f t="shared" si="2"/>
        <v>8.6221662578327631</v>
      </c>
      <c r="I6" s="21">
        <f t="shared" si="1"/>
        <v>5.6830265776290503</v>
      </c>
      <c r="J6" s="27"/>
      <c r="K6" s="7" t="s">
        <v>38</v>
      </c>
      <c r="L6" s="11" t="s">
        <v>39</v>
      </c>
      <c r="M6" s="22">
        <f>SUM(I4:I64)-n_préliminaires</f>
        <v>5.3572938107629113</v>
      </c>
      <c r="N6" s="26"/>
      <c r="O6" s="23"/>
      <c r="P6" s="23"/>
      <c r="Q6" s="23"/>
      <c r="R6" s="23"/>
      <c r="S6" s="23"/>
      <c r="T6" s="23"/>
      <c r="U6" s="23"/>
      <c r="V6" s="23"/>
      <c r="W6" s="23"/>
    </row>
    <row r="7" spans="1:23" ht="25.5">
      <c r="A7" s="38"/>
      <c r="B7" s="23"/>
      <c r="C7" s="23"/>
      <c r="D7" s="24"/>
      <c r="E7" s="7">
        <f t="shared" si="3"/>
        <v>446</v>
      </c>
      <c r="F7" s="7">
        <v>448</v>
      </c>
      <c r="G7" s="8">
        <f t="shared" si="0"/>
        <v>8</v>
      </c>
      <c r="H7" s="9">
        <f t="shared" si="2"/>
        <v>7.542790079334571</v>
      </c>
      <c r="I7" s="21">
        <f t="shared" si="1"/>
        <v>8.484923924284276</v>
      </c>
      <c r="J7" s="27"/>
      <c r="K7" s="12" t="s">
        <v>40</v>
      </c>
      <c r="L7" s="13" t="s">
        <v>41</v>
      </c>
      <c r="M7" s="14" t="s">
        <v>42</v>
      </c>
      <c r="N7" s="13" t="s">
        <v>43</v>
      </c>
      <c r="O7" s="15" t="s">
        <v>44</v>
      </c>
      <c r="P7" s="41"/>
      <c r="Q7" s="41"/>
      <c r="R7" s="41"/>
      <c r="S7" s="41"/>
      <c r="T7" s="41"/>
      <c r="U7" s="41"/>
      <c r="V7" s="41"/>
      <c r="W7" s="41"/>
    </row>
    <row r="8" spans="1:23" ht="25.5">
      <c r="A8" s="38"/>
      <c r="B8" s="23"/>
      <c r="C8" s="23"/>
      <c r="D8" s="24"/>
      <c r="E8" s="7">
        <f t="shared" si="3"/>
        <v>448</v>
      </c>
      <c r="F8" s="7">
        <v>450</v>
      </c>
      <c r="G8" s="8">
        <f t="shared" si="0"/>
        <v>10</v>
      </c>
      <c r="H8" s="9">
        <f t="shared" si="2"/>
        <v>8.756432440931194</v>
      </c>
      <c r="I8" s="21">
        <f t="shared" si="1"/>
        <v>11.420176044819184</v>
      </c>
      <c r="J8" s="27"/>
      <c r="K8" s="12" t="s">
        <v>45</v>
      </c>
      <c r="L8" s="43" t="s">
        <v>46</v>
      </c>
      <c r="M8" s="44"/>
      <c r="N8" s="43" t="s">
        <v>47</v>
      </c>
      <c r="O8" s="44"/>
      <c r="P8" s="41"/>
      <c r="Q8" s="41"/>
      <c r="R8" s="41"/>
      <c r="S8" s="41"/>
      <c r="T8" s="41"/>
      <c r="U8" s="41"/>
      <c r="V8" s="41"/>
      <c r="W8" s="41"/>
    </row>
    <row r="9" spans="1:23" ht="26.25" thickBot="1">
      <c r="A9" s="38"/>
      <c r="B9" s="23"/>
      <c r="C9" s="23"/>
      <c r="D9" s="24"/>
      <c r="E9" s="7">
        <f t="shared" si="3"/>
        <v>450</v>
      </c>
      <c r="F9" s="7">
        <v>453</v>
      </c>
      <c r="G9" s="8">
        <f t="shared" si="0"/>
        <v>10</v>
      </c>
      <c r="H9" s="9">
        <f t="shared" si="2"/>
        <v>14.486437169046829</v>
      </c>
      <c r="I9" s="21">
        <f t="shared" si="1"/>
        <v>6.9030085750601264</v>
      </c>
      <c r="J9" s="27"/>
      <c r="K9" s="12" t="s">
        <v>48</v>
      </c>
      <c r="L9" s="45" t="s">
        <v>49</v>
      </c>
      <c r="M9" s="46"/>
      <c r="N9" s="45" t="s">
        <v>50</v>
      </c>
      <c r="O9" s="46"/>
      <c r="P9" s="41"/>
      <c r="Q9" s="41"/>
      <c r="R9" s="41"/>
      <c r="S9" s="41"/>
      <c r="T9" s="41"/>
      <c r="U9" s="41"/>
      <c r="V9" s="41"/>
      <c r="W9" s="41"/>
    </row>
    <row r="10" spans="1:23" ht="26.25" thickBot="1">
      <c r="A10" s="38"/>
      <c r="B10" s="23"/>
      <c r="C10" s="23"/>
      <c r="D10" s="24"/>
      <c r="E10" s="7">
        <f t="shared" si="3"/>
        <v>453</v>
      </c>
      <c r="F10" s="7">
        <v>455</v>
      </c>
      <c r="G10" s="8">
        <f t="shared" si="0"/>
        <v>9</v>
      </c>
      <c r="H10" s="9">
        <f t="shared" si="2"/>
        <v>9.7464186869443239</v>
      </c>
      <c r="I10" s="21">
        <f t="shared" si="1"/>
        <v>8.3107449619933114</v>
      </c>
      <c r="J10" s="27"/>
      <c r="K10" s="12" t="s">
        <v>51</v>
      </c>
      <c r="L10" s="47" t="str">
        <f>IF(décision&lt;critique,L7,N7)</f>
        <v xml:space="preserve">H0 : </v>
      </c>
      <c r="M10" s="48"/>
      <c r="N10" s="49" t="str">
        <f>IF(décision&lt;critique,M7,O7)</f>
        <v xml:space="preserve">L'échantillon suis une loi normale </v>
      </c>
      <c r="O10" s="50"/>
      <c r="P10" s="42"/>
      <c r="Q10" s="41"/>
      <c r="R10" s="41"/>
      <c r="S10" s="41"/>
      <c r="T10" s="41"/>
      <c r="U10" s="41"/>
      <c r="V10" s="41"/>
      <c r="W10" s="41"/>
    </row>
    <row r="11" spans="1:23" ht="25.5">
      <c r="A11" s="38"/>
      <c r="B11" s="23"/>
      <c r="C11" s="23"/>
      <c r="D11" s="24"/>
      <c r="E11" s="7">
        <f t="shared" si="3"/>
        <v>455</v>
      </c>
      <c r="F11" s="7">
        <v>457</v>
      </c>
      <c r="G11" s="8">
        <f t="shared" si="0"/>
        <v>8</v>
      </c>
      <c r="H11" s="9">
        <f t="shared" si="2"/>
        <v>9.1466964507943551</v>
      </c>
      <c r="I11" s="21">
        <f t="shared" si="1"/>
        <v>6.9970617636974106</v>
      </c>
      <c r="J11" s="28"/>
      <c r="K11" s="28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</row>
    <row r="12" spans="1:23" ht="25.5">
      <c r="A12" s="38"/>
      <c r="B12" s="23"/>
      <c r="C12" s="23"/>
      <c r="D12" s="24"/>
      <c r="E12" s="7">
        <f t="shared" si="3"/>
        <v>457</v>
      </c>
      <c r="F12" s="7">
        <v>459</v>
      </c>
      <c r="G12" s="8">
        <f t="shared" si="0"/>
        <v>10</v>
      </c>
      <c r="H12" s="9">
        <f t="shared" si="2"/>
        <v>8.077748156341368</v>
      </c>
      <c r="I12" s="21">
        <f t="shared" si="1"/>
        <v>12.379687762547517</v>
      </c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</row>
    <row r="13" spans="1:23" ht="25.5">
      <c r="A13" s="38"/>
      <c r="B13" s="23"/>
      <c r="C13" s="23"/>
      <c r="D13" s="24"/>
      <c r="E13" s="7">
        <f t="shared" si="3"/>
        <v>459</v>
      </c>
      <c r="F13" s="7">
        <v>461</v>
      </c>
      <c r="G13" s="8">
        <f t="shared" si="0"/>
        <v>7</v>
      </c>
      <c r="H13" s="9">
        <f t="shared" si="2"/>
        <v>6.7130995679956396</v>
      </c>
      <c r="I13" s="21">
        <f t="shared" si="1"/>
        <v>7.2991618109770044</v>
      </c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</row>
    <row r="14" spans="1:23" ht="25.5">
      <c r="A14" s="38"/>
      <c r="B14" s="23"/>
      <c r="C14" s="23"/>
      <c r="D14" s="24"/>
      <c r="E14" s="7">
        <f t="shared" si="3"/>
        <v>461</v>
      </c>
      <c r="F14" s="7">
        <v>463</v>
      </c>
      <c r="G14" s="8">
        <f t="shared" si="0"/>
        <v>9</v>
      </c>
      <c r="H14" s="9">
        <f t="shared" si="2"/>
        <v>5.2500380840899474</v>
      </c>
      <c r="I14" s="21">
        <f t="shared" si="1"/>
        <v>15.428459508792441</v>
      </c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</row>
    <row r="15" spans="1:23" ht="25.5">
      <c r="A15" s="38"/>
      <c r="B15" s="23"/>
      <c r="C15" s="23"/>
      <c r="D15" s="24"/>
      <c r="E15" s="7">
        <f t="shared" si="3"/>
        <v>463</v>
      </c>
      <c r="F15" s="7">
        <v>500</v>
      </c>
      <c r="G15" s="8">
        <f t="shared" si="0"/>
        <v>11</v>
      </c>
      <c r="H15" s="9">
        <f t="shared" si="2"/>
        <v>10.622316020345101</v>
      </c>
      <c r="I15" s="21">
        <f t="shared" si="1"/>
        <v>11.391112801412296</v>
      </c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</row>
    <row r="16" spans="1:23" ht="25.5">
      <c r="A16" s="38"/>
      <c r="B16" s="23"/>
      <c r="C16" s="23"/>
      <c r="D16" s="24"/>
      <c r="E16" s="7" t="str">
        <f t="shared" si="3"/>
        <v>-</v>
      </c>
      <c r="F16" s="7"/>
      <c r="G16" s="8">
        <f t="shared" si="0"/>
        <v>0</v>
      </c>
      <c r="H16" s="9" t="str">
        <f t="shared" si="2"/>
        <v>-</v>
      </c>
      <c r="I16" s="21" t="str">
        <f t="shared" si="1"/>
        <v/>
      </c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</row>
    <row r="17" spans="1:22" ht="25.5">
      <c r="A17" s="38"/>
      <c r="B17" s="23"/>
      <c r="C17" s="23"/>
      <c r="D17" s="24"/>
      <c r="E17" s="7" t="str">
        <f t="shared" si="3"/>
        <v>-</v>
      </c>
      <c r="F17" s="7"/>
      <c r="G17" s="8">
        <f t="shared" si="0"/>
        <v>0</v>
      </c>
      <c r="H17" s="9" t="str">
        <f t="shared" si="2"/>
        <v>-</v>
      </c>
      <c r="I17" s="21" t="str">
        <f t="shared" si="1"/>
        <v/>
      </c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</row>
    <row r="18" spans="1:22" ht="25.5">
      <c r="A18" s="38"/>
      <c r="B18" s="23"/>
      <c r="C18" s="23"/>
      <c r="D18" s="24"/>
      <c r="E18" s="7" t="str">
        <f t="shared" si="3"/>
        <v>-</v>
      </c>
      <c r="F18" s="7"/>
      <c r="G18" s="8">
        <f t="shared" si="0"/>
        <v>0</v>
      </c>
      <c r="H18" s="9" t="str">
        <f t="shared" si="2"/>
        <v>-</v>
      </c>
      <c r="I18" s="21" t="str">
        <f t="shared" si="1"/>
        <v/>
      </c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</row>
    <row r="19" spans="1:22" ht="25.5">
      <c r="A19" s="38"/>
      <c r="B19" s="23"/>
      <c r="C19" s="23"/>
      <c r="D19" s="24"/>
      <c r="E19" s="7" t="str">
        <f t="shared" si="3"/>
        <v>-</v>
      </c>
      <c r="F19" s="7"/>
      <c r="G19" s="8">
        <f t="shared" si="0"/>
        <v>0</v>
      </c>
      <c r="H19" s="9" t="str">
        <f t="shared" si="2"/>
        <v>-</v>
      </c>
      <c r="I19" s="21" t="str">
        <f t="shared" si="1"/>
        <v/>
      </c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</row>
    <row r="20" spans="1:22" ht="25.5">
      <c r="A20" s="38"/>
      <c r="B20" s="23"/>
      <c r="C20" s="23"/>
      <c r="D20" s="24"/>
      <c r="E20" s="7" t="str">
        <f t="shared" si="3"/>
        <v>-</v>
      </c>
      <c r="F20" s="7"/>
      <c r="G20" s="8">
        <f t="shared" si="0"/>
        <v>0</v>
      </c>
      <c r="H20" s="9" t="str">
        <f t="shared" si="2"/>
        <v>-</v>
      </c>
      <c r="I20" s="21" t="str">
        <f t="shared" si="1"/>
        <v/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</row>
    <row r="21" spans="1:22" ht="25.5">
      <c r="A21" s="38"/>
      <c r="B21" s="23"/>
      <c r="C21" s="23"/>
      <c r="D21" s="24"/>
      <c r="E21" s="7" t="str">
        <f t="shared" si="3"/>
        <v>-</v>
      </c>
      <c r="F21" s="7"/>
      <c r="G21" s="8">
        <f t="shared" si="0"/>
        <v>0</v>
      </c>
      <c r="H21" s="9" t="str">
        <f t="shared" si="2"/>
        <v>-</v>
      </c>
      <c r="I21" s="21" t="str">
        <f t="shared" si="1"/>
        <v/>
      </c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</row>
    <row r="22" spans="1:22" ht="25.5">
      <c r="A22" s="38"/>
      <c r="B22" s="23"/>
      <c r="C22" s="23"/>
      <c r="D22" s="24"/>
      <c r="E22" s="7" t="str">
        <f t="shared" si="3"/>
        <v>-</v>
      </c>
      <c r="F22" s="7"/>
      <c r="G22" s="8">
        <f t="shared" si="0"/>
        <v>0</v>
      </c>
      <c r="H22" s="9" t="str">
        <f t="shared" si="2"/>
        <v>-</v>
      </c>
      <c r="I22" s="21" t="str">
        <f t="shared" si="1"/>
        <v/>
      </c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</row>
    <row r="23" spans="1:22" ht="25.5">
      <c r="A23" s="38"/>
      <c r="B23" s="23"/>
      <c r="C23" s="23"/>
      <c r="D23" s="24"/>
      <c r="E23" s="7" t="str">
        <f t="shared" si="3"/>
        <v>-</v>
      </c>
      <c r="F23" s="7"/>
      <c r="G23" s="8">
        <f t="shared" si="0"/>
        <v>0</v>
      </c>
      <c r="H23" s="9" t="str">
        <f t="shared" si="2"/>
        <v>-</v>
      </c>
      <c r="I23" s="21" t="str">
        <f t="shared" si="1"/>
        <v/>
      </c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</row>
    <row r="24" spans="1:22" ht="25.5">
      <c r="A24" s="38"/>
      <c r="B24" s="23"/>
      <c r="C24" s="23"/>
      <c r="D24" s="24"/>
      <c r="E24" s="7" t="str">
        <f t="shared" si="3"/>
        <v>-</v>
      </c>
      <c r="F24" s="7"/>
      <c r="G24" s="8">
        <f t="shared" si="0"/>
        <v>0</v>
      </c>
      <c r="H24" s="9" t="str">
        <f t="shared" si="2"/>
        <v>-</v>
      </c>
      <c r="I24" s="21" t="str">
        <f t="shared" si="1"/>
        <v/>
      </c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</row>
    <row r="25" spans="1:22" ht="25.5">
      <c r="A25" s="38"/>
      <c r="B25" s="23"/>
      <c r="C25" s="23"/>
      <c r="D25" s="24"/>
      <c r="E25" s="7" t="str">
        <f t="shared" si="3"/>
        <v>-</v>
      </c>
      <c r="F25" s="7"/>
      <c r="G25" s="8">
        <f t="shared" si="0"/>
        <v>0</v>
      </c>
      <c r="H25" s="9" t="str">
        <f t="shared" si="2"/>
        <v>-</v>
      </c>
      <c r="I25" s="21" t="str">
        <f t="shared" si="1"/>
        <v/>
      </c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</row>
    <row r="26" spans="1:22" ht="25.5">
      <c r="A26" s="38"/>
      <c r="B26" s="23"/>
      <c r="C26" s="23"/>
      <c r="D26" s="24"/>
      <c r="E26" s="7" t="str">
        <f t="shared" si="3"/>
        <v>-</v>
      </c>
      <c r="F26" s="7"/>
      <c r="G26" s="8">
        <f t="shared" si="0"/>
        <v>0</v>
      </c>
      <c r="H26" s="9" t="str">
        <f t="shared" si="2"/>
        <v>-</v>
      </c>
      <c r="I26" s="21" t="str">
        <f t="shared" si="1"/>
        <v/>
      </c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</row>
    <row r="27" spans="1:22" ht="25.5">
      <c r="A27" s="38"/>
      <c r="B27" s="23"/>
      <c r="C27" s="23"/>
      <c r="D27" s="24"/>
      <c r="E27" s="7" t="str">
        <f t="shared" si="3"/>
        <v>-</v>
      </c>
      <c r="F27" s="7"/>
      <c r="G27" s="8">
        <f t="shared" si="0"/>
        <v>0</v>
      </c>
      <c r="H27" s="9" t="str">
        <f t="shared" si="2"/>
        <v>-</v>
      </c>
      <c r="I27" s="21" t="str">
        <f t="shared" si="1"/>
        <v/>
      </c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</row>
    <row r="28" spans="1:22" ht="25.5">
      <c r="A28" s="38"/>
      <c r="B28" s="23"/>
      <c r="C28" s="23"/>
      <c r="D28" s="24"/>
      <c r="E28" s="7" t="str">
        <f t="shared" si="3"/>
        <v>-</v>
      </c>
      <c r="F28" s="7"/>
      <c r="G28" s="8">
        <f t="shared" si="0"/>
        <v>0</v>
      </c>
      <c r="H28" s="9" t="str">
        <f t="shared" si="2"/>
        <v>-</v>
      </c>
      <c r="I28" s="21" t="str">
        <f t="shared" si="1"/>
        <v/>
      </c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</row>
    <row r="29" spans="1:22" ht="25.5">
      <c r="A29" s="38"/>
      <c r="B29" s="23"/>
      <c r="C29" s="23"/>
      <c r="D29" s="24"/>
      <c r="E29" s="7" t="str">
        <f t="shared" si="3"/>
        <v>-</v>
      </c>
      <c r="F29" s="7"/>
      <c r="G29" s="8">
        <f t="shared" si="0"/>
        <v>0</v>
      </c>
      <c r="H29" s="9" t="str">
        <f t="shared" si="2"/>
        <v>-</v>
      </c>
      <c r="I29" s="21" t="str">
        <f t="shared" si="1"/>
        <v/>
      </c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</row>
    <row r="30" spans="1:22" ht="25.5">
      <c r="A30" s="38"/>
      <c r="B30" s="23"/>
      <c r="C30" s="23"/>
      <c r="D30" s="24"/>
      <c r="E30" s="7" t="str">
        <f t="shared" si="3"/>
        <v>-</v>
      </c>
      <c r="F30" s="7"/>
      <c r="G30" s="8">
        <f t="shared" si="0"/>
        <v>0</v>
      </c>
      <c r="H30" s="9" t="str">
        <f t="shared" si="2"/>
        <v>-</v>
      </c>
      <c r="I30" s="21" t="str">
        <f t="shared" si="1"/>
        <v/>
      </c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</row>
    <row r="31" spans="1:22" ht="25.5">
      <c r="A31" s="38"/>
      <c r="B31" s="23"/>
      <c r="C31" s="23"/>
      <c r="D31" s="24"/>
      <c r="E31" s="7" t="str">
        <f t="shared" si="3"/>
        <v>-</v>
      </c>
      <c r="F31" s="7"/>
      <c r="G31" s="8">
        <f t="shared" si="0"/>
        <v>0</v>
      </c>
      <c r="H31" s="9" t="str">
        <f t="shared" si="2"/>
        <v>-</v>
      </c>
      <c r="I31" s="21" t="str">
        <f t="shared" si="1"/>
        <v/>
      </c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</row>
    <row r="32" spans="1:22" ht="25.5">
      <c r="A32" s="38"/>
      <c r="B32" s="23"/>
      <c r="C32" s="23"/>
      <c r="D32" s="24"/>
      <c r="E32" s="7" t="str">
        <f t="shared" si="3"/>
        <v>-</v>
      </c>
      <c r="F32" s="7"/>
      <c r="G32" s="8">
        <f t="shared" si="0"/>
        <v>0</v>
      </c>
      <c r="H32" s="9" t="str">
        <f t="shared" si="2"/>
        <v>-</v>
      </c>
      <c r="I32" s="21" t="str">
        <f t="shared" si="1"/>
        <v/>
      </c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</row>
    <row r="33" spans="1:22" ht="25.5">
      <c r="A33" s="38"/>
      <c r="B33" s="23"/>
      <c r="C33" s="23"/>
      <c r="D33" s="24"/>
      <c r="E33" s="7" t="str">
        <f t="shared" si="3"/>
        <v>-</v>
      </c>
      <c r="F33" s="7"/>
      <c r="G33" s="8">
        <f t="shared" si="0"/>
        <v>0</v>
      </c>
      <c r="H33" s="9" t="str">
        <f t="shared" si="2"/>
        <v>-</v>
      </c>
      <c r="I33" s="21" t="str">
        <f t="shared" si="1"/>
        <v/>
      </c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</row>
    <row r="34" spans="1:22" ht="25.5">
      <c r="A34" s="38"/>
      <c r="B34" s="23"/>
      <c r="C34" s="23"/>
      <c r="D34" s="24"/>
      <c r="E34" s="7" t="str">
        <f t="shared" si="3"/>
        <v>-</v>
      </c>
      <c r="F34" s="7"/>
      <c r="G34" s="8">
        <f t="shared" si="0"/>
        <v>0</v>
      </c>
      <c r="H34" s="9" t="str">
        <f t="shared" si="2"/>
        <v>-</v>
      </c>
      <c r="I34" s="21" t="str">
        <f t="shared" si="1"/>
        <v/>
      </c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</row>
    <row r="35" spans="1:22" ht="25.5">
      <c r="A35" s="38"/>
      <c r="B35" s="23"/>
      <c r="C35" s="23"/>
      <c r="D35" s="24"/>
      <c r="E35" s="7" t="str">
        <f t="shared" si="3"/>
        <v>-</v>
      </c>
      <c r="F35" s="7"/>
      <c r="G35" s="8">
        <f t="shared" si="0"/>
        <v>0</v>
      </c>
      <c r="H35" s="9" t="str">
        <f t="shared" si="2"/>
        <v>-</v>
      </c>
      <c r="I35" s="21" t="str">
        <f t="shared" si="1"/>
        <v/>
      </c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</row>
    <row r="36" spans="1:22" ht="25.5">
      <c r="A36" s="38"/>
      <c r="B36" s="23"/>
      <c r="C36" s="23"/>
      <c r="D36" s="24"/>
      <c r="E36" s="7" t="str">
        <f t="shared" si="3"/>
        <v>-</v>
      </c>
      <c r="F36" s="7"/>
      <c r="G36" s="8">
        <f t="shared" ref="G36:G63" si="4">COUNTIFS(Données_préliminaires,"&gt;=" &amp;E36,Données_préliminaires, "&lt;" &amp;F36)</f>
        <v>0</v>
      </c>
      <c r="H36" s="9" t="str">
        <f t="shared" ref="H36:H63" si="5">IFERROR(n_préliminaires*(NORMDIST(F36,X̅_préliminaire,Sp_préliminaire,TRUE)-NORMDIST(E36,X̅_préliminaire,Sp_préliminaire,TRUE)),"-")</f>
        <v>-</v>
      </c>
      <c r="I36" s="21" t="str">
        <f t="shared" si="1"/>
        <v/>
      </c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</row>
    <row r="37" spans="1:22" ht="25.5">
      <c r="A37" s="38"/>
      <c r="B37" s="23"/>
      <c r="C37" s="23"/>
      <c r="D37" s="24"/>
      <c r="E37" s="7" t="str">
        <f t="shared" si="3"/>
        <v>-</v>
      </c>
      <c r="F37" s="7"/>
      <c r="G37" s="8">
        <f t="shared" si="4"/>
        <v>0</v>
      </c>
      <c r="H37" s="9" t="str">
        <f t="shared" si="5"/>
        <v>-</v>
      </c>
      <c r="I37" s="21" t="str">
        <f t="shared" si="1"/>
        <v/>
      </c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</row>
    <row r="38" spans="1:22" ht="25.5">
      <c r="A38" s="38"/>
      <c r="B38" s="23"/>
      <c r="C38" s="23"/>
      <c r="D38" s="24"/>
      <c r="E38" s="7" t="str">
        <f t="shared" si="3"/>
        <v>-</v>
      </c>
      <c r="F38" s="7"/>
      <c r="G38" s="8">
        <f t="shared" si="4"/>
        <v>0</v>
      </c>
      <c r="H38" s="9" t="str">
        <f t="shared" si="5"/>
        <v>-</v>
      </c>
      <c r="I38" s="21" t="str">
        <f t="shared" si="1"/>
        <v/>
      </c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</row>
    <row r="39" spans="1:22" ht="25.5">
      <c r="A39" s="38"/>
      <c r="B39" s="23"/>
      <c r="C39" s="23"/>
      <c r="D39" s="24"/>
      <c r="E39" s="7" t="str">
        <f t="shared" si="3"/>
        <v>-</v>
      </c>
      <c r="F39" s="7"/>
      <c r="G39" s="8">
        <f t="shared" si="4"/>
        <v>0</v>
      </c>
      <c r="H39" s="9" t="str">
        <f t="shared" si="5"/>
        <v>-</v>
      </c>
      <c r="I39" s="21" t="str">
        <f t="shared" si="1"/>
        <v/>
      </c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</row>
    <row r="40" spans="1:22" ht="25.5">
      <c r="A40" s="38"/>
      <c r="B40" s="23"/>
      <c r="C40" s="23"/>
      <c r="D40" s="24"/>
      <c r="E40" s="7" t="str">
        <f t="shared" si="3"/>
        <v>-</v>
      </c>
      <c r="F40" s="7"/>
      <c r="G40" s="8">
        <f t="shared" si="4"/>
        <v>0</v>
      </c>
      <c r="H40" s="9" t="str">
        <f t="shared" si="5"/>
        <v>-</v>
      </c>
      <c r="I40" s="21" t="str">
        <f t="shared" si="1"/>
        <v/>
      </c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</row>
    <row r="41" spans="1:22" ht="25.5">
      <c r="A41" s="38"/>
      <c r="B41" s="23"/>
      <c r="C41" s="23"/>
      <c r="D41" s="24"/>
      <c r="E41" s="7" t="str">
        <f t="shared" si="3"/>
        <v>-</v>
      </c>
      <c r="F41" s="7"/>
      <c r="G41" s="8">
        <f t="shared" si="4"/>
        <v>0</v>
      </c>
      <c r="H41" s="9" t="str">
        <f t="shared" si="5"/>
        <v>-</v>
      </c>
      <c r="I41" s="21" t="str">
        <f t="shared" si="1"/>
        <v/>
      </c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</row>
    <row r="42" spans="1:22" ht="25.5">
      <c r="A42" s="38"/>
      <c r="B42" s="23"/>
      <c r="C42" s="23"/>
      <c r="D42" s="24"/>
      <c r="E42" s="7" t="str">
        <f t="shared" si="3"/>
        <v>-</v>
      </c>
      <c r="F42" s="7"/>
      <c r="G42" s="8">
        <f t="shared" si="4"/>
        <v>0</v>
      </c>
      <c r="H42" s="9" t="str">
        <f t="shared" si="5"/>
        <v>-</v>
      </c>
      <c r="I42" s="21" t="str">
        <f t="shared" si="1"/>
        <v/>
      </c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</row>
    <row r="43" spans="1:22" ht="25.5">
      <c r="A43" s="38"/>
      <c r="B43" s="23"/>
      <c r="C43" s="23"/>
      <c r="D43" s="24"/>
      <c r="E43" s="7" t="str">
        <f t="shared" si="3"/>
        <v>-</v>
      </c>
      <c r="F43" s="7"/>
      <c r="G43" s="8">
        <f t="shared" si="4"/>
        <v>0</v>
      </c>
      <c r="H43" s="9" t="str">
        <f t="shared" si="5"/>
        <v>-</v>
      </c>
      <c r="I43" s="21" t="str">
        <f t="shared" si="1"/>
        <v/>
      </c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</row>
    <row r="44" spans="1:22" ht="25.5">
      <c r="A44" s="38"/>
      <c r="B44" s="23"/>
      <c r="C44" s="23"/>
      <c r="D44" s="24"/>
      <c r="E44" s="7" t="str">
        <f t="shared" si="3"/>
        <v>-</v>
      </c>
      <c r="F44" s="7"/>
      <c r="G44" s="8">
        <f t="shared" si="4"/>
        <v>0</v>
      </c>
      <c r="H44" s="9" t="str">
        <f t="shared" si="5"/>
        <v>-</v>
      </c>
      <c r="I44" s="21" t="str">
        <f t="shared" si="1"/>
        <v/>
      </c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</row>
    <row r="45" spans="1:22" ht="25.5">
      <c r="A45" s="38"/>
      <c r="B45" s="23"/>
      <c r="C45" s="23"/>
      <c r="D45" s="24"/>
      <c r="E45" s="7" t="str">
        <f t="shared" si="3"/>
        <v>-</v>
      </c>
      <c r="F45" s="7"/>
      <c r="G45" s="8">
        <f t="shared" si="4"/>
        <v>0</v>
      </c>
      <c r="H45" s="9" t="str">
        <f t="shared" si="5"/>
        <v>-</v>
      </c>
      <c r="I45" s="21" t="str">
        <f t="shared" si="1"/>
        <v/>
      </c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</row>
    <row r="46" spans="1:22" ht="25.5">
      <c r="A46" s="38"/>
      <c r="B46" s="23"/>
      <c r="C46" s="23"/>
      <c r="D46" s="24"/>
      <c r="E46" s="7" t="str">
        <f t="shared" si="3"/>
        <v>-</v>
      </c>
      <c r="F46" s="7"/>
      <c r="G46" s="8">
        <f t="shared" si="4"/>
        <v>0</v>
      </c>
      <c r="H46" s="9" t="str">
        <f t="shared" si="5"/>
        <v>-</v>
      </c>
      <c r="I46" s="21" t="str">
        <f t="shared" si="1"/>
        <v/>
      </c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</row>
    <row r="47" spans="1:22" ht="25.5">
      <c r="A47" s="38"/>
      <c r="B47" s="23"/>
      <c r="C47" s="23"/>
      <c r="D47" s="24"/>
      <c r="E47" s="7" t="str">
        <f t="shared" si="3"/>
        <v>-</v>
      </c>
      <c r="F47" s="7"/>
      <c r="G47" s="8">
        <f t="shared" si="4"/>
        <v>0</v>
      </c>
      <c r="H47" s="9" t="str">
        <f t="shared" si="5"/>
        <v>-</v>
      </c>
      <c r="I47" s="21" t="str">
        <f t="shared" si="1"/>
        <v/>
      </c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</row>
    <row r="48" spans="1:22" ht="25.5">
      <c r="A48" s="38"/>
      <c r="B48" s="23"/>
      <c r="C48" s="23"/>
      <c r="D48" s="24"/>
      <c r="E48" s="7" t="str">
        <f t="shared" si="3"/>
        <v>-</v>
      </c>
      <c r="F48" s="7"/>
      <c r="G48" s="8">
        <f t="shared" si="4"/>
        <v>0</v>
      </c>
      <c r="H48" s="9" t="str">
        <f t="shared" si="5"/>
        <v>-</v>
      </c>
      <c r="I48" s="21" t="str">
        <f t="shared" si="1"/>
        <v/>
      </c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</row>
    <row r="49" spans="1:22" ht="25.5">
      <c r="A49" s="38"/>
      <c r="B49" s="23"/>
      <c r="C49" s="23"/>
      <c r="D49" s="24"/>
      <c r="E49" s="7" t="str">
        <f t="shared" si="3"/>
        <v>-</v>
      </c>
      <c r="F49" s="7"/>
      <c r="G49" s="8">
        <f t="shared" si="4"/>
        <v>0</v>
      </c>
      <c r="H49" s="9" t="str">
        <f t="shared" si="5"/>
        <v>-</v>
      </c>
      <c r="I49" s="21" t="str">
        <f t="shared" si="1"/>
        <v/>
      </c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</row>
    <row r="50" spans="1:22" ht="25.5">
      <c r="A50" s="38"/>
      <c r="B50" s="23"/>
      <c r="C50" s="23"/>
      <c r="D50" s="24"/>
      <c r="E50" s="7" t="str">
        <f t="shared" si="3"/>
        <v>-</v>
      </c>
      <c r="F50" s="7"/>
      <c r="G50" s="8">
        <f t="shared" si="4"/>
        <v>0</v>
      </c>
      <c r="H50" s="9" t="str">
        <f t="shared" si="5"/>
        <v>-</v>
      </c>
      <c r="I50" s="21" t="str">
        <f t="shared" si="1"/>
        <v/>
      </c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</row>
    <row r="51" spans="1:22" ht="25.5">
      <c r="A51" s="38"/>
      <c r="B51" s="23"/>
      <c r="C51" s="23"/>
      <c r="D51" s="24"/>
      <c r="E51" s="7" t="str">
        <f t="shared" si="3"/>
        <v>-</v>
      </c>
      <c r="F51" s="7"/>
      <c r="G51" s="8">
        <f t="shared" si="4"/>
        <v>0</v>
      </c>
      <c r="H51" s="9" t="str">
        <f t="shared" si="5"/>
        <v>-</v>
      </c>
      <c r="I51" s="21" t="str">
        <f t="shared" si="1"/>
        <v/>
      </c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</row>
    <row r="52" spans="1:22" ht="25.5">
      <c r="A52" s="38"/>
      <c r="B52" s="23"/>
      <c r="C52" s="23"/>
      <c r="D52" s="24"/>
      <c r="E52" s="7" t="str">
        <f t="shared" si="3"/>
        <v>-</v>
      </c>
      <c r="F52" s="7"/>
      <c r="G52" s="8">
        <f t="shared" si="4"/>
        <v>0</v>
      </c>
      <c r="H52" s="9" t="str">
        <f t="shared" si="5"/>
        <v>-</v>
      </c>
      <c r="I52" s="21" t="str">
        <f t="shared" si="1"/>
        <v/>
      </c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</row>
    <row r="53" spans="1:22" ht="25.5">
      <c r="A53" s="38"/>
      <c r="B53" s="23"/>
      <c r="C53" s="23"/>
      <c r="D53" s="24"/>
      <c r="E53" s="7" t="str">
        <f t="shared" si="3"/>
        <v>-</v>
      </c>
      <c r="F53" s="7"/>
      <c r="G53" s="8">
        <f t="shared" si="4"/>
        <v>0</v>
      </c>
      <c r="H53" s="9" t="str">
        <f t="shared" si="5"/>
        <v>-</v>
      </c>
      <c r="I53" s="21" t="str">
        <f t="shared" si="1"/>
        <v/>
      </c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</row>
    <row r="54" spans="1:22" ht="25.5">
      <c r="A54" s="38"/>
      <c r="B54" s="23"/>
      <c r="C54" s="23"/>
      <c r="D54" s="24"/>
      <c r="E54" s="7" t="str">
        <f t="shared" si="3"/>
        <v>-</v>
      </c>
      <c r="F54" s="7"/>
      <c r="G54" s="8">
        <f t="shared" si="4"/>
        <v>0</v>
      </c>
      <c r="H54" s="9" t="str">
        <f t="shared" si="5"/>
        <v>-</v>
      </c>
      <c r="I54" s="21" t="str">
        <f t="shared" si="1"/>
        <v/>
      </c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</row>
    <row r="55" spans="1:22" ht="25.5">
      <c r="A55" s="38"/>
      <c r="B55" s="23"/>
      <c r="C55" s="23"/>
      <c r="D55" s="24"/>
      <c r="E55" s="7" t="str">
        <f t="shared" si="3"/>
        <v>-</v>
      </c>
      <c r="F55" s="7"/>
      <c r="G55" s="8">
        <f t="shared" si="4"/>
        <v>0</v>
      </c>
      <c r="H55" s="9" t="str">
        <f t="shared" si="5"/>
        <v>-</v>
      </c>
      <c r="I55" s="21" t="str">
        <f t="shared" si="1"/>
        <v/>
      </c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</row>
    <row r="56" spans="1:22" ht="25.5">
      <c r="A56" s="38"/>
      <c r="B56" s="23"/>
      <c r="C56" s="23"/>
      <c r="D56" s="24"/>
      <c r="E56" s="7" t="str">
        <f t="shared" si="3"/>
        <v>-</v>
      </c>
      <c r="F56" s="7"/>
      <c r="G56" s="8">
        <f t="shared" si="4"/>
        <v>0</v>
      </c>
      <c r="H56" s="9" t="str">
        <f t="shared" si="5"/>
        <v>-</v>
      </c>
      <c r="I56" s="21" t="str">
        <f t="shared" si="1"/>
        <v/>
      </c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</row>
    <row r="57" spans="1:22" ht="25.5">
      <c r="A57" s="38"/>
      <c r="B57" s="23"/>
      <c r="C57" s="23"/>
      <c r="D57" s="24"/>
      <c r="E57" s="7" t="str">
        <f t="shared" si="3"/>
        <v>-</v>
      </c>
      <c r="F57" s="7"/>
      <c r="G57" s="8">
        <f t="shared" si="4"/>
        <v>0</v>
      </c>
      <c r="H57" s="9" t="str">
        <f t="shared" si="5"/>
        <v>-</v>
      </c>
      <c r="I57" s="21" t="str">
        <f t="shared" si="1"/>
        <v/>
      </c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</row>
    <row r="58" spans="1:22" ht="25.5">
      <c r="A58" s="38"/>
      <c r="B58" s="23"/>
      <c r="C58" s="23"/>
      <c r="D58" s="24"/>
      <c r="E58" s="7" t="str">
        <f t="shared" si="3"/>
        <v>-</v>
      </c>
      <c r="F58" s="7"/>
      <c r="G58" s="8">
        <f t="shared" si="4"/>
        <v>0</v>
      </c>
      <c r="H58" s="9" t="str">
        <f t="shared" si="5"/>
        <v>-</v>
      </c>
      <c r="I58" s="21" t="str">
        <f t="shared" si="1"/>
        <v/>
      </c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</row>
    <row r="59" spans="1:22" ht="25.5">
      <c r="A59" s="38"/>
      <c r="B59" s="23"/>
      <c r="C59" s="23"/>
      <c r="D59" s="24"/>
      <c r="E59" s="7" t="str">
        <f t="shared" si="3"/>
        <v>-</v>
      </c>
      <c r="F59" s="7"/>
      <c r="G59" s="8">
        <f t="shared" si="4"/>
        <v>0</v>
      </c>
      <c r="H59" s="9" t="str">
        <f t="shared" si="5"/>
        <v>-</v>
      </c>
      <c r="I59" s="21" t="str">
        <f t="shared" si="1"/>
        <v/>
      </c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</row>
    <row r="60" spans="1:22" ht="25.5">
      <c r="A60" s="38"/>
      <c r="B60" s="23"/>
      <c r="C60" s="23"/>
      <c r="D60" s="24"/>
      <c r="E60" s="7" t="str">
        <f t="shared" si="3"/>
        <v>-</v>
      </c>
      <c r="F60" s="7"/>
      <c r="G60" s="8">
        <f t="shared" si="4"/>
        <v>0</v>
      </c>
      <c r="H60" s="9" t="str">
        <f t="shared" si="5"/>
        <v>-</v>
      </c>
      <c r="I60" s="21" t="str">
        <f t="shared" si="1"/>
        <v/>
      </c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</row>
    <row r="61" spans="1:22" ht="25.5">
      <c r="A61" s="38"/>
      <c r="B61" s="23"/>
      <c r="C61" s="23"/>
      <c r="D61" s="24"/>
      <c r="E61" s="7" t="str">
        <f t="shared" si="3"/>
        <v>-</v>
      </c>
      <c r="F61" s="7"/>
      <c r="G61" s="8">
        <f t="shared" si="4"/>
        <v>0</v>
      </c>
      <c r="H61" s="9" t="str">
        <f t="shared" si="5"/>
        <v>-</v>
      </c>
      <c r="I61" s="21" t="str">
        <f t="shared" si="1"/>
        <v/>
      </c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</row>
    <row r="62" spans="1:22" ht="25.5">
      <c r="A62" s="38"/>
      <c r="B62" s="23"/>
      <c r="C62" s="23"/>
      <c r="D62" s="24"/>
      <c r="E62" s="7" t="str">
        <f t="shared" si="3"/>
        <v>-</v>
      </c>
      <c r="F62" s="7"/>
      <c r="G62" s="8">
        <f t="shared" si="4"/>
        <v>0</v>
      </c>
      <c r="H62" s="9" t="str">
        <f t="shared" si="5"/>
        <v>-</v>
      </c>
      <c r="I62" s="21" t="str">
        <f t="shared" si="1"/>
        <v/>
      </c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</row>
    <row r="63" spans="1:22" ht="25.5">
      <c r="A63" s="38"/>
      <c r="B63" s="23"/>
      <c r="C63" s="23"/>
      <c r="D63" s="24"/>
      <c r="E63" s="7" t="str">
        <f t="shared" si="3"/>
        <v>-</v>
      </c>
      <c r="F63" s="7"/>
      <c r="G63" s="8">
        <f t="shared" si="4"/>
        <v>0</v>
      </c>
      <c r="H63" s="9" t="str">
        <f t="shared" si="5"/>
        <v>-</v>
      </c>
      <c r="I63" s="21" t="str">
        <f t="shared" si="1"/>
        <v/>
      </c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</row>
    <row r="64" spans="1:22"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</row>
    <row r="65" spans="10:22"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</row>
    <row r="66" spans="10:22"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</row>
    <row r="67" spans="10:22"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</row>
    <row r="68" spans="10:22"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</row>
    <row r="69" spans="10:22"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</row>
    <row r="70" spans="10:22"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</row>
    <row r="71" spans="10:22"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</row>
    <row r="72" spans="10:22"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</row>
    <row r="73" spans="10:22"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</row>
    <row r="74" spans="10:22"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</row>
    <row r="75" spans="10:22"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</row>
    <row r="76" spans="10:22"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</row>
    <row r="77" spans="10:22"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</row>
    <row r="78" spans="10:22"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</row>
    <row r="79" spans="10:22"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</row>
    <row r="80" spans="10:22"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</row>
    <row r="81" spans="10:22"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</row>
    <row r="82" spans="10:22"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</row>
    <row r="83" spans="10:22"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</row>
    <row r="84" spans="10:22"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</row>
    <row r="85" spans="10:22"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</row>
    <row r="86" spans="10:22"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</row>
    <row r="87" spans="10:22"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</row>
    <row r="88" spans="10:22"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</row>
    <row r="89" spans="10:22"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</row>
    <row r="90" spans="10:22"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</row>
    <row r="91" spans="10:22"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</row>
    <row r="92" spans="10:22"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</row>
    <row r="93" spans="10:22"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</row>
    <row r="94" spans="10:22"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</row>
    <row r="95" spans="10:22"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</row>
    <row r="96" spans="10:22"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</row>
    <row r="97" spans="10:22"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</row>
    <row r="98" spans="10:22"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</row>
    <row r="99" spans="10:22"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</row>
    <row r="100" spans="10:22"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</row>
    <row r="101" spans="10:22"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</row>
    <row r="102" spans="10:22"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</row>
    <row r="103" spans="10:22"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</row>
    <row r="104" spans="10:22"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</row>
    <row r="105" spans="10:22"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</row>
    <row r="106" spans="10:22"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</row>
    <row r="107" spans="10:22"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</row>
    <row r="108" spans="10:22"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</row>
    <row r="109" spans="10:22"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</row>
    <row r="110" spans="10:22"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</row>
    <row r="111" spans="10:22"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</row>
    <row r="112" spans="10:22"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</row>
    <row r="113" spans="10:22"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</row>
    <row r="114" spans="10:22"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</row>
    <row r="115" spans="10:22"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</row>
    <row r="116" spans="10:22"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</row>
    <row r="117" spans="10:22"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</row>
    <row r="118" spans="10:22"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</row>
    <row r="119" spans="10:22"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</row>
    <row r="120" spans="10:22"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</row>
    <row r="121" spans="10:22"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</row>
    <row r="122" spans="10:22"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</row>
    <row r="123" spans="10:22"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</row>
    <row r="124" spans="10:22"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</row>
    <row r="125" spans="10:22"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</row>
    <row r="126" spans="10:22"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</row>
    <row r="127" spans="10:22"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</row>
    <row r="128" spans="10:22"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</row>
    <row r="129" spans="10:22"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</row>
    <row r="130" spans="10:22"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</row>
    <row r="131" spans="10:22"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</row>
    <row r="132" spans="10:22"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</row>
    <row r="133" spans="10:22"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</row>
    <row r="134" spans="10:22"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</row>
    <row r="135" spans="10:22"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</row>
    <row r="136" spans="10:22"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</row>
    <row r="137" spans="10:22"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</row>
    <row r="138" spans="10:22"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</row>
    <row r="139" spans="10:22"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</row>
    <row r="140" spans="10:22"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</row>
    <row r="141" spans="10:22"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</row>
    <row r="142" spans="10:22"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</row>
    <row r="143" spans="10:22"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</row>
    <row r="144" spans="10:22"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</row>
    <row r="145" spans="10:22"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</row>
    <row r="146" spans="10:22"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</row>
    <row r="147" spans="10:22"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</row>
    <row r="148" spans="10:22"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</row>
    <row r="149" spans="10:22"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</row>
    <row r="150" spans="10:22"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</row>
    <row r="151" spans="10:22"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</row>
    <row r="152" spans="10:22"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</row>
    <row r="153" spans="10:22"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</row>
    <row r="154" spans="10:22"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</row>
    <row r="155" spans="10:22"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</row>
    <row r="156" spans="10:22"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</row>
    <row r="157" spans="10:22"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</row>
    <row r="158" spans="10:22"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</row>
    <row r="159" spans="10:22"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</row>
    <row r="160" spans="10:22"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</row>
    <row r="161" spans="10:22"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</row>
  </sheetData>
  <mergeCells count="11">
    <mergeCell ref="A1:A63"/>
    <mergeCell ref="D3:D4"/>
    <mergeCell ref="J3:W3"/>
    <mergeCell ref="P7:W10"/>
    <mergeCell ref="L8:M8"/>
    <mergeCell ref="N8:O8"/>
    <mergeCell ref="L9:M9"/>
    <mergeCell ref="N9:O9"/>
    <mergeCell ref="L10:M10"/>
    <mergeCell ref="N10:O10"/>
    <mergeCell ref="F1:K1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2:N38"/>
  <sheetViews>
    <sheetView tabSelected="1" topLeftCell="A13" zoomScale="85" zoomScaleNormal="85" workbookViewId="0">
      <selection activeCell="E7" sqref="E7"/>
    </sheetView>
  </sheetViews>
  <sheetFormatPr baseColWidth="10" defaultRowHeight="15"/>
  <cols>
    <col min="5" max="5" width="8" customWidth="1"/>
    <col min="8" max="8" width="29.28515625" customWidth="1"/>
    <col min="9" max="9" width="15.140625" customWidth="1"/>
    <col min="10" max="10" width="6.5703125" customWidth="1"/>
    <col min="13" max="13" width="19.5703125" customWidth="1"/>
    <col min="14" max="14" width="23.28515625" customWidth="1"/>
  </cols>
  <sheetData>
    <row r="2" spans="1:14" ht="15.75" thickBot="1"/>
    <row r="3" spans="1:14">
      <c r="A3" s="7" t="s">
        <v>66</v>
      </c>
      <c r="B3" s="7" t="s">
        <v>67</v>
      </c>
      <c r="C3" s="7" t="s">
        <v>68</v>
      </c>
      <c r="F3" s="61" t="s">
        <v>60</v>
      </c>
      <c r="G3" s="62"/>
      <c r="H3" s="62"/>
      <c r="I3" s="63"/>
      <c r="K3" s="61" t="s">
        <v>65</v>
      </c>
      <c r="L3" s="62"/>
      <c r="M3" s="62"/>
      <c r="N3" s="63"/>
    </row>
    <row r="4" spans="1:14">
      <c r="A4" s="34">
        <f>ROW()-3</f>
        <v>1</v>
      </c>
      <c r="B4" s="7">
        <f>AVERAGE(Echantillon_preliminaire1)</f>
        <v>449</v>
      </c>
      <c r="C4" s="21">
        <f>STDEV(Echantillon_preliminaire1)</f>
        <v>6.97614984548545</v>
      </c>
      <c r="F4" s="64"/>
      <c r="G4" s="56"/>
      <c r="H4" s="56"/>
      <c r="I4" s="65"/>
      <c r="K4" s="64"/>
      <c r="L4" s="56"/>
      <c r="M4" s="56"/>
      <c r="N4" s="65"/>
    </row>
    <row r="5" spans="1:14" ht="21">
      <c r="A5" s="34">
        <f t="shared" ref="A5:A28" si="0">ROW()-3</f>
        <v>2</v>
      </c>
      <c r="B5" s="7">
        <f>AVERAGE(Echantillon_preliminaire2)</f>
        <v>443.5</v>
      </c>
      <c r="C5" s="21">
        <f>STDEV(Echantillon_preliminaire2)</f>
        <v>10.723805294763608</v>
      </c>
      <c r="F5" s="66" t="s">
        <v>61</v>
      </c>
      <c r="G5" s="57"/>
      <c r="H5" s="57"/>
      <c r="I5" s="67">
        <f>moyenne_µ+(NORMSINV(0.999)*S_préliminaire/SQRT(4))</f>
        <v>465.35084330968596</v>
      </c>
      <c r="K5" s="66" t="s">
        <v>61</v>
      </c>
      <c r="L5" s="57"/>
      <c r="M5" s="57"/>
      <c r="N5" s="71">
        <f>SQRT(CHIINV(0.999,4-1)/4)*S_préliminaire</f>
        <v>0.62753832493966288</v>
      </c>
    </row>
    <row r="6" spans="1:14" ht="21">
      <c r="A6" s="34">
        <f t="shared" si="0"/>
        <v>3</v>
      </c>
      <c r="B6" s="7">
        <f>AVERAGE(Echantillon_preliminaire3)</f>
        <v>450</v>
      </c>
      <c r="C6" s="21">
        <f>STDEV(Echantillon_preliminaire3)</f>
        <v>5.715476066494082</v>
      </c>
      <c r="F6" s="66" t="s">
        <v>62</v>
      </c>
      <c r="G6" s="57"/>
      <c r="H6" s="57"/>
      <c r="I6" s="67">
        <f>moyenne_µ-(NORMSINV(0.999)*S_préliminaire/SQRT(4))</f>
        <v>440.46915669031409</v>
      </c>
      <c r="K6" s="66" t="s">
        <v>62</v>
      </c>
      <c r="L6" s="57"/>
      <c r="M6" s="57"/>
      <c r="N6" s="71">
        <f>SQRT(CHIINV(0.001,4-1)/4)*S_préliminaire</f>
        <v>16.236866814935986</v>
      </c>
    </row>
    <row r="7" spans="1:14" ht="21">
      <c r="A7" s="34">
        <f t="shared" si="0"/>
        <v>4</v>
      </c>
      <c r="B7" s="7">
        <f>AVERAGE(Echantillon_preliminaire4)</f>
        <v>451</v>
      </c>
      <c r="C7" s="21">
        <f>STDEV(Echantillon_preliminaire4)</f>
        <v>7.2571803523590805</v>
      </c>
      <c r="F7" s="58"/>
      <c r="G7" s="59"/>
      <c r="H7" s="59"/>
      <c r="I7" s="60"/>
      <c r="K7" s="54"/>
      <c r="L7" s="55"/>
      <c r="M7" s="55"/>
      <c r="N7" s="72"/>
    </row>
    <row r="8" spans="1:14" ht="21">
      <c r="A8" s="34">
        <f t="shared" si="0"/>
        <v>5</v>
      </c>
      <c r="B8" s="7">
        <f>AVERAGE(Echantillon_preliminaire5)</f>
        <v>454</v>
      </c>
      <c r="C8" s="21">
        <f>STDEV(Echantillon_preliminaire5)</f>
        <v>5.8878405775518976</v>
      </c>
      <c r="F8" s="66" t="s">
        <v>63</v>
      </c>
      <c r="G8" s="57"/>
      <c r="H8" s="57"/>
      <c r="I8" s="67">
        <f>moyenne_µ+(NORMSINV(0.975)*S_préliminaire/SQRT(4))</f>
        <v>460.80054103655038</v>
      </c>
      <c r="K8" s="66" t="s">
        <v>63</v>
      </c>
      <c r="L8" s="57"/>
      <c r="M8" s="57"/>
      <c r="N8" s="71">
        <f>SQRT(CHIINV(0.975,4-1)/4)*S_préliminaire</f>
        <v>1.8701638810741057</v>
      </c>
    </row>
    <row r="9" spans="1:14" ht="21.75" thickBot="1">
      <c r="A9" s="34">
        <f t="shared" si="0"/>
        <v>6</v>
      </c>
      <c r="B9" s="7">
        <f>AVERAGE(Echantillon_preliminaire6)</f>
        <v>457</v>
      </c>
      <c r="C9" s="21">
        <f>STDEV(Echantillon_preliminaire6)</f>
        <v>4.5460605656619517</v>
      </c>
      <c r="F9" s="68" t="s">
        <v>64</v>
      </c>
      <c r="G9" s="69"/>
      <c r="H9" s="69"/>
      <c r="I9" s="70">
        <f>moyenne_µ-(NORMSINV(0.975)*S_préliminaire/SQRT(4))</f>
        <v>445.01945896344967</v>
      </c>
      <c r="K9" s="68" t="s">
        <v>64</v>
      </c>
      <c r="L9" s="69"/>
      <c r="M9" s="69"/>
      <c r="N9" s="73">
        <f>SQRT(CHIINV(0.025,4-1)/4)*S_préliminaire</f>
        <v>12.309131690138015</v>
      </c>
    </row>
    <row r="10" spans="1:14">
      <c r="A10" s="34">
        <f t="shared" si="0"/>
        <v>7</v>
      </c>
      <c r="B10" s="7">
        <f>AVERAGE(Echantillon_preliminaire7)</f>
        <v>452</v>
      </c>
      <c r="C10" s="21">
        <f>STDEV(Echantillon_preliminaire7)</f>
        <v>7.0710678118654755</v>
      </c>
    </row>
    <row r="11" spans="1:14">
      <c r="A11" s="34">
        <f t="shared" si="0"/>
        <v>8</v>
      </c>
      <c r="B11" s="7">
        <f>AVERAGE(Echantillon_preliminaire8)</f>
        <v>462</v>
      </c>
      <c r="C11" s="21">
        <f>STDEV(Echantillon_preliminaire8)</f>
        <v>6.0553007081949835</v>
      </c>
    </row>
    <row r="12" spans="1:14">
      <c r="A12" s="34">
        <f t="shared" si="0"/>
        <v>9</v>
      </c>
      <c r="B12" s="7">
        <f>AVERAGE(Echantillon_preliminaire9)</f>
        <v>456</v>
      </c>
      <c r="C12" s="21">
        <f>STDEV(Echantillon_preliminaire9)</f>
        <v>8.2462112512353212</v>
      </c>
    </row>
    <row r="13" spans="1:14">
      <c r="A13" s="34">
        <f t="shared" si="0"/>
        <v>10</v>
      </c>
      <c r="B13" s="7">
        <f>AVERAGE(Echantillon_preliminaire10)</f>
        <v>457</v>
      </c>
      <c r="C13" s="21">
        <f>STDEV(Echantillon_preliminaire10)</f>
        <v>3.3665016461206929</v>
      </c>
    </row>
    <row r="14" spans="1:14">
      <c r="A14" s="34">
        <f t="shared" si="0"/>
        <v>11</v>
      </c>
      <c r="B14" s="7">
        <f>AVERAGE(Echantillon_preliminaire11)</f>
        <v>448</v>
      </c>
      <c r="C14" s="21">
        <f>STDEV(Echantillon_preliminaire11)</f>
        <v>6.7330032922413858</v>
      </c>
    </row>
    <row r="15" spans="1:14">
      <c r="A15" s="34">
        <f t="shared" si="0"/>
        <v>12</v>
      </c>
      <c r="B15" s="7">
        <f>AVERAGE(Echantillon_preliminaire12)</f>
        <v>456</v>
      </c>
      <c r="C15" s="21">
        <f>STDEV(Echantillon_preliminaire12)</f>
        <v>5.715476066494082</v>
      </c>
    </row>
    <row r="16" spans="1:14">
      <c r="A16" s="34">
        <f t="shared" si="0"/>
        <v>13</v>
      </c>
      <c r="B16" s="7">
        <f>AVERAGE(Echantillon_preliminaire13)</f>
        <v>449</v>
      </c>
      <c r="C16" s="21">
        <f>STDEV(Echantillon_preliminaire13)</f>
        <v>6.6833125519211407</v>
      </c>
    </row>
    <row r="17" spans="1:10">
      <c r="A17" s="34">
        <f t="shared" si="0"/>
        <v>14</v>
      </c>
      <c r="B17" s="7">
        <f>AVERAGE(Echantillon_preliminaire14)</f>
        <v>450</v>
      </c>
      <c r="C17" s="21">
        <f>STDEV(Echantillon_preliminaire14)</f>
        <v>8.0415587212098796</v>
      </c>
    </row>
    <row r="18" spans="1:10">
      <c r="A18" s="34">
        <f t="shared" si="0"/>
        <v>15</v>
      </c>
      <c r="B18" s="7">
        <f>AVERAGE(Echantillon_preliminaire15)</f>
        <v>448</v>
      </c>
      <c r="C18" s="21">
        <f>STDEV(Echantillon_preliminaire15)</f>
        <v>8.0415587212098796</v>
      </c>
    </row>
    <row r="19" spans="1:10" ht="23.25">
      <c r="A19" s="34">
        <f t="shared" si="0"/>
        <v>16</v>
      </c>
      <c r="B19" s="7">
        <f>AVERAGE(Echantillon_preliminaire16)</f>
        <v>449.5</v>
      </c>
      <c r="C19" s="21">
        <f>STDEV(Echantillon_preliminaire16)</f>
        <v>9.3985814532477896</v>
      </c>
      <c r="J19" s="33"/>
    </row>
    <row r="20" spans="1:10">
      <c r="A20" s="34">
        <f t="shared" si="0"/>
        <v>17</v>
      </c>
      <c r="B20" s="7">
        <f>AVERAGE(Echantillon_preliminaire17)</f>
        <v>459</v>
      </c>
      <c r="C20" s="21">
        <f>STDEV(Echantillon_preliminaire17)</f>
        <v>8.0829037686547611</v>
      </c>
    </row>
    <row r="21" spans="1:10">
      <c r="A21" s="34">
        <f t="shared" si="0"/>
        <v>18</v>
      </c>
      <c r="B21" s="7">
        <f>AVERAGE(Echantillon_preliminaire18)</f>
        <v>451</v>
      </c>
      <c r="C21" s="21">
        <f>STDEV(Echantillon_preliminaire18)</f>
        <v>8.6794777108610237</v>
      </c>
    </row>
    <row r="22" spans="1:10">
      <c r="A22" s="34">
        <f t="shared" si="0"/>
        <v>19</v>
      </c>
      <c r="B22" s="7">
        <f>AVERAGE(Echantillon_preliminaire19)</f>
        <v>450.75</v>
      </c>
      <c r="C22" s="21">
        <f>STDEV(Echantillon_preliminaire19)</f>
        <v>12.816005617976296</v>
      </c>
    </row>
    <row r="23" spans="1:10">
      <c r="A23" s="34">
        <f t="shared" si="0"/>
        <v>20</v>
      </c>
      <c r="B23" s="7">
        <f>AVERAGE(Echantillon_preliminaire20)</f>
        <v>459</v>
      </c>
      <c r="C23" s="21">
        <f>STDEV(Echantillon_preliminaire20)</f>
        <v>4.6904157598234297</v>
      </c>
    </row>
    <row r="24" spans="1:10">
      <c r="A24" s="34">
        <f t="shared" si="0"/>
        <v>21</v>
      </c>
      <c r="B24" s="7">
        <f>AVERAGE(Echantillon_preliminaire21)</f>
        <v>450.75</v>
      </c>
      <c r="C24" s="21">
        <f>STDEV(Echantillon_preliminaire21)</f>
        <v>5.315072906367325</v>
      </c>
    </row>
    <row r="25" spans="1:10">
      <c r="A25" s="34">
        <f t="shared" si="0"/>
        <v>22</v>
      </c>
      <c r="B25" s="7">
        <f>AVERAGE(Echantillon_preliminaire22)</f>
        <v>460</v>
      </c>
      <c r="C25" s="21">
        <f>STDEV(Echantillon_preliminaire22)</f>
        <v>3.9157800414902435</v>
      </c>
    </row>
    <row r="26" spans="1:10">
      <c r="A26" s="34">
        <f t="shared" si="0"/>
        <v>23</v>
      </c>
      <c r="B26" s="7">
        <f>AVERAGE(Echantillon_preliminaire23)</f>
        <v>450.5</v>
      </c>
      <c r="C26" s="21">
        <f>STDEV(Echantillon_preliminaire23)</f>
        <v>12.714820748507099</v>
      </c>
    </row>
    <row r="27" spans="1:10">
      <c r="A27" s="34">
        <f t="shared" si="0"/>
        <v>24</v>
      </c>
      <c r="B27" s="7">
        <f>AVERAGE(Echantillon_preliminaire24)</f>
        <v>453.25</v>
      </c>
      <c r="C27" s="21">
        <f>STDEV(Echantillon_preliminaire24)</f>
        <v>8.7321245982864895</v>
      </c>
    </row>
    <row r="28" spans="1:10">
      <c r="A28" s="34">
        <f t="shared" si="0"/>
        <v>25</v>
      </c>
      <c r="B28" s="7">
        <f>AVERAGE(Echantillon_preliminaire25)</f>
        <v>456.5</v>
      </c>
      <c r="C28" s="21">
        <f>STDEV(Echantillon_preliminaire25)</f>
        <v>7.9372539331937721</v>
      </c>
    </row>
    <row r="30" spans="1:10">
      <c r="A30" s="53" t="s">
        <v>71</v>
      </c>
      <c r="B30" s="53"/>
      <c r="C30" s="7">
        <f>COUNT(A:A)</f>
        <v>25</v>
      </c>
    </row>
    <row r="31" spans="1:10">
      <c r="A31" s="53" t="s">
        <v>69</v>
      </c>
      <c r="B31" s="53"/>
      <c r="C31" s="21">
        <f>AVERAGE(moyennes_échantillons)</f>
        <v>452.91</v>
      </c>
    </row>
    <row r="32" spans="1:10">
      <c r="A32" s="53" t="s">
        <v>70</v>
      </c>
      <c r="B32" s="53"/>
      <c r="C32" s="21">
        <f>AVERAGE(écart_types_échantillons)</f>
        <v>7.3337176004486864</v>
      </c>
    </row>
    <row r="38" spans="2:2">
      <c r="B38">
        <f>STDEV(écart_types_échantillons)</f>
        <v>2.3935502506306912</v>
      </c>
    </row>
  </sheetData>
  <mergeCells count="15">
    <mergeCell ref="K9:M9"/>
    <mergeCell ref="A30:B30"/>
    <mergeCell ref="A31:B31"/>
    <mergeCell ref="A32:B32"/>
    <mergeCell ref="F5:H5"/>
    <mergeCell ref="F6:H6"/>
    <mergeCell ref="F8:H8"/>
    <mergeCell ref="F9:H9"/>
    <mergeCell ref="K8:M8"/>
    <mergeCell ref="F3:I4"/>
    <mergeCell ref="F7:I7"/>
    <mergeCell ref="K3:N4"/>
    <mergeCell ref="K7:N7"/>
    <mergeCell ref="K5:M5"/>
    <mergeCell ref="K6:M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2:E17"/>
  <sheetViews>
    <sheetView topLeftCell="A5" zoomScale="70" zoomScaleNormal="70" workbookViewId="0">
      <selection activeCell="D33" sqref="D33"/>
    </sheetView>
  </sheetViews>
  <sheetFormatPr baseColWidth="10" defaultRowHeight="15"/>
  <cols>
    <col min="1" max="1" width="15" customWidth="1"/>
  </cols>
  <sheetData>
    <row r="2" spans="1:5" ht="48" customHeight="1" thickBot="1"/>
    <row r="3" spans="1:5" ht="15.75" thickBot="1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>
      <c r="A4" s="35" t="s">
        <v>5</v>
      </c>
      <c r="B4" s="4">
        <v>437</v>
      </c>
      <c r="C4" s="4">
        <v>441</v>
      </c>
      <c r="D4" s="4">
        <v>441</v>
      </c>
      <c r="E4" s="4">
        <v>448</v>
      </c>
    </row>
    <row r="5" spans="1:5">
      <c r="A5" s="36"/>
      <c r="B5" s="4">
        <v>447</v>
      </c>
      <c r="C5" s="4">
        <v>446</v>
      </c>
      <c r="D5" s="4">
        <v>443</v>
      </c>
      <c r="E5" s="4">
        <v>450</v>
      </c>
    </row>
    <row r="6" spans="1:5">
      <c r="A6" s="36"/>
      <c r="B6" s="4">
        <v>450</v>
      </c>
      <c r="C6" s="4">
        <v>442</v>
      </c>
      <c r="D6" s="4">
        <v>448</v>
      </c>
      <c r="E6" s="4">
        <v>442</v>
      </c>
    </row>
    <row r="7" spans="1:5" ht="15.75" thickBot="1">
      <c r="A7" s="37"/>
      <c r="B7" s="5">
        <v>442</v>
      </c>
      <c r="C7" s="5">
        <v>439</v>
      </c>
      <c r="D7" s="5">
        <v>448</v>
      </c>
      <c r="E7" s="5">
        <v>444</v>
      </c>
    </row>
    <row r="8" spans="1:5" ht="15.75" thickBot="1">
      <c r="A8" s="6" t="s">
        <v>6</v>
      </c>
      <c r="B8" s="5" t="s">
        <v>7</v>
      </c>
      <c r="C8" s="5" t="s">
        <v>8</v>
      </c>
      <c r="D8" s="5" t="s">
        <v>9</v>
      </c>
      <c r="E8" s="5" t="s">
        <v>10</v>
      </c>
    </row>
    <row r="9" spans="1:5">
      <c r="A9" s="3">
        <v>445</v>
      </c>
      <c r="B9" s="4">
        <v>448</v>
      </c>
      <c r="C9" s="4">
        <v>449</v>
      </c>
      <c r="D9" s="35"/>
      <c r="E9" s="4">
        <v>437</v>
      </c>
    </row>
    <row r="10" spans="1:5">
      <c r="A10" s="3">
        <v>442</v>
      </c>
      <c r="B10" s="4">
        <v>443</v>
      </c>
      <c r="C10" s="4">
        <v>445</v>
      </c>
      <c r="D10" s="36"/>
      <c r="E10" s="4">
        <v>447</v>
      </c>
    </row>
    <row r="11" spans="1:5">
      <c r="A11" s="3">
        <v>445</v>
      </c>
      <c r="B11" s="4">
        <v>452</v>
      </c>
      <c r="C11" s="4">
        <v>439</v>
      </c>
      <c r="D11" s="36"/>
      <c r="E11" s="4">
        <v>446</v>
      </c>
    </row>
    <row r="12" spans="1:5" ht="15.75" thickBot="1">
      <c r="A12" s="6">
        <v>448</v>
      </c>
      <c r="B12" s="5">
        <v>441</v>
      </c>
      <c r="C12" s="5">
        <v>435</v>
      </c>
      <c r="D12" s="37"/>
      <c r="E12" s="5">
        <v>450</v>
      </c>
    </row>
    <row r="13" spans="1:5" ht="15.75" thickBot="1">
      <c r="A13" s="6" t="s">
        <v>11</v>
      </c>
      <c r="B13" s="5" t="s">
        <v>12</v>
      </c>
      <c r="C13" s="5" t="s">
        <v>13</v>
      </c>
      <c r="D13" s="5" t="s">
        <v>14</v>
      </c>
      <c r="E13" s="5" t="s">
        <v>15</v>
      </c>
    </row>
    <row r="14" spans="1:5">
      <c r="A14" s="3">
        <v>445</v>
      </c>
      <c r="B14" s="4">
        <v>436</v>
      </c>
      <c r="C14" s="4">
        <v>448</v>
      </c>
      <c r="D14" s="4">
        <v>444</v>
      </c>
      <c r="E14" s="4">
        <v>445</v>
      </c>
    </row>
    <row r="15" spans="1:5">
      <c r="A15" s="3">
        <v>446</v>
      </c>
      <c r="B15" s="4">
        <v>448</v>
      </c>
      <c r="C15" s="4">
        <v>446</v>
      </c>
      <c r="D15" s="4">
        <v>445</v>
      </c>
      <c r="E15" s="4">
        <v>438</v>
      </c>
    </row>
    <row r="16" spans="1:5">
      <c r="A16" s="3">
        <v>453</v>
      </c>
      <c r="B16" s="4">
        <v>440</v>
      </c>
      <c r="C16" s="4">
        <v>443</v>
      </c>
      <c r="D16" s="4">
        <v>441</v>
      </c>
      <c r="E16" s="4">
        <v>450</v>
      </c>
    </row>
    <row r="17" spans="1:5" ht="15.75" thickBot="1">
      <c r="A17" s="6">
        <v>448</v>
      </c>
      <c r="B17" s="5">
        <v>440</v>
      </c>
      <c r="C17" s="5">
        <v>447</v>
      </c>
      <c r="D17" s="5">
        <v>450</v>
      </c>
      <c r="E17" s="5">
        <v>439</v>
      </c>
    </row>
  </sheetData>
  <mergeCells count="2">
    <mergeCell ref="A4:A7"/>
    <mergeCell ref="D9:D12"/>
  </mergeCells>
  <conditionalFormatting sqref="B4:E7 A9:C12 A14:E17 E9:E12">
    <cfRule type="containsBlanks" dxfId="0" priority="4">
      <formula>LEN(TRIM(A4))=0</formula>
    </cfRule>
  </conditionalFormatting>
  <pageMargins left="0.7" right="0.7" top="0.75" bottom="0.75" header="0.3" footer="0.3"/>
  <drawing r:id="rId1"/>
  <legacyDrawing r:id="rId2"/>
  <controls>
    <control shapeId="2052" r:id="rId3" name="Choix_echantillon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52</vt:i4>
      </vt:variant>
    </vt:vector>
  </HeadingPairs>
  <TitlesOfParts>
    <vt:vector size="57" baseType="lpstr">
      <vt:lpstr>données préliminaires</vt:lpstr>
      <vt:lpstr>Test du khi²</vt:lpstr>
      <vt:lpstr>Calcul carte de contrôles</vt:lpstr>
      <vt:lpstr>Accueil</vt:lpstr>
      <vt:lpstr>données production</vt:lpstr>
      <vt:lpstr>alpha</vt:lpstr>
      <vt:lpstr>critique</vt:lpstr>
      <vt:lpstr>décision</vt:lpstr>
      <vt:lpstr>Données</vt:lpstr>
      <vt:lpstr>Données_préliminaires</vt:lpstr>
      <vt:lpstr>Données_test</vt:lpstr>
      <vt:lpstr>écart_types_échantillons</vt:lpstr>
      <vt:lpstr>Echantillon_preliminaire1</vt:lpstr>
      <vt:lpstr>Echantillon_preliminaire10</vt:lpstr>
      <vt:lpstr>Echantillon_preliminaire11</vt:lpstr>
      <vt:lpstr>Echantillon_preliminaire12</vt:lpstr>
      <vt:lpstr>Echantillon_preliminaire13</vt:lpstr>
      <vt:lpstr>Echantillon_preliminaire14</vt:lpstr>
      <vt:lpstr>Echantillon_preliminaire15</vt:lpstr>
      <vt:lpstr>Echantillon_preliminaire16</vt:lpstr>
      <vt:lpstr>Echantillon_preliminaire17</vt:lpstr>
      <vt:lpstr>Echantillon_preliminaire18</vt:lpstr>
      <vt:lpstr>Echantillon_preliminaire19</vt:lpstr>
      <vt:lpstr>Echantillon_preliminaire2</vt:lpstr>
      <vt:lpstr>Echantillon_preliminaire20</vt:lpstr>
      <vt:lpstr>Echantillon_preliminaire21</vt:lpstr>
      <vt:lpstr>Echantillon_preliminaire22</vt:lpstr>
      <vt:lpstr>Echantillon_preliminaire23</vt:lpstr>
      <vt:lpstr>Echantillon_preliminaire24</vt:lpstr>
      <vt:lpstr>Echantillon_preliminaire25</vt:lpstr>
      <vt:lpstr>Echantillon_preliminaire3</vt:lpstr>
      <vt:lpstr>Echantillon_preliminaire4</vt:lpstr>
      <vt:lpstr>Echantillon_preliminaire5</vt:lpstr>
      <vt:lpstr>Echantillon_preliminaire6</vt:lpstr>
      <vt:lpstr>Echantillon_preliminaire7</vt:lpstr>
      <vt:lpstr>Echantillon_preliminaire8</vt:lpstr>
      <vt:lpstr>Echantillon_preliminaire9</vt:lpstr>
      <vt:lpstr>k</vt:lpstr>
      <vt:lpstr>k_ch1</vt:lpstr>
      <vt:lpstr>LIC_ecarttype</vt:lpstr>
      <vt:lpstr>LIC_moyenne</vt:lpstr>
      <vt:lpstr>LIS_ecarttype</vt:lpstr>
      <vt:lpstr>LIS_moyenne</vt:lpstr>
      <vt:lpstr>LSC_ecarttype</vt:lpstr>
      <vt:lpstr>LSC_moyenne</vt:lpstr>
      <vt:lpstr>LSS_ecarttype</vt:lpstr>
      <vt:lpstr>LSS_moyenne</vt:lpstr>
      <vt:lpstr>moyenne_µ</vt:lpstr>
      <vt:lpstr>moyenne_σ</vt:lpstr>
      <vt:lpstr>moyennes_échantillons</vt:lpstr>
      <vt:lpstr>n_préliminaires</vt:lpstr>
      <vt:lpstr>nombre_échantillons</vt:lpstr>
      <vt:lpstr>S_ch1</vt:lpstr>
      <vt:lpstr>S_préliminaire</vt:lpstr>
      <vt:lpstr>Sp_préliminaire</vt:lpstr>
      <vt:lpstr>w_préliminaire</vt:lpstr>
      <vt:lpstr>X̅_préliminaire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TILLIER Martine</dc:creator>
  <cp:lastModifiedBy>Axel Buatois</cp:lastModifiedBy>
  <dcterms:created xsi:type="dcterms:W3CDTF">2016-03-30T17:32:49Z</dcterms:created>
  <dcterms:modified xsi:type="dcterms:W3CDTF">2016-05-17T09:27:45Z</dcterms:modified>
</cp:coreProperties>
</file>