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v4103\Desktop\TEST DEFAUTS TELREL\"/>
    </mc:Choice>
  </mc:AlternateContent>
  <bookViews>
    <workbookView xWindow="240" yWindow="120" windowWidth="18060" windowHeight="7050" activeTab="1"/>
  </bookViews>
  <sheets>
    <sheet name="Historique ABP par Date" sheetId="1" r:id="rId1"/>
    <sheet name="Compare" sheetId="2" r:id="rId2"/>
    <sheet name="Analyse" sheetId="4" r:id="rId3"/>
    <sheet name="Parc" sheetId="8" r:id="rId4"/>
  </sheets>
  <definedNames>
    <definedName name="_xlnm._FilterDatabase" localSheetId="0" hidden="1">'Historique ABP par Date'!$A$3:$U$10</definedName>
  </definedNames>
  <calcPr calcId="171027"/>
</workbook>
</file>

<file path=xl/calcChain.xml><?xml version="1.0" encoding="utf-8"?>
<calcChain xmlns="http://schemas.openxmlformats.org/spreadsheetml/2006/main">
  <c r="AH6" i="2" l="1"/>
  <c r="AH7" i="2"/>
  <c r="AG6" i="2"/>
  <c r="AF6" i="2"/>
  <c r="AE6" i="2"/>
  <c r="AD6" i="2"/>
  <c r="AC6" i="2"/>
  <c r="AB6" i="2"/>
  <c r="AA6" i="2"/>
  <c r="Z6" i="2"/>
  <c r="Y6" i="2"/>
  <c r="X6" i="2"/>
  <c r="X7" i="2"/>
  <c r="W6" i="2"/>
  <c r="V6" i="2"/>
  <c r="U6" i="2"/>
  <c r="U7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Q11" i="2"/>
  <c r="P11" i="2"/>
  <c r="O11" i="2"/>
  <c r="N11" i="2"/>
  <c r="M11" i="2" l="1"/>
  <c r="L11" i="2"/>
  <c r="D6" i="2"/>
  <c r="K11" i="2"/>
  <c r="J11" i="2"/>
  <c r="I11" i="2"/>
  <c r="I12" i="2"/>
  <c r="H11" i="2"/>
  <c r="G11" i="2"/>
  <c r="F11" i="2"/>
  <c r="E11" i="2"/>
  <c r="C12" i="2"/>
  <c r="D12" i="2"/>
  <c r="E12" i="2"/>
  <c r="F12" i="2"/>
  <c r="G12" i="2"/>
  <c r="H12" i="2"/>
  <c r="J12" i="2"/>
  <c r="K12" i="2"/>
  <c r="L12" i="2"/>
  <c r="M12" i="2"/>
  <c r="N12" i="2"/>
  <c r="O12" i="2"/>
  <c r="P12" i="2"/>
  <c r="Q12" i="2"/>
  <c r="B12" i="2"/>
  <c r="A12" i="2"/>
  <c r="D11" i="2"/>
  <c r="C11" i="2"/>
  <c r="B11" i="2"/>
  <c r="A11" i="2"/>
  <c r="A6" i="2" l="1"/>
  <c r="K7" i="2" l="1"/>
  <c r="L7" i="2"/>
  <c r="M7" i="2"/>
  <c r="N7" i="2"/>
  <c r="O7" i="2"/>
  <c r="P7" i="2"/>
  <c r="Q7" i="2"/>
  <c r="R7" i="2"/>
  <c r="S7" i="2"/>
  <c r="T7" i="2"/>
  <c r="V7" i="2"/>
  <c r="W7" i="2"/>
  <c r="Y7" i="2"/>
  <c r="Z7" i="2"/>
  <c r="AA7" i="2"/>
  <c r="AB7" i="2"/>
  <c r="AC7" i="2"/>
  <c r="AD7" i="2"/>
  <c r="AE7" i="2"/>
  <c r="AF7" i="2"/>
  <c r="AG7" i="2"/>
  <c r="AI7" i="2"/>
  <c r="AJ7" i="2"/>
  <c r="AK7" i="2"/>
  <c r="AL7" i="2"/>
  <c r="AM7" i="2"/>
  <c r="G7" i="2"/>
  <c r="H7" i="2"/>
  <c r="I7" i="2"/>
  <c r="J7" i="2"/>
  <c r="FT6" i="4" l="1"/>
  <c r="FT7" i="4"/>
  <c r="FT8" i="4"/>
  <c r="FT9" i="4"/>
  <c r="B7" i="2" l="1"/>
  <c r="C7" i="2"/>
  <c r="D7" i="2"/>
  <c r="E7" i="2"/>
  <c r="F7" i="2"/>
  <c r="A7" i="2"/>
  <c r="AM6" i="2" l="1"/>
  <c r="AL6" i="2"/>
  <c r="AK6" i="2"/>
  <c r="AJ6" i="2"/>
  <c r="AI6" i="2"/>
  <c r="C6" i="2"/>
  <c r="B6" i="2"/>
  <c r="FT2" i="4" l="1"/>
  <c r="FT3" i="4"/>
  <c r="FT4" i="4"/>
  <c r="FT5" i="4"/>
</calcChain>
</file>

<file path=xl/sharedStrings.xml><?xml version="1.0" encoding="utf-8"?>
<sst xmlns="http://schemas.openxmlformats.org/spreadsheetml/2006/main" count="1033" uniqueCount="527">
  <si>
    <t>Historique ABP par Date</t>
  </si>
  <si>
    <r>
      <rPr>
        <i/>
        <sz val="12"/>
        <color rgb="FF030F40"/>
        <rFont val="Tahoma"/>
        <family val="2"/>
      </rPr>
      <t>Période du 03/09/2018 au 21/10/2018</t>
    </r>
  </si>
  <si>
    <t>Nom Contractant</t>
  </si>
  <si>
    <t>Nom Agence</t>
  </si>
  <si>
    <t>Nom Contrat</t>
  </si>
  <si>
    <t>Nom Service</t>
  </si>
  <si>
    <t>Nom Ville</t>
  </si>
  <si>
    <t>Code INSEE</t>
  </si>
  <si>
    <t>Processus</t>
  </si>
  <si>
    <t>Scénario</t>
  </si>
  <si>
    <t>Primapose</t>
  </si>
  <si>
    <t>Prémonté</t>
  </si>
  <si>
    <t>Origine</t>
  </si>
  <si>
    <t>Date Traitement</t>
  </si>
  <si>
    <t>Date Demande</t>
  </si>
  <si>
    <t>Date Action Métier</t>
  </si>
  <si>
    <t>PDC</t>
  </si>
  <si>
    <t>MeterMatricule</t>
  </si>
  <si>
    <t>MeterModuleMatricule</t>
  </si>
  <si>
    <t>MeterIndex</t>
  </si>
  <si>
    <t>MeterModulePulse</t>
  </si>
  <si>
    <t>Statut</t>
  </si>
  <si>
    <t>Description</t>
  </si>
  <si>
    <t>PSO - Paris Seine Ouest</t>
  </si>
  <si>
    <t>AG SEOP</t>
  </si>
  <si>
    <t>LYONNAISE</t>
  </si>
  <si>
    <t>Non</t>
  </si>
  <si>
    <t>Oui</t>
  </si>
  <si>
    <t>Passerelle Automatique</t>
  </si>
  <si>
    <t>0</t>
  </si>
  <si>
    <t>KO</t>
  </si>
  <si>
    <t>Compteur déjà associé sur un PDS - A vérifier</t>
  </si>
  <si>
    <t>SMG SEVESC</t>
  </si>
  <si>
    <t>Cœur d'offre + AF Mixte</t>
  </si>
  <si>
    <t>Bailly</t>
  </si>
  <si>
    <t>78043</t>
  </si>
  <si>
    <t>1</t>
  </si>
  <si>
    <t>ReparamIndex</t>
  </si>
  <si>
    <t>988445878378</t>
  </si>
  <si>
    <t>C10EB013575</t>
  </si>
  <si>
    <t>11A5000901871007</t>
  </si>
  <si>
    <t>Aucune trame n'a été trouvée dans la plage horaire autorisée</t>
  </si>
  <si>
    <t>MeterChange</t>
  </si>
  <si>
    <t>Saisie Manuelle</t>
  </si>
  <si>
    <t>989450166640</t>
  </si>
  <si>
    <t>C18LA061381</t>
  </si>
  <si>
    <t>11A5001067561007</t>
  </si>
  <si>
    <t>PDS non associé - Maintenance non réalisable</t>
  </si>
  <si>
    <t>C16SD017345</t>
  </si>
  <si>
    <t>11A5000900681007</t>
  </si>
  <si>
    <t>Ce PDS n'est pas associé - Maintenance non réalisable</t>
  </si>
  <si>
    <t>11</t>
  </si>
  <si>
    <t>982447466616</t>
  </si>
  <si>
    <t>C18LA101496</t>
  </si>
  <si>
    <t>11A5001075651007</t>
  </si>
  <si>
    <t>-5</t>
  </si>
  <si>
    <t>21</t>
  </si>
  <si>
    <t>7</t>
  </si>
  <si>
    <t>ok</t>
  </si>
  <si>
    <t>1 GRAND RUE 78870 BAILLY</t>
  </si>
  <si>
    <t>Colonne1</t>
  </si>
  <si>
    <t>Agence</t>
  </si>
  <si>
    <t>SEOP</t>
  </si>
  <si>
    <t>Télérelève SEOP</t>
  </si>
  <si>
    <t>Commune</t>
  </si>
  <si>
    <t>N° base</t>
  </si>
  <si>
    <t>N° demande</t>
  </si>
  <si>
    <t>N° intervention</t>
  </si>
  <si>
    <t>Système externe demande</t>
  </si>
  <si>
    <t>Référence externe demande</t>
  </si>
  <si>
    <t>Type de demande</t>
  </si>
  <si>
    <t>Urgence demande</t>
  </si>
  <si>
    <t>Type emetteur</t>
  </si>
  <si>
    <t>Emetteur demande</t>
  </si>
  <si>
    <t>Commentaire demande</t>
  </si>
  <si>
    <t>Info passerelle</t>
  </si>
  <si>
    <t>Date demande</t>
  </si>
  <si>
    <t>Date clôture demande</t>
  </si>
  <si>
    <t>Contact</t>
  </si>
  <si>
    <t>Téléphone Contact</t>
  </si>
  <si>
    <t>Référence Client</t>
  </si>
  <si>
    <t>Client</t>
  </si>
  <si>
    <t>Téléphone Client</t>
  </si>
  <si>
    <t>Téléphone Portable Client</t>
  </si>
  <si>
    <t>Particularité client</t>
  </si>
  <si>
    <t>Adresse Redevable</t>
  </si>
  <si>
    <t>Numéro de rue</t>
  </si>
  <si>
    <t>Rue</t>
  </si>
  <si>
    <t>Complément adresse BRT</t>
  </si>
  <si>
    <t>Domanialité</t>
  </si>
  <si>
    <t>Longitude</t>
  </si>
  <si>
    <t>Latitude</t>
  </si>
  <si>
    <t>T1 Demande</t>
  </si>
  <si>
    <t>T2 Demande</t>
  </si>
  <si>
    <t>N1 Demande</t>
  </si>
  <si>
    <t>N2 Demande</t>
  </si>
  <si>
    <t>Etat intervention</t>
  </si>
  <si>
    <t>Motif annulation</t>
  </si>
  <si>
    <t>Createur intervention</t>
  </si>
  <si>
    <t>Système externe intervention</t>
  </si>
  <si>
    <t>Référence externe intervention</t>
  </si>
  <si>
    <t>Code contrat Intervention</t>
  </si>
  <si>
    <t>Contrat Intervention</t>
  </si>
  <si>
    <t>Secteur organisationnel</t>
  </si>
  <si>
    <t>Groupe</t>
  </si>
  <si>
    <t>Fiche Hors Programme</t>
  </si>
  <si>
    <t>Fiche Panier</t>
  </si>
  <si>
    <t>Code Type Intervention PREVU</t>
  </si>
  <si>
    <t>Type Intervention PREVU</t>
  </si>
  <si>
    <t>Standard Intervention PREVU</t>
  </si>
  <si>
    <t>Sélection Intervention</t>
  </si>
  <si>
    <t>Code Type Intervention</t>
  </si>
  <si>
    <t>Type intervention</t>
  </si>
  <si>
    <t>Standard Intervention</t>
  </si>
  <si>
    <t>Libellé CRT</t>
  </si>
  <si>
    <t>Libellé travaux</t>
  </si>
  <si>
    <t>Commentaire Intervention</t>
  </si>
  <si>
    <t>Code analytique</t>
  </si>
  <si>
    <t>Compte analytique</t>
  </si>
  <si>
    <t>Urgence intervention</t>
  </si>
  <si>
    <t>Engagement</t>
  </si>
  <si>
    <t>Date au plus tôt</t>
  </si>
  <si>
    <t>Date au plus tard</t>
  </si>
  <si>
    <t>Date de l'intervention</t>
  </si>
  <si>
    <t>Date RDV</t>
  </si>
  <si>
    <t>Etat du rendez-vous</t>
  </si>
  <si>
    <t>Début PREV</t>
  </si>
  <si>
    <t>Fin PREV</t>
  </si>
  <si>
    <t>Agents</t>
  </si>
  <si>
    <t>Début realisation</t>
  </si>
  <si>
    <t>Fin réalisation</t>
  </si>
  <si>
    <t>Mois réalisation</t>
  </si>
  <si>
    <t>Délai Demande Début réalisation</t>
  </si>
  <si>
    <t>Délai Demande Fin réalisation</t>
  </si>
  <si>
    <t>Date CR AMI</t>
  </si>
  <si>
    <t>Date visa</t>
  </si>
  <si>
    <t>Visa RIT</t>
  </si>
  <si>
    <t>Date clôture de l'intervention</t>
  </si>
  <si>
    <t>Date traitement BO clientèle</t>
  </si>
  <si>
    <t>NB Agents PREVUS</t>
  </si>
  <si>
    <t>NB Agents REALISE</t>
  </si>
  <si>
    <t>Charge Technique REALISE</t>
  </si>
  <si>
    <t>Charge Transport REALISE</t>
  </si>
  <si>
    <t>Commentaire Agent</t>
  </si>
  <si>
    <t>Astreinte</t>
  </si>
  <si>
    <t>Facturation</t>
  </si>
  <si>
    <t>0_Interne_1_Soustraité_2_Autre</t>
  </si>
  <si>
    <t>DQ1</t>
  </si>
  <si>
    <t>DQ2</t>
  </si>
  <si>
    <t>T1</t>
  </si>
  <si>
    <t>T2</t>
  </si>
  <si>
    <t>N1</t>
  </si>
  <si>
    <t>N2</t>
  </si>
  <si>
    <t>Nombre appareils</t>
  </si>
  <si>
    <t>Nombre app en Astreinte</t>
  </si>
  <si>
    <t>NO_CLIENT</t>
  </si>
  <si>
    <t>NO_BMT</t>
  </si>
  <si>
    <t>NO_CPT</t>
  </si>
  <si>
    <t>RG_CPT</t>
  </si>
  <si>
    <t>Diamètre compteur</t>
  </si>
  <si>
    <t>Année du compteur</t>
  </si>
  <si>
    <t>Modèle compteur</t>
  </si>
  <si>
    <t>Matricule compteur</t>
  </si>
  <si>
    <t>Localisation du compteur</t>
  </si>
  <si>
    <t>Index relève</t>
  </si>
  <si>
    <t>Date relève</t>
  </si>
  <si>
    <t>Matériau après compteur</t>
  </si>
  <si>
    <t>Type danomalie</t>
  </si>
  <si>
    <t>CPT usage</t>
  </si>
  <si>
    <t>CPT catégorie</t>
  </si>
  <si>
    <t>CPT combiné</t>
  </si>
  <si>
    <t>CPT exonération</t>
  </si>
  <si>
    <t>CPT observation</t>
  </si>
  <si>
    <t>CPT emplacement</t>
  </si>
  <si>
    <t>CPT répétiteur protection</t>
  </si>
  <si>
    <t>Matricule télérelève</t>
  </si>
  <si>
    <t>Observation télérelève</t>
  </si>
  <si>
    <t>Diamètre compteur nouveau</t>
  </si>
  <si>
    <t>Nouveau Client</t>
  </si>
  <si>
    <t>Matériau après compteur nouveau</t>
  </si>
  <si>
    <t>Matricule compteur nouveau</t>
  </si>
  <si>
    <t>Index Compteur nouveau</t>
  </si>
  <si>
    <t>CPT répétiteur protection nouveau</t>
  </si>
  <si>
    <t>Matricule télérelève nouveau</t>
  </si>
  <si>
    <t>Observation télérelève nouveau</t>
  </si>
  <si>
    <t>Index association</t>
  </si>
  <si>
    <t>Date association</t>
  </si>
  <si>
    <t>Nature accessoire</t>
  </si>
  <si>
    <t>Localisation accessoire</t>
  </si>
  <si>
    <t>Nature hydrant</t>
  </si>
  <si>
    <t>Situation</t>
  </si>
  <si>
    <t>Nature ouvrage</t>
  </si>
  <si>
    <t>Matériau branchement</t>
  </si>
  <si>
    <t>Diamètre branchement</t>
  </si>
  <si>
    <t>Longueur branchement</t>
  </si>
  <si>
    <t>Position bouche à clé</t>
  </si>
  <si>
    <t>Cause fuite branchement</t>
  </si>
  <si>
    <t>Défaillance branchement</t>
  </si>
  <si>
    <t>Méthode réparation branchement</t>
  </si>
  <si>
    <t>Matériau branchement assainissement</t>
  </si>
  <si>
    <t>Diamètre branchement assainissement</t>
  </si>
  <si>
    <t>Longueur branchement assainissement</t>
  </si>
  <si>
    <t>Asst raccordé-raccordable</t>
  </si>
  <si>
    <t>Type raccordement</t>
  </si>
  <si>
    <t>Regard façade</t>
  </si>
  <si>
    <t>Type de renouvellement</t>
  </si>
  <si>
    <t>Matériau branchement nouveau</t>
  </si>
  <si>
    <t>Diamètre branchement nouveau</t>
  </si>
  <si>
    <t>Longueur branchement nouveau</t>
  </si>
  <si>
    <t>Position bouche à clé nouveau</t>
  </si>
  <si>
    <t>Motif renouvellement</t>
  </si>
  <si>
    <t>Matériau branchement assainissement nouveau</t>
  </si>
  <si>
    <t>Diamètre branchement Assainissement nouveau</t>
  </si>
  <si>
    <t>Longueur branchement Assainissement nouveau</t>
  </si>
  <si>
    <t>Indicateur de regard de façade</t>
  </si>
  <si>
    <t>Type de raccordement</t>
  </si>
  <si>
    <t>Diamètre réseau</t>
  </si>
  <si>
    <t>Matériau réseau</t>
  </si>
  <si>
    <t>Profondeur réseau</t>
  </si>
  <si>
    <t>Cause fuite réseau</t>
  </si>
  <si>
    <t>Défaillance réseau</t>
  </si>
  <si>
    <t>Méthode réparation réseau</t>
  </si>
  <si>
    <t>Taux obstruction</t>
  </si>
  <si>
    <t>Lit de pose</t>
  </si>
  <si>
    <t>Réseaux adjacents</t>
  </si>
  <si>
    <t>Nature de réseau</t>
  </si>
  <si>
    <t>Type de réseau</t>
  </si>
  <si>
    <t>Terrassement</t>
  </si>
  <si>
    <t>Etat fouille</t>
  </si>
  <si>
    <t>Arrêt deau</t>
  </si>
  <si>
    <t>Indicateur arrêté pour voirie</t>
  </si>
  <si>
    <t>Commentaire</t>
  </si>
  <si>
    <t>Volume EAU</t>
  </si>
  <si>
    <t>Masse dépotage</t>
  </si>
  <si>
    <t>N° Point de
Service</t>
  </si>
  <si>
    <t>ODYSSEE</t>
  </si>
  <si>
    <t>PLATEFORME</t>
  </si>
  <si>
    <t>.</t>
  </si>
  <si>
    <t>Clôturée</t>
  </si>
  <si>
    <t>EAU DSP SM POUR LA GESTION DU SERVICE DES EAUX DE VERSAILLES ET ST CLOUD</t>
  </si>
  <si>
    <t>CET30</t>
  </si>
  <si>
    <t>compteur remplacer pour anomalie technique</t>
  </si>
  <si>
    <t>D [30-40]</t>
  </si>
  <si>
    <t>TOUT</t>
  </si>
  <si>
    <t>CET16</t>
  </si>
  <si>
    <t>compteur remplacer avec émetteur téléR</t>
  </si>
  <si>
    <t>D [15-20]</t>
  </si>
  <si>
    <t>Installation de télérelève</t>
  </si>
  <si>
    <t>Y306T5QA841</t>
  </si>
  <si>
    <t>TELERELEVE SEOP</t>
  </si>
  <si>
    <t>compteur eau froide</t>
  </si>
  <si>
    <t>COMPTEUR STANDARD</t>
  </si>
  <si>
    <t>NON EXONERE</t>
  </si>
  <si>
    <t>Polyéthylène H.D. (Bleu)</t>
  </si>
  <si>
    <t>Autres</t>
  </si>
  <si>
    <t>lanceur de batch</t>
  </si>
  <si>
    <t>Inconnu</t>
  </si>
  <si>
    <t>TROTTOIR - accessible</t>
  </si>
  <si>
    <t>ABSENCE D'EQUIPEMENT</t>
  </si>
  <si>
    <t>RACCORDE</t>
  </si>
  <si>
    <t>Eng.néant</t>
  </si>
  <si>
    <t>Heure 1</t>
  </si>
  <si>
    <t>JARDIN - NON accessible</t>
  </si>
  <si>
    <t>CAVE - NON accessible</t>
  </si>
  <si>
    <t xml:space="preserve"> </t>
  </si>
  <si>
    <t>FURTADO Antonio</t>
  </si>
  <si>
    <t>BAILLY</t>
  </si>
  <si>
    <t xml:space="preserve">. </t>
  </si>
  <si>
    <t>CE</t>
  </si>
  <si>
    <t>Adr. BRT : / . / ROUTE DE FONTENAY / 78870 / BAILLY / CET16</t>
  </si>
  <si>
    <t>ROUTE DE FONTENAY</t>
  </si>
  <si>
    <t>CET10</t>
  </si>
  <si>
    <t>émetteur téléR poser (sans compteur)</t>
  </si>
  <si>
    <t>A l'unité</t>
  </si>
  <si>
    <t>Honoré</t>
  </si>
  <si>
    <t>CS</t>
  </si>
  <si>
    <t>PVC</t>
  </si>
  <si>
    <t>Technique Eau</t>
  </si>
  <si>
    <t>DA</t>
  </si>
  <si>
    <t>CONSO NEGATIVE</t>
  </si>
  <si>
    <t>sw</t>
  </si>
  <si>
    <t>SILVIA WURTZ</t>
  </si>
  <si>
    <t>JARRIGE Sullivan</t>
  </si>
  <si>
    <t>Y306T5QB807</t>
  </si>
  <si>
    <t>DRAME Cheick EPS</t>
  </si>
  <si>
    <t>01 REGARD BORNE SETHA / 2510</t>
  </si>
  <si>
    <t>CAMPAGNE_22012018_BAILLY</t>
  </si>
  <si>
    <t>PONTALIE</t>
  </si>
  <si>
    <t>+33(0)614723723</t>
  </si>
  <si>
    <t xml:space="preserve">ROUTE DE FONTENAY MR DUCLOZ ALAIN BAILLY 78870 </t>
  </si>
  <si>
    <t xml:space="preserve">MR DUCLOZ ALAIN </t>
  </si>
  <si>
    <t xml:space="preserve">DRAME Cheick EPS - 30/01/18 : Pas de signal malgré plusieurs tentatives. </t>
  </si>
  <si>
    <t>DG</t>
  </si>
  <si>
    <t>D07GD025704</t>
  </si>
  <si>
    <t>1300006862</t>
  </si>
  <si>
    <t>C16SD017345ARGQ</t>
  </si>
  <si>
    <t>CAMPAGNE_23012018_BAILLY</t>
  </si>
  <si>
    <t>Adr. BRT : / 21 / RUE DE LA CROIX BLANCHE / 78870 / BAILLY / CET10</t>
  </si>
  <si>
    <t>VETTU  LUCIENNE</t>
  </si>
  <si>
    <t>+33(0)664169702</t>
  </si>
  <si>
    <t>+33(0)130800543</t>
  </si>
  <si>
    <t xml:space="preserve">21T RUE DE LA CROIX BLANCHE BAILLY 78870 </t>
  </si>
  <si>
    <t>RUE DE LA CROIX BLANCHE</t>
  </si>
  <si>
    <t>13h15h</t>
  </si>
  <si>
    <t xml:space="preserve">DRAME Cheick EPS - 02/02/18 : Qualité du signal 9/10 </t>
  </si>
  <si>
    <t>01 REGARD / 2510004305023802</t>
  </si>
  <si>
    <t>01 REGARD COMPACT TROTT / 25</t>
  </si>
  <si>
    <t>RABAH MATOUK</t>
  </si>
  <si>
    <t>CL</t>
  </si>
  <si>
    <t>3/10h-12h</t>
  </si>
  <si>
    <t>GRAND RUE</t>
  </si>
  <si>
    <t>CET12</t>
  </si>
  <si>
    <t>émetteur téléR reparamétrer</t>
  </si>
  <si>
    <t>Réparation de télérelève</t>
  </si>
  <si>
    <t>CEO06</t>
  </si>
  <si>
    <t>compteur avec émetteur téléR enquêter</t>
  </si>
  <si>
    <t>enquête simple</t>
  </si>
  <si>
    <t>YOUSSOUF Ali</t>
  </si>
  <si>
    <t>CAMP2_31052018_BAILLY</t>
  </si>
  <si>
    <t>Adr. BRT : / 1 / GRAND RUE / 78870 / BAILLY / CET16</t>
  </si>
  <si>
    <t>ALIBAY  GANDJEE</t>
  </si>
  <si>
    <t>+33(0)652808777</t>
  </si>
  <si>
    <t>+33(0)134629801</t>
  </si>
  <si>
    <t xml:space="preserve">YOUSSOUF Ali - 11/06/18 : Compteur et émetteur changé et posé signal 10 /10 </t>
  </si>
  <si>
    <t>D05AA027372</t>
  </si>
  <si>
    <t>Adr. BRT : / 11 / GRAND RUE / 78870 / BAILLY / CET16</t>
  </si>
  <si>
    <t>ROCH  FRANCOIS</t>
  </si>
  <si>
    <t>+33(0)781754846</t>
  </si>
  <si>
    <t xml:space="preserve">DRAME Cheick EPS - 11/06/18 : Malgré plusieurs tentatives de trame aucun signal </t>
  </si>
  <si>
    <t>D05AA027378</t>
  </si>
  <si>
    <t>02 CAVE / 2510004305008001</t>
  </si>
  <si>
    <t>11A5001075851007</t>
  </si>
  <si>
    <t>Adr. BRT : / 21 T / RUE DE LA CROIX BLANCHE / 78870 / BAILLY / CEO06</t>
  </si>
  <si>
    <t>21 T</t>
  </si>
  <si>
    <t>RDV 8h 10h</t>
  </si>
  <si>
    <t xml:space="preserve"> RDV le 21/9/18 entre 8 h et 10 h - Port 06 62 37 05 43 (cliente contactée le 18/9/18 CM) // NOUS SIGNALE PROBLEME DE TELEREVELE // UN TECHNICIEN EST VENU POSER SA TELERELEVE LE 09 03 2018 MAIS ELLE NE FONCTIONNE PAS // AUCUN INDEX DANS ODYSSEE DEPUIS LE MOIS DE MARS TEL MR :+33 (0)6 64 16 97 02 OU TEL DE MME 06 62 37 05 43 // MERCI DE RECONTACTER CLIENT SVP CAR PAS DE JETONS ET CE DERNIER NOUS RELANCE CAR SA DEMANDE DATE DE 2 SEMAINES.</t>
  </si>
  <si>
    <t xml:space="preserve">FURTADO Antonio - 21/09/18 : Depose et repose de la tête emitrice qualité signal 5. </t>
  </si>
  <si>
    <t>Adr. BRT : / 1 / GRAND RUE / 78870 / BAILLY / CET30</t>
  </si>
  <si>
    <t xml:space="preserve"> RDV le 21/9/18 à partir de 13 h 00 (pendant horaires de fermeture de la pharmacie - SREL : CTR A L ENVERS (cliente contactée le 18/9/18 CM)</t>
  </si>
  <si>
    <t xml:space="preserve">JARRIGE Sullivan - 21/09/18 : Compteur remis à l endroit Photo de l ancien compteur prise </t>
  </si>
  <si>
    <t>C18LA101496ADDQ</t>
  </si>
  <si>
    <t>Adr. BRT : / . / ROUTE DE FONTENAY / 78870 / BAILLY / CEO06</t>
  </si>
  <si>
    <t>A affecter à Antonio FURTADO le 18/09/2018 ENTRE 13h30 ET 16H30. test trame signal</t>
  </si>
  <si>
    <t xml:space="preserve">FURTADO Antonio - 18/09/18 : Qualité signal 10Protocole radio 2G / Module bien fixé </t>
  </si>
  <si>
    <t>Adr. BRT : / 11 / GRAND RUE / 78870 / BAILLY / CEO06</t>
  </si>
  <si>
    <t>ROCHE  FRANCOIS</t>
  </si>
  <si>
    <t>A affecter à Antonio FURTADO le 18/09/2018 ENTRE 13h30 ET 16H30. Vérifier bon numéro du compteur et de la tête émettrice  puis faire trame signal</t>
  </si>
  <si>
    <t xml:space="preserve">FURTADO Antonio - 18/09/18 : L ancien cr été déjà changé c est pour çà que je n a pas l index de déposé. Qualité signal aucune trame. </t>
  </si>
  <si>
    <t>C18LA061381ADDQ</t>
  </si>
  <si>
    <t>Recherche :</t>
  </si>
  <si>
    <t>987027979032</t>
  </si>
  <si>
    <t>Column173</t>
  </si>
  <si>
    <t>Column174</t>
  </si>
  <si>
    <r>
      <rPr>
        <b/>
        <sz val="10"/>
        <color rgb="FF000000"/>
        <rFont val="Arial"/>
        <family val="2"/>
      </rPr>
      <t>Numéro de rue</t>
    </r>
  </si>
  <si>
    <r>
      <rPr>
        <b/>
        <sz val="10"/>
        <color rgb="FF000000"/>
        <rFont val="Arial"/>
        <family val="2"/>
      </rPr>
      <t>Rue</t>
    </r>
  </si>
  <si>
    <r>
      <rPr>
        <b/>
        <sz val="10"/>
        <color rgb="FF000000"/>
        <rFont val="Arial"/>
        <family val="2"/>
      </rPr>
      <t>Complément adresse BRT</t>
    </r>
  </si>
  <si>
    <r>
      <rPr>
        <b/>
        <sz val="10"/>
        <color rgb="FF000000"/>
        <rFont val="Arial"/>
        <family val="2"/>
      </rPr>
      <t>Commune</t>
    </r>
  </si>
  <si>
    <r>
      <rPr>
        <b/>
        <sz val="10"/>
        <color rgb="FF000000"/>
        <rFont val="Arial"/>
        <family val="2"/>
      </rPr>
      <t>Etat intervention</t>
    </r>
  </si>
  <si>
    <r>
      <rPr>
        <b/>
        <sz val="10"/>
        <color rgb="FF000000"/>
        <rFont val="Arial"/>
        <family val="2"/>
      </rPr>
      <t>Secteur organisationnel</t>
    </r>
  </si>
  <si>
    <r>
      <rPr>
        <b/>
        <sz val="10"/>
        <color rgb="FF000000"/>
        <rFont val="Arial"/>
        <family val="2"/>
      </rPr>
      <t>Code Type Intervention PREVU</t>
    </r>
  </si>
  <si>
    <r>
      <rPr>
        <b/>
        <sz val="10"/>
        <color rgb="FF000000"/>
        <rFont val="Arial"/>
        <family val="2"/>
      </rPr>
      <t>Type Intervention PREVU</t>
    </r>
  </si>
  <si>
    <r>
      <rPr>
        <b/>
        <sz val="10"/>
        <color rgb="FF000000"/>
        <rFont val="Arial"/>
        <family val="2"/>
      </rPr>
      <t>Standard Intervention PREVU</t>
    </r>
  </si>
  <si>
    <r>
      <rPr>
        <b/>
        <sz val="10"/>
        <color rgb="FF000000"/>
        <rFont val="Arial"/>
        <family val="2"/>
      </rPr>
      <t>Code Type Intervention</t>
    </r>
  </si>
  <si>
    <r>
      <rPr>
        <b/>
        <sz val="10"/>
        <color rgb="FF000000"/>
        <rFont val="Arial"/>
        <family val="2"/>
      </rPr>
      <t>Type intervention</t>
    </r>
  </si>
  <si>
    <r>
      <rPr>
        <b/>
        <sz val="10"/>
        <color rgb="FF000000"/>
        <rFont val="Arial"/>
        <family val="2"/>
      </rPr>
      <t>Standard Intervention</t>
    </r>
  </si>
  <si>
    <r>
      <rPr>
        <b/>
        <sz val="10"/>
        <color rgb="FF000000"/>
        <rFont val="Arial"/>
        <family val="2"/>
      </rPr>
      <t>Agents</t>
    </r>
  </si>
  <si>
    <r>
      <rPr>
        <b/>
        <sz val="10"/>
        <color rgb="FF000000"/>
        <rFont val="Arial"/>
        <family val="2"/>
      </rPr>
      <t>Fin réalisation</t>
    </r>
  </si>
  <si>
    <r>
      <rPr>
        <b/>
        <sz val="10"/>
        <color rgb="FF000000"/>
        <rFont val="Arial"/>
        <family val="2"/>
      </rPr>
      <t>Date CR AMI</t>
    </r>
  </si>
  <si>
    <r>
      <rPr>
        <b/>
        <sz val="10"/>
        <color rgb="FF000000"/>
        <rFont val="Arial"/>
        <family val="2"/>
      </rPr>
      <t>Date visa</t>
    </r>
  </si>
  <si>
    <r>
      <rPr>
        <b/>
        <sz val="10"/>
        <color rgb="FF000000"/>
        <rFont val="Arial"/>
        <family val="2"/>
      </rPr>
      <t>Date clôture de l'intervention</t>
    </r>
  </si>
  <si>
    <r>
      <rPr>
        <b/>
        <sz val="10"/>
        <color rgb="FF000000"/>
        <rFont val="Arial"/>
        <family val="2"/>
      </rPr>
      <t>Commentaire Agent</t>
    </r>
  </si>
  <si>
    <r>
      <rPr>
        <b/>
        <sz val="10"/>
        <color rgb="FF000000"/>
        <rFont val="Arial"/>
        <family val="2"/>
      </rPr>
      <t>Diamètre compteur</t>
    </r>
  </si>
  <si>
    <r>
      <rPr>
        <b/>
        <sz val="10"/>
        <color rgb="FF000000"/>
        <rFont val="Arial"/>
        <family val="2"/>
      </rPr>
      <t>Année du compteur</t>
    </r>
  </si>
  <si>
    <r>
      <rPr>
        <b/>
        <sz val="10"/>
        <color rgb="FF000000"/>
        <rFont val="Arial"/>
        <family val="2"/>
      </rPr>
      <t>Modèle compteur</t>
    </r>
  </si>
  <si>
    <r>
      <rPr>
        <b/>
        <sz val="10"/>
        <color rgb="FF000000"/>
        <rFont val="Arial"/>
        <family val="2"/>
      </rPr>
      <t>Matricule compteur</t>
    </r>
  </si>
  <si>
    <r>
      <rPr>
        <b/>
        <sz val="10"/>
        <color rgb="FF000000"/>
        <rFont val="Arial"/>
        <family val="2"/>
      </rPr>
      <t>Localisation du compteur</t>
    </r>
  </si>
  <si>
    <r>
      <rPr>
        <b/>
        <sz val="10"/>
        <color rgb="FF000000"/>
        <rFont val="Arial"/>
        <family val="2"/>
      </rPr>
      <t>Index relève</t>
    </r>
  </si>
  <si>
    <r>
      <rPr>
        <b/>
        <sz val="10"/>
        <color rgb="FF000000"/>
        <rFont val="Arial"/>
        <family val="2"/>
      </rPr>
      <t>Date relève</t>
    </r>
  </si>
  <si>
    <r>
      <rPr>
        <b/>
        <sz val="10"/>
        <color rgb="FF000000"/>
        <rFont val="Arial"/>
        <family val="2"/>
      </rPr>
      <t>CPT emplacement</t>
    </r>
  </si>
  <si>
    <r>
      <rPr>
        <b/>
        <sz val="10"/>
        <color rgb="FF000000"/>
        <rFont val="Arial"/>
        <family val="2"/>
      </rPr>
      <t>Matricule télérelève</t>
    </r>
  </si>
  <si>
    <r>
      <rPr>
        <b/>
        <sz val="10"/>
        <color rgb="FF000000"/>
        <rFont val="Arial"/>
        <family val="2"/>
      </rPr>
      <t>Observation télérelève</t>
    </r>
  </si>
  <si>
    <r>
      <rPr>
        <b/>
        <sz val="10"/>
        <color rgb="FF000000"/>
        <rFont val="Arial"/>
        <family val="2"/>
      </rPr>
      <t>Diamètre compteur nouveau</t>
    </r>
  </si>
  <si>
    <r>
      <rPr>
        <b/>
        <sz val="10"/>
        <color rgb="FF000000"/>
        <rFont val="Arial"/>
        <family val="2"/>
      </rPr>
      <t>Matricule compteur nouveau</t>
    </r>
  </si>
  <si>
    <r>
      <rPr>
        <b/>
        <sz val="10"/>
        <color rgb="FF000000"/>
        <rFont val="Arial"/>
        <family val="2"/>
      </rPr>
      <t>Index Compteur nouveau</t>
    </r>
  </si>
  <si>
    <r>
      <rPr>
        <b/>
        <sz val="10"/>
        <color rgb="FF000000"/>
        <rFont val="Arial"/>
        <family val="2"/>
      </rPr>
      <t>Matricule télérelève nouveau</t>
    </r>
  </si>
  <si>
    <r>
      <rPr>
        <b/>
        <sz val="10"/>
        <color rgb="FF000000"/>
        <rFont val="Arial"/>
        <family val="2"/>
      </rPr>
      <t>Observation télérelève nouveau</t>
    </r>
  </si>
  <si>
    <r>
      <rPr>
        <b/>
        <sz val="10"/>
        <color rgb="FF000000"/>
        <rFont val="Arial"/>
        <family val="2"/>
      </rPr>
      <t>Index association</t>
    </r>
  </si>
  <si>
    <r>
      <rPr>
        <b/>
        <sz val="10"/>
        <color rgb="FF000000"/>
        <rFont val="Arial"/>
        <family val="2"/>
      </rPr>
      <t>Date association</t>
    </r>
  </si>
  <si>
    <t>PB</t>
  </si>
  <si>
    <t>CONTRAT_RATTACHEMENT</t>
  </si>
  <si>
    <t>COMMUNE</t>
  </si>
  <si>
    <t>CODE_CYCLE_SERVICE</t>
  </si>
  <si>
    <t>LIBELLE_CYCLE_SERVICE</t>
  </si>
  <si>
    <t>CODE_TOURNEE</t>
  </si>
  <si>
    <t>LIBELLE_TOURNEE_SERVICE</t>
  </si>
  <si>
    <t>TOURNEE_OPALE</t>
  </si>
  <si>
    <t>SEQ_TOURNEE</t>
  </si>
  <si>
    <t>ID_COMPTEUR</t>
  </si>
  <si>
    <t>NUMERO_BADGE</t>
  </si>
  <si>
    <t>NUMERO_SERIE</t>
  </si>
  <si>
    <t>FABRICANT</t>
  </si>
  <si>
    <t>MODELE</t>
  </si>
  <si>
    <t>DIAMETRE</t>
  </si>
  <si>
    <t>ANNEE_FABRICATION</t>
  </si>
  <si>
    <t>SOLUTION_COMPACTE</t>
  </si>
  <si>
    <t>SOLUTION_DEPORTEE</t>
  </si>
  <si>
    <t>PASSERELLE_SITE_ISOLE</t>
  </si>
  <si>
    <t>DATE_RECEPTION</t>
  </si>
  <si>
    <t>DATE_DEPOSE</t>
  </si>
  <si>
    <t>MATRICULE_EQUIPEMENT</t>
  </si>
  <si>
    <t>ACCESSIBLE</t>
  </si>
  <si>
    <t>CODE_EMPLACEMENT</t>
  </si>
  <si>
    <t>LIBELLE_EMPLACEMENT</t>
  </si>
  <si>
    <t>DETAILS_EMPLACEMENTS</t>
  </si>
  <si>
    <t>ID_PDS</t>
  </si>
  <si>
    <t>DATE_MISE_EN_SERVICE_PDS</t>
  </si>
  <si>
    <t>ETAT_PDS</t>
  </si>
  <si>
    <t>DT_SUPPRESSION_PDS</t>
  </si>
  <si>
    <t>ETAT_SOURCE_PDS</t>
  </si>
  <si>
    <t>MOTIF_FERMETURE_BRANCHEMENT</t>
  </si>
  <si>
    <t>REFERENCE_EXTERNE_PDS</t>
  </si>
  <si>
    <t>LOGEMENT_VACANT</t>
  </si>
  <si>
    <t>GEN_DIV</t>
  </si>
  <si>
    <t>RACCORDE_RACORDABLE</t>
  </si>
  <si>
    <t>DATE_RACCORDABILITE</t>
  </si>
  <si>
    <t>USAGE</t>
  </si>
  <si>
    <t>FLUIDE</t>
  </si>
  <si>
    <t>MAT_BRANCH_AV_COMPT</t>
  </si>
  <si>
    <t>MAT_AP_COMPT</t>
  </si>
  <si>
    <t>CALIBRE_BRANCHEMENT</t>
  </si>
  <si>
    <t>MODE_DE_RELEVE</t>
  </si>
  <si>
    <t>BRANCHEMENT_FICTIF</t>
  </si>
  <si>
    <t>ID_SITE</t>
  </si>
  <si>
    <t>FORAGE</t>
  </si>
  <si>
    <t>NUM_VOIE_SITE</t>
  </si>
  <si>
    <t>NOM_VOIE_SITE</t>
  </si>
  <si>
    <t>ADRESSE2_SITE</t>
  </si>
  <si>
    <t>ADRESSE3_SITE</t>
  </si>
  <si>
    <t>ADRESSE4_SITE</t>
  </si>
  <si>
    <t>COMMUNE_SITE</t>
  </si>
  <si>
    <t>CODE_INSEE_SITE</t>
  </si>
  <si>
    <t>CODE_POSTAL_SITE</t>
  </si>
  <si>
    <t>ANC_A_FACTURER</t>
  </si>
  <si>
    <t>BASSINS_VERSANTS</t>
  </si>
  <si>
    <t>NOMBRE_UL</t>
  </si>
  <si>
    <t>ID_COMPTE_CLIENT</t>
  </si>
  <si>
    <t>ANCIENNE_REF_CLIENT</t>
  </si>
  <si>
    <t>CIVILITE</t>
  </si>
  <si>
    <t>NOM_COMPLET</t>
  </si>
  <si>
    <t>MENSUALISE</t>
  </si>
  <si>
    <t>CLASSE_CLIENT</t>
  </si>
  <si>
    <t>TEL_BUREAU</t>
  </si>
  <si>
    <t>TEL_DOMICILE</t>
  </si>
  <si>
    <t>TEL_MOBILE</t>
  </si>
  <si>
    <t>ADRESSE_EMAIL</t>
  </si>
  <si>
    <t>ADRESSE1_CLIENT</t>
  </si>
  <si>
    <t>ADRESSE2_CLIENT</t>
  </si>
  <si>
    <t>ADRESSE3_CLIENT</t>
  </si>
  <si>
    <t>ADRESSE4_CLIENT</t>
  </si>
  <si>
    <t>COMMUNE_CLIENT</t>
  </si>
  <si>
    <t>CODE_INSEE_CLIENT</t>
  </si>
  <si>
    <t>CODE_POSTAL_CLIENT</t>
  </si>
  <si>
    <t>CMJ</t>
  </si>
  <si>
    <t>DATE_DERNIERE_RELEVE</t>
  </si>
  <si>
    <t>TYPE_RELEVE</t>
  </si>
  <si>
    <t>INDEX_DERNIERE_RELEVE</t>
  </si>
  <si>
    <t>CODE_REM1</t>
  </si>
  <si>
    <t>CODE_REM2</t>
  </si>
  <si>
    <t>CODE_REM3</t>
  </si>
  <si>
    <t>CODE_REM4</t>
  </si>
  <si>
    <t>PB 52 SEOP</t>
  </si>
  <si>
    <t>SM POUR LA GESTION DU SERVICE DES EAUX DE VERSAILL - 17930</t>
  </si>
  <si>
    <t>A76P</t>
  </si>
  <si>
    <t xml:space="preserve"> BAILLY (lot: 1) Semestriel</t>
  </si>
  <si>
    <t xml:space="preserve">A76P    </t>
  </si>
  <si>
    <t>SAPPEL</t>
  </si>
  <si>
    <t>Altaïr V4 composite MID</t>
  </si>
  <si>
    <t xml:space="preserve">AT  </t>
  </si>
  <si>
    <t>Trottoir - Accessible</t>
  </si>
  <si>
    <t>En service</t>
  </si>
  <si>
    <t>Ouvert</t>
  </si>
  <si>
    <t>Normal</t>
  </si>
  <si>
    <t>Raccordable raccordé</t>
  </si>
  <si>
    <t>Eau Froide</t>
  </si>
  <si>
    <t>Télé-Relevé</t>
  </si>
  <si>
    <t>NON</t>
  </si>
  <si>
    <t>Particulier</t>
  </si>
  <si>
    <t>Estimation système</t>
  </si>
  <si>
    <t>Polyéthylène bandes bleues</t>
  </si>
  <si>
    <t xml:space="preserve">MME             </t>
  </si>
  <si>
    <t>OUI</t>
  </si>
  <si>
    <t xml:space="preserve">NJ  </t>
  </si>
  <si>
    <t>Jardin - Non accessible</t>
  </si>
  <si>
    <t xml:space="preserve">MME M           </t>
  </si>
  <si>
    <t xml:space="preserve">NC  </t>
  </si>
  <si>
    <t>Cave - Non accessible</t>
  </si>
  <si>
    <t>01 REGARD   COMPACT TROTT / 25</t>
  </si>
  <si>
    <t>SCHLUMBERGER / ACTARIS / ITRON</t>
  </si>
  <si>
    <t>Altair V3</t>
  </si>
  <si>
    <t>AQUADIS/AQUACO (Totalisateur TSN) EF/EC Aquadis Tot.TVM</t>
  </si>
  <si>
    <t>Professionnel</t>
  </si>
  <si>
    <t>ALIBAY, GANDJEE</t>
  </si>
  <si>
    <t>+33 (0)1 34 62 98 01</t>
  </si>
  <si>
    <t>+33 (0)6 52 80 87 77</t>
  </si>
  <si>
    <t>pharmaciedebailly78870@gmail.com</t>
  </si>
  <si>
    <t>Altaïr V3 et V4Ti</t>
  </si>
  <si>
    <t xml:space="preserve">SCI             </t>
  </si>
  <si>
    <t>01 REGARD   BORNE SETHA / 2510</t>
  </si>
  <si>
    <t>C7800029500</t>
  </si>
  <si>
    <t>+33 (0)6 14 72 37 23</t>
  </si>
  <si>
    <t>alainduclozceris@aol.com</t>
  </si>
  <si>
    <t>MR DUCLOZ ALAIN</t>
  </si>
  <si>
    <t>C7800024200</t>
  </si>
  <si>
    <t>VETTU, LUCIENNE</t>
  </si>
  <si>
    <t>+33 (0)1 30 80 05 43</t>
  </si>
  <si>
    <t>+33 (0)6 64 16 97 02</t>
  </si>
  <si>
    <t>lucienne.vettu@orange.fr</t>
  </si>
  <si>
    <t>21T RUE DE LA CROIX BLANCHE</t>
  </si>
  <si>
    <t>ROCHE, FRANCOIS</t>
  </si>
  <si>
    <t>+33 (0)7 81 75 48 46</t>
  </si>
  <si>
    <t>rochar1@free.fr</t>
  </si>
  <si>
    <t>Column4</t>
  </si>
  <si>
    <t>Column29</t>
  </si>
  <si>
    <t>7027979032</t>
  </si>
  <si>
    <t>8445878378</t>
  </si>
  <si>
    <t>2447466616</t>
  </si>
  <si>
    <t>9450166640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</si>
</sst>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C]dd/mm/yyyy\ hh:mm:ss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20"/>
      <color rgb="FF030F40"/>
      <name val="Tahoma"/>
      <family val="2"/>
    </font>
    <font>
      <i/>
      <sz val="12"/>
      <color rgb="FF030F40"/>
      <name val="Tahoma"/>
      <family val="2"/>
    </font>
    <font>
      <b/>
      <sz val="11"/>
      <color rgb="FFFFFFFF"/>
      <name val="Tahoma"/>
      <family val="2"/>
    </font>
    <font>
      <sz val="10"/>
      <color rgb="FF000000"/>
      <name val="Tahoma"/>
      <family val="2"/>
    </font>
    <font>
      <sz val="11"/>
      <color rgb="FF9C0006"/>
      <name val="Calibri"/>
      <family val="2"/>
      <scheme val="minor"/>
    </font>
    <font>
      <sz val="9"/>
      <color rgb="FF787878"/>
      <name val="DINCondPro-Lgt"/>
    </font>
    <font>
      <sz val="11"/>
      <name val="Calibri"/>
      <family val="2"/>
    </font>
    <font>
      <b/>
      <sz val="11"/>
      <color theme="0"/>
      <name val="Calibri"/>
      <family val="2"/>
    </font>
    <font>
      <b/>
      <sz val="10"/>
      <color rgb="FF000000"/>
      <name val="Arial"/>
      <family val="2"/>
    </font>
    <font>
      <b/>
      <sz val="14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30F40"/>
        <bgColor rgb="FF030F40"/>
      </patternFill>
    </fill>
    <fill>
      <patternFill patternType="solid">
        <fgColor rgb="FF6495ED"/>
        <bgColor rgb="FF6495ED"/>
      </patternFill>
    </fill>
    <fill>
      <patternFill patternType="solid">
        <fgColor rgb="FF92D050"/>
        <bgColor rgb="FF6495ED"/>
      </patternFill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D3D3D3"/>
        <bgColor rgb="FFD3D3D3"/>
      </patternFill>
    </fill>
    <fill>
      <patternFill patternType="solid">
        <fgColor rgb="FFFFFF00"/>
        <bgColor theme="9" tint="0.79998168889431442"/>
      </patternFill>
    </fill>
    <fill>
      <patternFill patternType="solid">
        <fgColor theme="8"/>
        <bgColor theme="8"/>
      </patternFill>
    </fill>
  </fills>
  <borders count="8">
    <border>
      <left/>
      <right/>
      <top/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2">
    <xf numFmtId="0" fontId="0" fillId="0" borderId="0"/>
    <xf numFmtId="0" fontId="6" fillId="6" borderId="0" applyNumberFormat="0" applyBorder="0" applyAlignment="0" applyProtection="0"/>
  </cellStyleXfs>
  <cellXfs count="51">
    <xf numFmtId="0" fontId="1" fillId="0" borderId="0" xfId="0" applyFont="1" applyFill="1" applyBorder="1"/>
    <xf numFmtId="0" fontId="4" fillId="2" borderId="1" xfId="0" applyNumberFormat="1" applyFont="1" applyFill="1" applyBorder="1" applyAlignment="1">
      <alignment vertical="top" wrapText="1" readingOrder="1"/>
    </xf>
    <xf numFmtId="0" fontId="4" fillId="2" borderId="1" xfId="0" applyNumberFormat="1" applyFont="1" applyFill="1" applyBorder="1" applyAlignment="1">
      <alignment horizontal="right" vertical="top" wrapText="1" readingOrder="1"/>
    </xf>
    <xf numFmtId="0" fontId="5" fillId="3" borderId="1" xfId="0" applyNumberFormat="1" applyFont="1" applyFill="1" applyBorder="1" applyAlignment="1">
      <alignment vertical="top" wrapText="1" readingOrder="1"/>
    </xf>
    <xf numFmtId="164" fontId="5" fillId="3" borderId="1" xfId="0" applyNumberFormat="1" applyFont="1" applyFill="1" applyBorder="1" applyAlignment="1">
      <alignment vertical="top" wrapText="1" readingOrder="1"/>
    </xf>
    <xf numFmtId="0" fontId="5" fillId="3" borderId="1" xfId="0" applyNumberFormat="1" applyFont="1" applyFill="1" applyBorder="1" applyAlignment="1">
      <alignment vertical="top" wrapText="1" readingOrder="1"/>
    </xf>
    <xf numFmtId="0" fontId="5" fillId="4" borderId="1" xfId="0" applyNumberFormat="1" applyFont="1" applyFill="1" applyBorder="1" applyAlignment="1">
      <alignment vertical="top" wrapText="1" readingOrder="1"/>
    </xf>
    <xf numFmtId="164" fontId="5" fillId="4" borderId="1" xfId="0" applyNumberFormat="1" applyFont="1" applyFill="1" applyBorder="1" applyAlignment="1">
      <alignment vertical="top" wrapText="1" readingOrder="1"/>
    </xf>
    <xf numFmtId="0" fontId="1" fillId="5" borderId="0" xfId="0" applyFont="1" applyFill="1" applyBorder="1"/>
    <xf numFmtId="0" fontId="6" fillId="6" borderId="1" xfId="1" applyNumberFormat="1" applyBorder="1" applyAlignment="1">
      <alignment vertical="top" wrapText="1" readingOrder="1"/>
    </xf>
    <xf numFmtId="164" fontId="6" fillId="6" borderId="1" xfId="1" applyNumberFormat="1" applyBorder="1" applyAlignment="1">
      <alignment vertical="top" wrapText="1" readingOrder="1"/>
    </xf>
    <xf numFmtId="0" fontId="7" fillId="0" borderId="0" xfId="0" applyFont="1" applyFill="1" applyBorder="1" applyAlignment="1">
      <alignment vertical="center" wrapText="1"/>
    </xf>
    <xf numFmtId="0" fontId="6" fillId="6" borderId="0" xfId="1" applyBorder="1" applyAlignment="1">
      <alignment vertical="center" wrapText="1"/>
    </xf>
    <xf numFmtId="1" fontId="5" fillId="3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1" fillId="0" borderId="0" xfId="0" applyNumberFormat="1" applyFont="1" applyFill="1" applyBorder="1"/>
    <xf numFmtId="0" fontId="1" fillId="0" borderId="0" xfId="0" applyNumberFormat="1" applyFont="1" applyFill="1" applyBorder="1" applyAlignment="1">
      <alignment wrapText="1"/>
    </xf>
    <xf numFmtId="22" fontId="1" fillId="0" borderId="0" xfId="0" applyNumberFormat="1" applyFont="1" applyFill="1" applyBorder="1"/>
    <xf numFmtId="1" fontId="1" fillId="0" borderId="0" xfId="0" applyNumberFormat="1" applyFont="1" applyFill="1" applyBorder="1"/>
    <xf numFmtId="0" fontId="9" fillId="7" borderId="5" xfId="0" applyFont="1" applyFill="1" applyBorder="1"/>
    <xf numFmtId="0" fontId="8" fillId="8" borderId="5" xfId="0" applyFont="1" applyFill="1" applyBorder="1"/>
    <xf numFmtId="0" fontId="8" fillId="0" borderId="5" xfId="0" applyFont="1" applyBorder="1"/>
    <xf numFmtId="0" fontId="1" fillId="0" borderId="4" xfId="0" applyNumberFormat="1" applyFont="1" applyFill="1" applyBorder="1"/>
    <xf numFmtId="0" fontId="1" fillId="0" borderId="3" xfId="0" applyNumberFormat="1" applyFont="1" applyFill="1" applyBorder="1"/>
    <xf numFmtId="0" fontId="1" fillId="0" borderId="4" xfId="0" applyNumberFormat="1" applyFont="1" applyFill="1" applyBorder="1" applyAlignment="1">
      <alignment wrapText="1"/>
    </xf>
    <xf numFmtId="1" fontId="4" fillId="2" borderId="1" xfId="0" applyNumberFormat="1" applyFont="1" applyFill="1" applyBorder="1" applyAlignment="1">
      <alignment horizontal="left" vertical="top" wrapText="1" readingOrder="1"/>
    </xf>
    <xf numFmtId="1" fontId="6" fillId="6" borderId="1" xfId="1" applyNumberFormat="1" applyBorder="1" applyAlignment="1">
      <alignment vertical="top" wrapText="1" readingOrder="1"/>
    </xf>
    <xf numFmtId="1" fontId="5" fillId="4" borderId="1" xfId="0" applyNumberFormat="1" applyFont="1" applyFill="1" applyBorder="1" applyAlignment="1">
      <alignment vertical="top" wrapText="1" readingOrder="1"/>
    </xf>
    <xf numFmtId="14" fontId="1" fillId="0" borderId="0" xfId="0" applyNumberFormat="1" applyFont="1" applyFill="1" applyBorder="1"/>
    <xf numFmtId="0" fontId="1" fillId="0" borderId="0" xfId="0" applyFont="1" applyFill="1" applyBorder="1"/>
    <xf numFmtId="1" fontId="1" fillId="0" borderId="0" xfId="0" applyNumberFormat="1" applyFont="1" applyFill="1" applyBorder="1"/>
    <xf numFmtId="0" fontId="10" fillId="9" borderId="6" xfId="0" applyNumberFormat="1" applyFont="1" applyFill="1" applyBorder="1" applyAlignment="1">
      <alignment vertical="top" wrapText="1" readingOrder="1"/>
    </xf>
    <xf numFmtId="0" fontId="11" fillId="0" borderId="0" xfId="0" applyFont="1" applyFill="1" applyBorder="1"/>
    <xf numFmtId="1" fontId="1" fillId="0" borderId="0" xfId="0" applyNumberFormat="1" applyFont="1" applyFill="1" applyBorder="1"/>
    <xf numFmtId="0" fontId="1" fillId="0" borderId="0" xfId="0" applyFont="1" applyFill="1" applyBorder="1" applyAlignment="1">
      <alignment wrapText="1"/>
    </xf>
    <xf numFmtId="1" fontId="1" fillId="0" borderId="0" xfId="0" applyNumberFormat="1" applyFont="1" applyFill="1" applyBorder="1" applyAlignment="1">
      <alignment vertical="center" wrapText="1"/>
    </xf>
    <xf numFmtId="14" fontId="1" fillId="0" borderId="0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2" fillId="11" borderId="7" xfId="0" applyNumberFormat="1" applyFont="1" applyFill="1" applyBorder="1"/>
    <xf numFmtId="0" fontId="12" fillId="11" borderId="7" xfId="0" applyNumberFormat="1" applyFont="1" applyFill="1" applyBorder="1" applyAlignment="1">
      <alignment wrapText="1"/>
    </xf>
    <xf numFmtId="1" fontId="11" fillId="10" borderId="2" xfId="0" applyNumberFormat="1" applyFont="1" applyFill="1" applyBorder="1" applyAlignment="1">
      <alignment horizontal="left"/>
    </xf>
    <xf numFmtId="0" fontId="13" fillId="11" borderId="7" xfId="0" applyNumberFormat="1" applyFont="1" applyFill="1" applyBorder="1" applyAlignment="1">
      <alignment wrapText="1"/>
    </xf>
    <xf numFmtId="0" fontId="1" fillId="0" borderId="0" xfId="0" applyFont="1" applyFill="1" applyBorder="1"/>
    <xf numFmtId="1" fontId="1" fillId="0" borderId="0" xfId="0" applyNumberFormat="1" applyFont="1" applyFill="1" applyBorder="1"/>
    <xf numFmtId="0" fontId="1" fillId="0" borderId="0" xfId="0" applyFont="1" applyFill="1" applyBorder="1"/>
    <xf numFmtId="1" fontId="1" fillId="0" borderId="0" xfId="0" applyNumberFormat="1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1" fontId="1" fillId="0" borderId="0" xfId="0" applyNumberFormat="1" applyFont="1" applyFill="1" applyBorder="1"/>
    <xf numFmtId="0" fontId="3" fillId="0" borderId="0" xfId="0" applyNumberFormat="1" applyFont="1" applyFill="1" applyBorder="1" applyAlignment="1">
      <alignment vertical="top" wrapText="1" indent="3" readingOrder="1"/>
    </xf>
  </cellXfs>
  <cellStyles count="2">
    <cellStyle name="Insatisfaisant" xfId="1" builtinId="27"/>
    <cellStyle name="Normal" xfId="0" builtinId="0"/>
  </cellStyles>
  <dxfs count="2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30F40"/>
      <rgbColor rgb="00696969"/>
      <rgbColor rgb="00FFFFFF"/>
      <rgbColor rgb="006495ED"/>
      <rgbColor rgb="00F5F5F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4" name="Feuille1" displayName="Feuille1" ref="A1:FR9" totalsRowShown="0" headerRowDxfId="259" dataDxfId="258">
  <autoFilter ref="A1:FR9"/>
  <tableColumns count="174">
    <tableColumn id="2" name="N° Point de_x000a_Service" dataDxfId="257"/>
    <tableColumn id="3" name="N° base" dataDxfId="256"/>
    <tableColumn id="4" name="N° demande" dataDxfId="255"/>
    <tableColumn id="5" name="N° intervention" dataDxfId="254"/>
    <tableColumn id="6" name="Système externe demande" dataDxfId="253"/>
    <tableColumn id="7" name="Référence externe demande" dataDxfId="252"/>
    <tableColumn id="8" name="Type de demande" dataDxfId="251"/>
    <tableColumn id="9" name="Urgence demande" dataDxfId="250"/>
    <tableColumn id="10" name="Type emetteur" dataDxfId="249"/>
    <tableColumn id="11" name="Emetteur demande" dataDxfId="248"/>
    <tableColumn id="12" name="Commentaire demande" dataDxfId="247"/>
    <tableColumn id="13" name="Info passerelle" dataDxfId="246"/>
    <tableColumn id="14" name="Date demande" dataDxfId="245"/>
    <tableColumn id="15" name="Date clôture demande" dataDxfId="244"/>
    <tableColumn id="16" name="Contact" dataDxfId="243"/>
    <tableColumn id="17" name="Téléphone Contact" dataDxfId="242"/>
    <tableColumn id="18" name="Référence Client" dataDxfId="241"/>
    <tableColumn id="19" name="Client" dataDxfId="240"/>
    <tableColumn id="20" name="Téléphone Client" dataDxfId="239"/>
    <tableColumn id="21" name="Téléphone Portable Client" dataDxfId="238"/>
    <tableColumn id="22" name="Particularité client" dataDxfId="237"/>
    <tableColumn id="23" name="Adresse Redevable" dataDxfId="236"/>
    <tableColumn id="24" name="Numéro de rue" dataDxfId="235"/>
    <tableColumn id="25" name="Rue" dataDxfId="234"/>
    <tableColumn id="26" name="Complément adresse BRT" dataDxfId="233"/>
    <tableColumn id="27" name="Commune" dataDxfId="232"/>
    <tableColumn id="28" name="Domanialité" dataDxfId="231"/>
    <tableColumn id="29" name="Longitude" dataDxfId="230"/>
    <tableColumn id="30" name="Latitude" dataDxfId="229"/>
    <tableColumn id="31" name="T1 Demande" dataDxfId="228"/>
    <tableColumn id="32" name="T2 Demande" dataDxfId="227"/>
    <tableColumn id="33" name="N1 Demande" dataDxfId="226"/>
    <tableColumn id="34" name="N2 Demande" dataDxfId="225"/>
    <tableColumn id="35" name="Etat intervention" dataDxfId="224"/>
    <tableColumn id="36" name="Motif annulation" dataDxfId="223"/>
    <tableColumn id="37" name="Createur intervention" dataDxfId="222"/>
    <tableColumn id="38" name="Système externe intervention" dataDxfId="221"/>
    <tableColumn id="39" name="Référence externe intervention" dataDxfId="220"/>
    <tableColumn id="40" name="Code contrat Intervention" dataDxfId="219"/>
    <tableColumn id="41" name="Contrat Intervention" dataDxfId="218"/>
    <tableColumn id="42" name="Agence" dataDxfId="217"/>
    <tableColumn id="43" name="Secteur organisationnel" dataDxfId="216"/>
    <tableColumn id="44" name="Groupe" dataDxfId="215"/>
    <tableColumn id="45" name="Fiche Hors Programme" dataDxfId="214"/>
    <tableColumn id="46" name="Fiche Panier" dataDxfId="213"/>
    <tableColumn id="47" name="Code Type Intervention PREVU" dataDxfId="212"/>
    <tableColumn id="48" name="Type Intervention PREVU" dataDxfId="211"/>
    <tableColumn id="49" name="Standard Intervention PREVU" dataDxfId="210"/>
    <tableColumn id="50" name="Sélection Intervention" dataDxfId="209"/>
    <tableColumn id="51" name="Code Type Intervention" dataDxfId="208"/>
    <tableColumn id="52" name="Type intervention" dataDxfId="207"/>
    <tableColumn id="53" name="Standard Intervention" dataDxfId="206"/>
    <tableColumn id="54" name="Libellé CRT" dataDxfId="205"/>
    <tableColumn id="55" name="Libellé travaux" dataDxfId="204"/>
    <tableColumn id="56" name="Commentaire Intervention" dataDxfId="203"/>
    <tableColumn id="57" name="Code analytique" dataDxfId="202"/>
    <tableColumn id="58" name="Compte analytique" dataDxfId="201"/>
    <tableColumn id="59" name="Urgence intervention" dataDxfId="200"/>
    <tableColumn id="60" name="Engagement" dataDxfId="199"/>
    <tableColumn id="61" name="Date au plus tôt" dataDxfId="198"/>
    <tableColumn id="62" name="Date au plus tard" dataDxfId="197"/>
    <tableColumn id="63" name="Date de l'intervention" dataDxfId="196"/>
    <tableColumn id="64" name="Date RDV" dataDxfId="195"/>
    <tableColumn id="65" name="Etat du rendez-vous" dataDxfId="194"/>
    <tableColumn id="66" name="Début PREV" dataDxfId="193"/>
    <tableColumn id="67" name="Fin PREV" dataDxfId="192"/>
    <tableColumn id="68" name="Agents" dataDxfId="191"/>
    <tableColumn id="69" name="Début realisation" dataDxfId="190"/>
    <tableColumn id="70" name="Fin réalisation" dataDxfId="189"/>
    <tableColumn id="71" name="Mois réalisation" dataDxfId="188"/>
    <tableColumn id="72" name="Délai Demande Début réalisation" dataDxfId="187"/>
    <tableColumn id="73" name="Délai Demande Fin réalisation" dataDxfId="186"/>
    <tableColumn id="74" name="Date CR AMI" dataDxfId="185"/>
    <tableColumn id="75" name="Date visa" dataDxfId="184"/>
    <tableColumn id="76" name="Visa RIT" dataDxfId="183"/>
    <tableColumn id="77" name="Date clôture de l'intervention" dataDxfId="182"/>
    <tableColumn id="78" name="Date traitement BO clientèle" dataDxfId="181"/>
    <tableColumn id="79" name="NB Agents PREVUS" dataDxfId="180"/>
    <tableColumn id="80" name="NB Agents REALISE" dataDxfId="179"/>
    <tableColumn id="81" name="Charge Technique REALISE" dataDxfId="178"/>
    <tableColumn id="82" name="Charge Transport REALISE" dataDxfId="177"/>
    <tableColumn id="83" name="Commentaire Agent" dataDxfId="176"/>
    <tableColumn id="84" name="Astreinte" dataDxfId="175"/>
    <tableColumn id="85" name="Facturation" dataDxfId="174"/>
    <tableColumn id="86" name="0_Interne_1_Soustraité_2_Autre" dataDxfId="173"/>
    <tableColumn id="87" name="DQ1" dataDxfId="172"/>
    <tableColumn id="88" name="DQ2" dataDxfId="171"/>
    <tableColumn id="89" name="T1" dataDxfId="170"/>
    <tableColumn id="90" name="T2" dataDxfId="169"/>
    <tableColumn id="91" name="N1" dataDxfId="168"/>
    <tableColumn id="92" name="N2" dataDxfId="167"/>
    <tableColumn id="93" name="Nombre appareils" dataDxfId="166"/>
    <tableColumn id="94" name="Nombre app en Astreinte" dataDxfId="165"/>
    <tableColumn id="95" name="NO_CLIENT" dataDxfId="164"/>
    <tableColumn id="96" name="NO_BMT" dataDxfId="163"/>
    <tableColumn id="97" name="NO_CPT" dataDxfId="162"/>
    <tableColumn id="98" name="RG_CPT" dataDxfId="161"/>
    <tableColumn id="99" name="Diamètre compteur" dataDxfId="160"/>
    <tableColumn id="100" name="Année du compteur" dataDxfId="159"/>
    <tableColumn id="101" name="Modèle compteur" dataDxfId="158"/>
    <tableColumn id="102" name="Matricule compteur" dataDxfId="157"/>
    <tableColumn id="103" name="Localisation du compteur" dataDxfId="156"/>
    <tableColumn id="104" name="Index relève" dataDxfId="155"/>
    <tableColumn id="105" name="Date relève" dataDxfId="154"/>
    <tableColumn id="106" name="Matériau après compteur" dataDxfId="153"/>
    <tableColumn id="107" name="Type danomalie" dataDxfId="152"/>
    <tableColumn id="108" name="CPT usage" dataDxfId="151"/>
    <tableColumn id="109" name="CPT catégorie" dataDxfId="150"/>
    <tableColumn id="110" name="CPT combiné" dataDxfId="149"/>
    <tableColumn id="111" name="CPT exonération" dataDxfId="148"/>
    <tableColumn id="112" name="CPT observation" dataDxfId="147"/>
    <tableColumn id="113" name="CPT emplacement" dataDxfId="146"/>
    <tableColumn id="114" name="CPT répétiteur protection" dataDxfId="145"/>
    <tableColumn id="115" name="Matricule télérelève" dataDxfId="144"/>
    <tableColumn id="116" name="Observation télérelève" dataDxfId="143"/>
    <tableColumn id="117" name="Diamètre compteur nouveau" dataDxfId="142"/>
    <tableColumn id="118" name="Nouveau Client" dataDxfId="141"/>
    <tableColumn id="119" name="Matériau après compteur nouveau" dataDxfId="140"/>
    <tableColumn id="120" name="Matricule compteur nouveau" dataDxfId="139"/>
    <tableColumn id="121" name="Index Compteur nouveau" dataDxfId="138"/>
    <tableColumn id="122" name="CPT répétiteur protection nouveau" dataDxfId="137"/>
    <tableColumn id="123" name="Matricule télérelève nouveau" dataDxfId="136"/>
    <tableColumn id="124" name="Observation télérelève nouveau" dataDxfId="135"/>
    <tableColumn id="125" name="Index association" dataDxfId="134"/>
    <tableColumn id="126" name="Date association" dataDxfId="133"/>
    <tableColumn id="127" name="Nature accessoire" dataDxfId="132"/>
    <tableColumn id="128" name="Localisation accessoire" dataDxfId="131"/>
    <tableColumn id="129" name="Nature hydrant" dataDxfId="130"/>
    <tableColumn id="130" name="Situation" dataDxfId="129"/>
    <tableColumn id="131" name="Nature ouvrage" dataDxfId="128"/>
    <tableColumn id="132" name="Matériau branchement" dataDxfId="127"/>
    <tableColumn id="133" name="Diamètre branchement" dataDxfId="126"/>
    <tableColumn id="134" name="Longueur branchement" dataDxfId="125"/>
    <tableColumn id="135" name="Position bouche à clé" dataDxfId="124"/>
    <tableColumn id="136" name="Cause fuite branchement" dataDxfId="123"/>
    <tableColumn id="137" name="Défaillance branchement" dataDxfId="122"/>
    <tableColumn id="138" name="Méthode réparation branchement" dataDxfId="121"/>
    <tableColumn id="139" name="Matériau branchement assainissement" dataDxfId="120"/>
    <tableColumn id="140" name="Diamètre branchement assainissement" dataDxfId="119"/>
    <tableColumn id="141" name="Longueur branchement assainissement" dataDxfId="118"/>
    <tableColumn id="142" name="Asst raccordé-raccordable" dataDxfId="117"/>
    <tableColumn id="143" name="Type raccordement" dataDxfId="116"/>
    <tableColumn id="144" name="Regard façade" dataDxfId="115"/>
    <tableColumn id="145" name="Type de renouvellement" dataDxfId="114"/>
    <tableColumn id="146" name="Matériau branchement nouveau" dataDxfId="113"/>
    <tableColumn id="147" name="Diamètre branchement nouveau" dataDxfId="112"/>
    <tableColumn id="148" name="Longueur branchement nouveau" dataDxfId="111"/>
    <tableColumn id="149" name="Position bouche à clé nouveau" dataDxfId="110"/>
    <tableColumn id="150" name="Motif renouvellement" dataDxfId="109"/>
    <tableColumn id="151" name="Matériau branchement assainissement nouveau" dataDxfId="108"/>
    <tableColumn id="152" name="Diamètre branchement Assainissement nouveau" dataDxfId="107"/>
    <tableColumn id="153" name="Longueur branchement Assainissement nouveau" dataDxfId="106"/>
    <tableColumn id="154" name="Indicateur de regard de façade" dataDxfId="105"/>
    <tableColumn id="155" name="Type de raccordement" dataDxfId="104"/>
    <tableColumn id="156" name="Diamètre réseau" dataDxfId="103"/>
    <tableColumn id="157" name="Matériau réseau" dataDxfId="102"/>
    <tableColumn id="158" name="Profondeur réseau" dataDxfId="101"/>
    <tableColumn id="159" name="Cause fuite réseau" dataDxfId="100"/>
    <tableColumn id="160" name="Défaillance réseau" dataDxfId="99"/>
    <tableColumn id="161" name="Méthode réparation réseau" dataDxfId="98"/>
    <tableColumn id="162" name="Taux obstruction" dataDxfId="97"/>
    <tableColumn id="163" name="Lit de pose" dataDxfId="96"/>
    <tableColumn id="164" name="Réseaux adjacents" dataDxfId="95"/>
    <tableColumn id="165" name="Nature de réseau" dataDxfId="94"/>
    <tableColumn id="166" name="Type de réseau" dataDxfId="93"/>
    <tableColumn id="167" name="Terrassement" dataDxfId="92"/>
    <tableColumn id="168" name="Etat fouille" dataDxfId="91"/>
    <tableColumn id="169" name="Arrêt deau" dataDxfId="90"/>
    <tableColumn id="170" name="Indicateur arrêté pour voirie" dataDxfId="89"/>
    <tableColumn id="171" name="Commentaire" dataDxfId="88"/>
    <tableColumn id="172" name="Volume EAU" dataDxfId="87"/>
    <tableColumn id="173" name="Masse dépotage" dataDxfId="86"/>
    <tableColumn id="174" name="Column173" dataDxfId="85"/>
    <tableColumn id="175" name="Column174" dataDxfId="8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PB52_Parc_compteur_201808" displayName="PB52_Parc_compteur_201808" ref="A1:CF5" totalsRowShown="0">
  <autoFilter ref="A1:CF5"/>
  <tableColumns count="84">
    <tableColumn id="249" name="ID_PDS" dataDxfId="83"/>
    <tableColumn id="250" name="PB" dataDxfId="82"/>
    <tableColumn id="251" name="CONTRAT_RATTACHEMENT" dataDxfId="81"/>
    <tableColumn id="252" name="Column4" dataDxfId="80"/>
    <tableColumn id="253" name="COMMUNE" dataDxfId="79"/>
    <tableColumn id="254" name="CODE_CYCLE_SERVICE" dataDxfId="78"/>
    <tableColumn id="255" name="LIBELLE_CYCLE_SERVICE" dataDxfId="77"/>
    <tableColumn id="256" name="CODE_TOURNEE" dataDxfId="76"/>
    <tableColumn id="257" name="LIBELLE_TOURNEE_SERVICE" dataDxfId="75"/>
    <tableColumn id="258" name="TOURNEE_OPALE" dataDxfId="74"/>
    <tableColumn id="259" name="SEQ_TOURNEE" dataDxfId="73"/>
    <tableColumn id="260" name="ID_COMPTEUR" dataDxfId="72"/>
    <tableColumn id="261" name="NUMERO_BADGE" dataDxfId="71"/>
    <tableColumn id="262" name="NUMERO_SERIE" dataDxfId="70"/>
    <tableColumn id="263" name="FABRICANT" dataDxfId="69"/>
    <tableColumn id="264" name="MODELE" dataDxfId="68"/>
    <tableColumn id="265" name="DIAMETRE" dataDxfId="67"/>
    <tableColumn id="266" name="ANNEE_FABRICATION" dataDxfId="66"/>
    <tableColumn id="267" name="SOLUTION_COMPACTE" dataDxfId="65"/>
    <tableColumn id="268" name="SOLUTION_DEPORTEE" dataDxfId="64"/>
    <tableColumn id="269" name="PASSERELLE_SITE_ISOLE" dataDxfId="63"/>
    <tableColumn id="270" name="DATE_RECEPTION" dataDxfId="62"/>
    <tableColumn id="271" name="DATE_DEPOSE" dataDxfId="61"/>
    <tableColumn id="272" name="MATRICULE_EQUIPEMENT" dataDxfId="60"/>
    <tableColumn id="273" name="ACCESSIBLE" dataDxfId="59"/>
    <tableColumn id="274" name="CODE_EMPLACEMENT" dataDxfId="58"/>
    <tableColumn id="275" name="LIBELLE_EMPLACEMENT" dataDxfId="57"/>
    <tableColumn id="276" name="DETAILS_EMPLACEMENTS" dataDxfId="56"/>
    <tableColumn id="277" name="Column29" dataDxfId="55"/>
    <tableColumn id="278" name="DATE_MISE_EN_SERVICE_PDS" dataDxfId="54"/>
    <tableColumn id="279" name="ETAT_PDS" dataDxfId="53"/>
    <tableColumn id="280" name="DT_SUPPRESSION_PDS" dataDxfId="52"/>
    <tableColumn id="281" name="ETAT_SOURCE_PDS" dataDxfId="51"/>
    <tableColumn id="282" name="MOTIF_FERMETURE_BRANCHEMENT" dataDxfId="50"/>
    <tableColumn id="283" name="REFERENCE_EXTERNE_PDS" dataDxfId="49"/>
    <tableColumn id="284" name="LOGEMENT_VACANT" dataDxfId="48"/>
    <tableColumn id="285" name="GEN_DIV" dataDxfId="47"/>
    <tableColumn id="286" name="RACCORDE_RACORDABLE" dataDxfId="46"/>
    <tableColumn id="287" name="DATE_RACCORDABILITE" dataDxfId="45"/>
    <tableColumn id="288" name="USAGE" dataDxfId="44"/>
    <tableColumn id="289" name="FLUIDE" dataDxfId="43"/>
    <tableColumn id="290" name="MAT_BRANCH_AV_COMPT" dataDxfId="42"/>
    <tableColumn id="291" name="MAT_AP_COMPT" dataDxfId="41"/>
    <tableColumn id="292" name="CALIBRE_BRANCHEMENT" dataDxfId="40"/>
    <tableColumn id="293" name="MODE_DE_RELEVE" dataDxfId="39"/>
    <tableColumn id="294" name="BRANCHEMENT_FICTIF" dataDxfId="38"/>
    <tableColumn id="295" name="ID_SITE" dataDxfId="37"/>
    <tableColumn id="296" name="FORAGE" dataDxfId="36"/>
    <tableColumn id="297" name="NUM_VOIE_SITE" dataDxfId="35"/>
    <tableColumn id="298" name="NOM_VOIE_SITE" dataDxfId="34"/>
    <tableColumn id="299" name="ADRESSE2_SITE" dataDxfId="33"/>
    <tableColumn id="300" name="ADRESSE3_SITE" dataDxfId="32"/>
    <tableColumn id="301" name="ADRESSE4_SITE" dataDxfId="31"/>
    <tableColumn id="302" name="COMMUNE_SITE" dataDxfId="30"/>
    <tableColumn id="303" name="CODE_INSEE_SITE" dataDxfId="29"/>
    <tableColumn id="304" name="CODE_POSTAL_SITE" dataDxfId="28"/>
    <tableColumn id="305" name="ANC_A_FACTURER" dataDxfId="27"/>
    <tableColumn id="306" name="BASSINS_VERSANTS" dataDxfId="26"/>
    <tableColumn id="307" name="NOMBRE_UL" dataDxfId="25"/>
    <tableColumn id="308" name="ID_COMPTE_CLIENT" dataDxfId="24"/>
    <tableColumn id="309" name="ANCIENNE_REF_CLIENT" dataDxfId="23"/>
    <tableColumn id="310" name="CIVILITE" dataDxfId="22"/>
    <tableColumn id="311" name="NOM_COMPLET" dataDxfId="21"/>
    <tableColumn id="312" name="MENSUALISE" dataDxfId="20"/>
    <tableColumn id="313" name="CLASSE_CLIENT" dataDxfId="19"/>
    <tableColumn id="314" name="TEL_BUREAU" dataDxfId="18"/>
    <tableColumn id="315" name="TEL_DOMICILE" dataDxfId="17"/>
    <tableColumn id="316" name="TEL_MOBILE" dataDxfId="16"/>
    <tableColumn id="317" name="ADRESSE_EMAIL" dataDxfId="15"/>
    <tableColumn id="318" name="ADRESSE1_CLIENT" dataDxfId="14"/>
    <tableColumn id="319" name="ADRESSE2_CLIENT" dataDxfId="13"/>
    <tableColumn id="320" name="ADRESSE3_CLIENT" dataDxfId="12"/>
    <tableColumn id="321" name="ADRESSE4_CLIENT" dataDxfId="11"/>
    <tableColumn id="322" name="COMMUNE_CLIENT" dataDxfId="10"/>
    <tableColumn id="323" name="CODE_INSEE_CLIENT" dataDxfId="9"/>
    <tableColumn id="324" name="CODE_POSTAL_CLIENT" dataDxfId="8"/>
    <tableColumn id="325" name="CMJ" dataDxfId="7"/>
    <tableColumn id="326" name="DATE_DERNIERE_RELEVE" dataDxfId="6"/>
    <tableColumn id="327" name="TYPE_RELEVE" dataDxfId="5"/>
    <tableColumn id="328" name="INDEX_DERNIERE_RELEVE" dataDxfId="4"/>
    <tableColumn id="329" name="CODE_REM1" dataDxfId="3"/>
    <tableColumn id="330" name="CODE_REM2" dataDxfId="2"/>
    <tableColumn id="331" name="CODE_REM3" dataDxfId="1"/>
    <tableColumn id="332" name="CODE_REM4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1"/>
  <sheetViews>
    <sheetView showGridLines="0" zoomScale="80" zoomScaleNormal="80" workbookViewId="0">
      <selection activeCell="O6" sqref="O6"/>
    </sheetView>
  </sheetViews>
  <sheetFormatPr baseColWidth="10" defaultRowHeight="15"/>
  <cols>
    <col min="1" max="1" width="21.7109375" customWidth="1"/>
    <col min="2" max="2" width="19.5703125" customWidth="1"/>
    <col min="3" max="3" width="17" customWidth="1"/>
    <col min="4" max="4" width="18.7109375" customWidth="1"/>
    <col min="5" max="5" width="21.42578125" customWidth="1"/>
    <col min="6" max="6" width="18.42578125" customWidth="1"/>
    <col min="7" max="7" width="19.28515625" hidden="1" customWidth="1"/>
    <col min="8" max="8" width="20.7109375" hidden="1" customWidth="1"/>
    <col min="9" max="10" width="16.42578125" hidden="1" customWidth="1"/>
    <col min="11" max="11" width="26" hidden="1" customWidth="1"/>
    <col min="12" max="12" width="23.42578125" hidden="1" customWidth="1"/>
    <col min="13" max="13" width="21.140625" hidden="1" customWidth="1"/>
    <col min="14" max="14" width="21.140625" customWidth="1"/>
    <col min="15" max="15" width="18.5703125" style="18" bestFit="1" customWidth="1"/>
    <col min="16" max="16" width="21.85546875" customWidth="1"/>
    <col min="17" max="17" width="24.85546875" customWidth="1"/>
    <col min="18" max="18" width="27" customWidth="1"/>
    <col min="19" max="19" width="25.140625" customWidth="1"/>
    <col min="20" max="21" width="31.28515625" customWidth="1"/>
    <col min="22" max="22" width="21.7109375" customWidth="1"/>
    <col min="23" max="23" width="27.85546875" customWidth="1"/>
    <col min="24" max="24" width="23" customWidth="1"/>
    <col min="25" max="25" width="31.42578125" customWidth="1"/>
    <col min="26" max="26" width="28.140625" customWidth="1"/>
    <col min="27" max="27" width="24" customWidth="1"/>
  </cols>
  <sheetData>
    <row r="1" spans="1:25" ht="28.9" customHeight="1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9"/>
      <c r="P1" s="48"/>
      <c r="Q1" s="48"/>
      <c r="R1" s="48"/>
      <c r="S1" s="48"/>
      <c r="T1" s="48"/>
      <c r="U1" s="48"/>
    </row>
    <row r="2" spans="1:25" ht="36" customHeight="1">
      <c r="A2" s="50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9"/>
      <c r="P2" s="48"/>
      <c r="Q2" s="48"/>
      <c r="R2" s="48"/>
      <c r="S2" s="48"/>
      <c r="T2" s="48"/>
      <c r="U2" s="48"/>
    </row>
    <row r="3" spans="1:25" ht="28.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  <c r="O3" s="25" t="s">
        <v>16</v>
      </c>
      <c r="P3" s="1" t="s">
        <v>17</v>
      </c>
      <c r="Q3" s="2" t="s">
        <v>18</v>
      </c>
      <c r="R3" s="1" t="s">
        <v>19</v>
      </c>
      <c r="S3" s="1" t="s">
        <v>20</v>
      </c>
      <c r="T3" s="1" t="s">
        <v>21</v>
      </c>
      <c r="U3" s="1" t="s">
        <v>22</v>
      </c>
    </row>
    <row r="4" spans="1:25" ht="25.5">
      <c r="A4" s="3" t="s">
        <v>23</v>
      </c>
      <c r="B4" s="3" t="s">
        <v>24</v>
      </c>
      <c r="C4" s="3" t="s">
        <v>32</v>
      </c>
      <c r="D4" s="3" t="s">
        <v>33</v>
      </c>
      <c r="E4" s="3" t="s">
        <v>34</v>
      </c>
      <c r="F4" s="3" t="s">
        <v>35</v>
      </c>
      <c r="G4" s="3" t="s">
        <v>25</v>
      </c>
      <c r="H4" s="3" t="s">
        <v>37</v>
      </c>
      <c r="I4" s="3" t="s">
        <v>26</v>
      </c>
      <c r="J4" s="3" t="s">
        <v>27</v>
      </c>
      <c r="K4" s="3" t="s">
        <v>28</v>
      </c>
      <c r="L4" s="4">
        <v>43376.626736111102</v>
      </c>
      <c r="M4" s="4">
        <v>43370.084027777797</v>
      </c>
      <c r="N4" s="4">
        <v>43364.426388888904</v>
      </c>
      <c r="O4" s="13" t="s">
        <v>524</v>
      </c>
      <c r="P4" s="3" t="s">
        <v>39</v>
      </c>
      <c r="Q4" s="3" t="s">
        <v>40</v>
      </c>
      <c r="R4" s="5">
        <v>1360675</v>
      </c>
      <c r="S4" s="3"/>
      <c r="T4" s="3" t="s">
        <v>30</v>
      </c>
      <c r="U4" s="3" t="s">
        <v>41</v>
      </c>
    </row>
    <row r="5" spans="1:25" ht="25.5">
      <c r="A5" s="3" t="s">
        <v>23</v>
      </c>
      <c r="B5" s="3" t="s">
        <v>24</v>
      </c>
      <c r="C5" s="3" t="s">
        <v>32</v>
      </c>
      <c r="D5" s="3" t="s">
        <v>33</v>
      </c>
      <c r="E5" s="3" t="s">
        <v>34</v>
      </c>
      <c r="F5" s="3" t="s">
        <v>35</v>
      </c>
      <c r="G5" s="3" t="s">
        <v>25</v>
      </c>
      <c r="H5" s="3" t="s">
        <v>37</v>
      </c>
      <c r="I5" s="3" t="s">
        <v>26</v>
      </c>
      <c r="J5" s="3" t="s">
        <v>27</v>
      </c>
      <c r="K5" s="3" t="s">
        <v>28</v>
      </c>
      <c r="L5" s="4">
        <v>43376.626736111102</v>
      </c>
      <c r="M5" s="4">
        <v>43370.084027777797</v>
      </c>
      <c r="N5" s="4">
        <v>43364.426388888904</v>
      </c>
      <c r="O5" s="13" t="s">
        <v>524</v>
      </c>
      <c r="P5" s="3" t="s">
        <v>39</v>
      </c>
      <c r="Q5" s="3" t="s">
        <v>40</v>
      </c>
      <c r="R5" s="5">
        <v>1360675</v>
      </c>
      <c r="S5" s="3"/>
      <c r="T5" s="3" t="s">
        <v>30</v>
      </c>
      <c r="U5" s="3" t="s">
        <v>41</v>
      </c>
    </row>
    <row r="6" spans="1:25" ht="25.5">
      <c r="A6" s="3" t="s">
        <v>23</v>
      </c>
      <c r="B6" s="3" t="s">
        <v>24</v>
      </c>
      <c r="C6" s="3" t="s">
        <v>32</v>
      </c>
      <c r="D6" s="3" t="s">
        <v>33</v>
      </c>
      <c r="E6" s="3" t="s">
        <v>34</v>
      </c>
      <c r="F6" s="3" t="s">
        <v>35</v>
      </c>
      <c r="G6" s="3" t="s">
        <v>25</v>
      </c>
      <c r="H6" s="3" t="s">
        <v>42</v>
      </c>
      <c r="I6" s="3" t="s">
        <v>26</v>
      </c>
      <c r="J6" s="3" t="s">
        <v>27</v>
      </c>
      <c r="K6" s="3" t="s">
        <v>43</v>
      </c>
      <c r="L6" s="4">
        <v>43368.848946759303</v>
      </c>
      <c r="M6" s="4">
        <v>43368.376319444404</v>
      </c>
      <c r="N6" s="4">
        <v>43361.640277777798</v>
      </c>
      <c r="O6" s="13" t="s">
        <v>526</v>
      </c>
      <c r="P6" s="3" t="s">
        <v>45</v>
      </c>
      <c r="Q6" s="3" t="s">
        <v>46</v>
      </c>
      <c r="R6" s="5">
        <v>87</v>
      </c>
      <c r="S6" s="3" t="s">
        <v>29</v>
      </c>
      <c r="T6" s="3" t="s">
        <v>30</v>
      </c>
      <c r="U6" s="3" t="s">
        <v>47</v>
      </c>
    </row>
    <row r="7" spans="1:25" s="8" customFormat="1" ht="25.5">
      <c r="A7" s="6" t="s">
        <v>23</v>
      </c>
      <c r="B7" s="6" t="s">
        <v>24</v>
      </c>
      <c r="C7" s="6" t="s">
        <v>32</v>
      </c>
      <c r="D7" s="6" t="s">
        <v>33</v>
      </c>
      <c r="E7" s="6" t="s">
        <v>34</v>
      </c>
      <c r="F7" s="6" t="s">
        <v>35</v>
      </c>
      <c r="G7" s="6" t="s">
        <v>25</v>
      </c>
      <c r="H7" s="6" t="s">
        <v>37</v>
      </c>
      <c r="I7" s="6" t="s">
        <v>26</v>
      </c>
      <c r="J7" s="6" t="s">
        <v>27</v>
      </c>
      <c r="K7" s="6" t="s">
        <v>28</v>
      </c>
      <c r="L7" s="7">
        <v>43368.606863425899</v>
      </c>
      <c r="M7" s="7">
        <v>43363.084027777797</v>
      </c>
      <c r="N7" s="7">
        <v>43361.681250000001</v>
      </c>
      <c r="O7" s="27" t="s">
        <v>523</v>
      </c>
      <c r="P7" s="6" t="s">
        <v>48</v>
      </c>
      <c r="Q7" s="6" t="s">
        <v>49</v>
      </c>
      <c r="R7" s="6">
        <v>669381</v>
      </c>
      <c r="S7" s="6"/>
      <c r="T7" s="6" t="s">
        <v>58</v>
      </c>
      <c r="U7" s="6" t="s">
        <v>50</v>
      </c>
    </row>
    <row r="8" spans="1:25" s="8" customFormat="1" ht="25.5">
      <c r="A8" s="6" t="s">
        <v>23</v>
      </c>
      <c r="B8" s="6" t="s">
        <v>24</v>
      </c>
      <c r="C8" s="6" t="s">
        <v>32</v>
      </c>
      <c r="D8" s="6" t="s">
        <v>33</v>
      </c>
      <c r="E8" s="6" t="s">
        <v>34</v>
      </c>
      <c r="F8" s="6" t="s">
        <v>35</v>
      </c>
      <c r="G8" s="6" t="s">
        <v>25</v>
      </c>
      <c r="H8" s="6" t="s">
        <v>37</v>
      </c>
      <c r="I8" s="6" t="s">
        <v>26</v>
      </c>
      <c r="J8" s="6" t="s">
        <v>27</v>
      </c>
      <c r="K8" s="6" t="s">
        <v>28</v>
      </c>
      <c r="L8" s="7">
        <v>43368.606863425899</v>
      </c>
      <c r="M8" s="7">
        <v>43363.084027777797</v>
      </c>
      <c r="N8" s="7">
        <v>43361.681250000001</v>
      </c>
      <c r="O8" s="27" t="s">
        <v>523</v>
      </c>
      <c r="P8" s="6" t="s">
        <v>48</v>
      </c>
      <c r="Q8" s="6" t="s">
        <v>49</v>
      </c>
      <c r="R8" s="6">
        <v>669381</v>
      </c>
      <c r="S8" s="6"/>
      <c r="T8" s="6" t="s">
        <v>58</v>
      </c>
      <c r="U8" s="6" t="s">
        <v>50</v>
      </c>
    </row>
    <row r="9" spans="1:25" ht="25.5">
      <c r="A9" s="6" t="s">
        <v>23</v>
      </c>
      <c r="B9" s="6" t="s">
        <v>24</v>
      </c>
      <c r="C9" s="6" t="s">
        <v>32</v>
      </c>
      <c r="D9" s="6" t="s">
        <v>33</v>
      </c>
      <c r="E9" s="6" t="s">
        <v>34</v>
      </c>
      <c r="F9" s="6" t="s">
        <v>35</v>
      </c>
      <c r="G9" s="6" t="s">
        <v>25</v>
      </c>
      <c r="H9" s="6" t="s">
        <v>42</v>
      </c>
      <c r="I9" s="6" t="s">
        <v>26</v>
      </c>
      <c r="J9" s="6" t="s">
        <v>27</v>
      </c>
      <c r="K9" s="6" t="s">
        <v>28</v>
      </c>
      <c r="L9" s="7">
        <v>43376.624444444402</v>
      </c>
      <c r="M9" s="7">
        <v>43370.084027777797</v>
      </c>
      <c r="N9" s="7">
        <v>43364.538888888899</v>
      </c>
      <c r="O9" s="27" t="s">
        <v>525</v>
      </c>
      <c r="P9" s="6" t="s">
        <v>53</v>
      </c>
      <c r="Q9" s="6" t="s">
        <v>54</v>
      </c>
      <c r="R9" s="6">
        <v>50</v>
      </c>
      <c r="S9" s="6" t="s">
        <v>55</v>
      </c>
      <c r="T9" s="6" t="s">
        <v>30</v>
      </c>
      <c r="U9" s="6" t="s">
        <v>31</v>
      </c>
    </row>
    <row r="10" spans="1:25" ht="30">
      <c r="A10" s="9" t="s">
        <v>23</v>
      </c>
      <c r="B10" s="9" t="s">
        <v>24</v>
      </c>
      <c r="C10" s="9" t="s">
        <v>32</v>
      </c>
      <c r="D10" s="9" t="s">
        <v>33</v>
      </c>
      <c r="E10" s="9" t="s">
        <v>34</v>
      </c>
      <c r="F10" s="9" t="s">
        <v>35</v>
      </c>
      <c r="G10" s="9" t="s">
        <v>25</v>
      </c>
      <c r="H10" s="9" t="s">
        <v>42</v>
      </c>
      <c r="I10" s="9" t="s">
        <v>26</v>
      </c>
      <c r="J10" s="9" t="s">
        <v>27</v>
      </c>
      <c r="K10" s="9" t="s">
        <v>28</v>
      </c>
      <c r="L10" s="10">
        <v>43376.624444444402</v>
      </c>
      <c r="M10" s="10">
        <v>43370.084027777797</v>
      </c>
      <c r="N10" s="10">
        <v>43364.538888888899</v>
      </c>
      <c r="O10" s="26" t="s">
        <v>525</v>
      </c>
      <c r="P10" s="9" t="s">
        <v>53</v>
      </c>
      <c r="Q10" s="9" t="s">
        <v>54</v>
      </c>
      <c r="R10" s="9">
        <v>50</v>
      </c>
      <c r="S10" s="9" t="s">
        <v>55</v>
      </c>
      <c r="T10" s="9" t="s">
        <v>30</v>
      </c>
      <c r="U10" s="9" t="s">
        <v>31</v>
      </c>
      <c r="V10" s="12">
        <v>982447466616</v>
      </c>
      <c r="W10" s="11" t="s">
        <v>53</v>
      </c>
      <c r="X10" s="11" t="s">
        <v>54</v>
      </c>
      <c r="Y10" s="11" t="s">
        <v>59</v>
      </c>
    </row>
    <row r="11" spans="1:25" ht="0" hidden="1" customHeight="1">
      <c r="O11"/>
    </row>
  </sheetData>
  <autoFilter ref="A3:U10"/>
  <mergeCells count="2">
    <mergeCell ref="A1:U1"/>
    <mergeCell ref="A2:U2"/>
  </mergeCells>
  <pageMargins left="0.98425196850393704" right="0.98425196850393704" top="0.98425196850393704" bottom="0.98425196850393704" header="0.98425196850393704" footer="0.98425196850393704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O16"/>
  <sheetViews>
    <sheetView tabSelected="1" zoomScale="80" zoomScaleNormal="80" workbookViewId="0">
      <selection activeCell="B2" sqref="B2"/>
    </sheetView>
  </sheetViews>
  <sheetFormatPr baseColWidth="10" defaultRowHeight="15"/>
  <cols>
    <col min="1" max="1" width="14.42578125" customWidth="1"/>
    <col min="2" max="2" width="22.42578125" bestFit="1" customWidth="1"/>
    <col min="3" max="3" width="19.85546875" customWidth="1"/>
    <col min="4" max="4" width="12.28515625" customWidth="1"/>
    <col min="5" max="5" width="13.140625" bestFit="1" customWidth="1"/>
    <col min="6" max="6" width="16.7109375" bestFit="1" customWidth="1"/>
    <col min="7" max="7" width="13.140625" bestFit="1" customWidth="1"/>
    <col min="8" max="8" width="21.5703125" customWidth="1"/>
    <col min="9" max="9" width="15.85546875" customWidth="1"/>
    <col min="12" max="12" width="21.42578125" customWidth="1"/>
    <col min="13" max="13" width="26.28515625" bestFit="1" customWidth="1"/>
    <col min="14" max="14" width="26.42578125" bestFit="1" customWidth="1"/>
    <col min="17" max="17" width="15.28515625" bestFit="1" customWidth="1"/>
  </cols>
  <sheetData>
    <row r="2" spans="1:171" ht="18.75">
      <c r="A2" s="32" t="s">
        <v>349</v>
      </c>
      <c r="B2" s="41" t="s">
        <v>526</v>
      </c>
      <c r="C2" s="30"/>
    </row>
    <row r="4" spans="1:171">
      <c r="C4" s="18"/>
    </row>
    <row r="5" spans="1:171" ht="51">
      <c r="A5" s="31" t="s">
        <v>353</v>
      </c>
      <c r="B5" s="31" t="s">
        <v>354</v>
      </c>
      <c r="C5" s="31" t="s">
        <v>355</v>
      </c>
      <c r="D5" s="31" t="s">
        <v>356</v>
      </c>
      <c r="E5" s="31" t="s">
        <v>357</v>
      </c>
      <c r="F5" s="31" t="s">
        <v>358</v>
      </c>
      <c r="G5" s="31" t="s">
        <v>359</v>
      </c>
      <c r="H5" s="31" t="s">
        <v>360</v>
      </c>
      <c r="I5" s="31" t="s">
        <v>361</v>
      </c>
      <c r="J5" s="31" t="s">
        <v>110</v>
      </c>
      <c r="K5" s="31" t="s">
        <v>362</v>
      </c>
      <c r="L5" s="31" t="s">
        <v>363</v>
      </c>
      <c r="M5" s="31" t="s">
        <v>364</v>
      </c>
      <c r="N5" s="31" t="s">
        <v>114</v>
      </c>
      <c r="O5" s="31" t="s">
        <v>365</v>
      </c>
      <c r="P5" s="31" t="s">
        <v>366</v>
      </c>
      <c r="Q5" s="31" t="s">
        <v>131</v>
      </c>
      <c r="R5" s="31" t="s">
        <v>367</v>
      </c>
      <c r="S5" s="31" t="s">
        <v>368</v>
      </c>
      <c r="T5" s="31" t="s">
        <v>136</v>
      </c>
      <c r="U5" s="31" t="s">
        <v>369</v>
      </c>
      <c r="V5" s="31" t="s">
        <v>370</v>
      </c>
      <c r="W5" s="31" t="s">
        <v>371</v>
      </c>
      <c r="X5" s="31" t="s">
        <v>372</v>
      </c>
      <c r="Y5" s="31" t="s">
        <v>373</v>
      </c>
      <c r="Z5" s="31" t="s">
        <v>374</v>
      </c>
      <c r="AA5" s="31" t="s">
        <v>375</v>
      </c>
      <c r="AB5" s="31" t="s">
        <v>376</v>
      </c>
      <c r="AC5" s="31" t="s">
        <v>377</v>
      </c>
      <c r="AD5" s="31" t="s">
        <v>378</v>
      </c>
      <c r="AE5" s="31" t="s">
        <v>379</v>
      </c>
      <c r="AF5" s="31" t="s">
        <v>380</v>
      </c>
      <c r="AG5" s="31" t="s">
        <v>381</v>
      </c>
      <c r="AH5" s="31" t="s">
        <v>382</v>
      </c>
      <c r="AI5" s="31" t="s">
        <v>383</v>
      </c>
      <c r="AJ5" s="31" t="s">
        <v>384</v>
      </c>
      <c r="AK5" s="31" t="s">
        <v>385</v>
      </c>
      <c r="AL5" s="31" t="s">
        <v>386</v>
      </c>
      <c r="AM5" s="31" t="s">
        <v>387</v>
      </c>
    </row>
    <row r="6" spans="1:171" s="38" customFormat="1" ht="42" customHeight="1">
      <c r="A6" s="35" t="str">
        <f>VLOOKUP($B$2,Analyse!A:FP,23,0)</f>
        <v>11</v>
      </c>
      <c r="B6" s="35" t="str">
        <f>VLOOKUP($B$2,Analyse!$A:$FO,24,0)</f>
        <v>GRAND RUE</v>
      </c>
      <c r="C6" s="35">
        <f>VLOOKUP($B$2,Analyse!$A:$FO,25,0)</f>
        <v>0</v>
      </c>
      <c r="D6" s="35" t="str">
        <f>VLOOKUP($B$2,Analyse!$A:$FP,26,0)</f>
        <v>BAILLY</v>
      </c>
      <c r="E6" s="35" t="str">
        <f>VLOOKUP($B$2,Analyse!$A:$FP,34,0)</f>
        <v>Clôturée</v>
      </c>
      <c r="F6" s="35" t="str">
        <f>VLOOKUP($B$2,Analyse!$A:$FP,42,0)</f>
        <v>Télérelève SEOP</v>
      </c>
      <c r="G6" s="35" t="str">
        <f>VLOOKUP($B$2,Analyse!$A:$FP,46,0)</f>
        <v>CET16</v>
      </c>
      <c r="H6" s="35" t="str">
        <f>VLOOKUP($B$2,Analyse!$A:$FP,47,0)</f>
        <v>compteur remplacer avec émetteur téléR</v>
      </c>
      <c r="I6" s="35" t="str">
        <f>VLOOKUP($B$2,Analyse!$A:$FP,48,0)</f>
        <v>D [15-20]</v>
      </c>
      <c r="J6" s="35" t="str">
        <f>VLOOKUP($B$2,Analyse!$A:$FP,49,0)</f>
        <v>TOUT</v>
      </c>
      <c r="K6" s="35" t="str">
        <f>VLOOKUP($B$2,Analyse!$A:$FP,50,0)</f>
        <v>CET16</v>
      </c>
      <c r="L6" s="35" t="str">
        <f>VLOOKUP($B$2,Analyse!$A:$FP,51,0)</f>
        <v>compteur remplacer avec émetteur téléR</v>
      </c>
      <c r="M6" s="35" t="str">
        <f>VLOOKUP($B$2,Analyse!$A:$FP,52,0)</f>
        <v>D [15-20]</v>
      </c>
      <c r="N6" s="35" t="str">
        <f>VLOOKUP($B$2,Analyse!$A:$FP,53,0)</f>
        <v>Installation de télérelève</v>
      </c>
      <c r="O6" s="35" t="str">
        <f>VLOOKUP($B$2,Analyse!$A:$FP,67,0)</f>
        <v>DRAME Cheick EPS</v>
      </c>
      <c r="P6" s="36">
        <f>VLOOKUP($B$2,Analyse!$A:$FP,69,0)</f>
        <v>43262.513194444444</v>
      </c>
      <c r="Q6" s="35">
        <f>VLOOKUP($B$2,Analyse!$A:$FP,70,0)</f>
        <v>6</v>
      </c>
      <c r="R6" s="36">
        <f>VLOOKUP($B$2,Analyse!$A:$FP,73,0)</f>
        <v>43262.513692129629</v>
      </c>
      <c r="S6" s="36">
        <f>VLOOKUP($B$2,Analyse!$A:$FP,74,0)</f>
        <v>43262.594641203701</v>
      </c>
      <c r="T6" s="37">
        <f>VLOOKUP($B$2,Analyse!$A:$FP,75,0)</f>
        <v>0</v>
      </c>
      <c r="U6" s="36">
        <f>VLOOKUP($B$2,Analyse!$A:$FP,76,0)</f>
        <v>43264.46837962963</v>
      </c>
      <c r="V6" s="35" t="str">
        <f>VLOOKUP($B$2,Analyse!$A:$FP,82,0)</f>
        <v xml:space="preserve">DRAME Cheick EPS - 11/06/18 : Malgré plusieurs tentatives de trame aucun signal </v>
      </c>
      <c r="W6" s="35">
        <f>VLOOKUP($B$2,Analyse!$A:$FP,98,0)</f>
        <v>15</v>
      </c>
      <c r="X6" s="35">
        <f>VLOOKUP($B$2,Analyse!$A:$FP,99,0)</f>
        <v>2005</v>
      </c>
      <c r="Y6" s="35" t="str">
        <f>VLOOKUP($B$2,Analyse!$A:$FP,100,0)</f>
        <v>DA</v>
      </c>
      <c r="Z6" s="35" t="str">
        <f>VLOOKUP($B$2,Analyse!$A:$FP,101,0)</f>
        <v>D05AA027378</v>
      </c>
      <c r="AA6" s="35" t="str">
        <f>VLOOKUP($B$2,Analyse!$A:$FP,102,0)</f>
        <v>02 CAVE / 2510004305008001</v>
      </c>
      <c r="AB6" s="35">
        <f>VLOOKUP($B$2,Analyse!$A:$FP,103,0)</f>
        <v>1080</v>
      </c>
      <c r="AC6" s="36">
        <f>VLOOKUP($B$2,Analyse!$A:$FP,104,0)</f>
        <v>43262.507187499999</v>
      </c>
      <c r="AD6" s="35" t="str">
        <f>VLOOKUP($B$2,Analyse!$A:$FP,112,0)</f>
        <v>CAVE - NON accessible</v>
      </c>
      <c r="AE6" s="35">
        <f>VLOOKUP($B$2,Analyse!$A:$FP,114,0)</f>
        <v>0</v>
      </c>
      <c r="AF6" s="35">
        <f>VLOOKUP($B$2,Analyse!$A:$FP,115,0)</f>
        <v>0</v>
      </c>
      <c r="AG6" s="35">
        <f>VLOOKUP($B$2,Analyse!$A:$FP,116,0)</f>
        <v>15</v>
      </c>
      <c r="AH6" s="37" t="str">
        <f>VLOOKUP($B$2,Analyse!$A:$FP,119,0)</f>
        <v>C18LA061381</v>
      </c>
      <c r="AI6" s="35" t="e">
        <f>VLOOKUP($B$2,Analyse!$B:$FP,120,0)</f>
        <v>#N/A</v>
      </c>
      <c r="AJ6" s="37" t="e">
        <f>VLOOKUP($B$2,Analyse!$B:$FP,122,0)</f>
        <v>#N/A</v>
      </c>
      <c r="AK6" s="35" t="e">
        <f>VLOOKUP($B$2,Analyse!$B:$FP,123,0)</f>
        <v>#N/A</v>
      </c>
      <c r="AL6" s="35" t="e">
        <f>VLOOKUP($B$2,Analyse!$B:$FP,124,0)</f>
        <v>#N/A</v>
      </c>
      <c r="AM6" s="36" t="e">
        <f>VLOOKUP($B$2,Analyse!$B:$FP,125,0)</f>
        <v>#N/A</v>
      </c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</row>
    <row r="7" spans="1:171">
      <c r="A7" s="18" t="str">
        <f>INDEX(Analyse!$B$2:$FP$9,MATCH($B$2,Analyse!$A$2:$A$9,0),MATCH(A$5,Analyse!$B$1:$FP$1,0))</f>
        <v>11</v>
      </c>
      <c r="B7" s="33" t="str">
        <f>INDEX(Analyse!$B$2:$FP$9,MATCH($B$2,Analyse!$A$2:$A$9,0),MATCH(B$5,Analyse!$B$1:$FP$1,0))</f>
        <v>GRAND RUE</v>
      </c>
      <c r="C7" s="33">
        <f>INDEX(Analyse!$B$2:$FP$9,MATCH($B$2,Analyse!$A$2:$A$9,0),MATCH(C$5,Analyse!$B$1:$FP$1,0))</f>
        <v>0</v>
      </c>
      <c r="D7" s="33" t="str">
        <f>INDEX(Analyse!$B$2:$FP$9,MATCH($B$2,Analyse!$A$2:$A$9,0),MATCH(D$5,Analyse!$B$1:$FP$1,0))</f>
        <v>BAILLY</v>
      </c>
      <c r="E7" s="33" t="str">
        <f>INDEX(Analyse!$B$2:$FP$9,MATCH($B$2,Analyse!$A$2:$A$9,0),MATCH(E$5,Analyse!$B$1:$FP$1,0))</f>
        <v>Clôturée</v>
      </c>
      <c r="F7" s="33" t="str">
        <f>INDEX(Analyse!$B$2:$FP$9,MATCH($B$2,Analyse!$A$2:$A$9,0),MATCH(F$5,Analyse!$B$1:$FP$1,0))</f>
        <v>Télérelève SEOP</v>
      </c>
      <c r="G7" s="33" t="str">
        <f>INDEX(Analyse!$B$2:$FP$9,MATCH($B$2,Analyse!$A$2:$A$9,0),MATCH(G$5,Analyse!$B$1:$FP$1,0))</f>
        <v>CET16</v>
      </c>
      <c r="H7" s="33" t="str">
        <f>INDEX(Analyse!$B$2:$FP$9,MATCH($B$2,Analyse!$A$2:$A$9,0),MATCH(H$5,Analyse!$B$1:$FP$1,0))</f>
        <v>compteur remplacer avec émetteur téléR</v>
      </c>
      <c r="I7" s="33" t="str">
        <f>INDEX(Analyse!$B$2:$FP$9,MATCH($B$2,Analyse!$A$2:$A$9,0),MATCH(I$5,Analyse!$B$1:$FP$1,0))</f>
        <v>D [15-20]</v>
      </c>
      <c r="J7" s="33" t="str">
        <f>INDEX(Analyse!$B$2:$FP$9,MATCH($B$2,Analyse!$A$2:$A$9,0),MATCH(J$5,Analyse!$B$1:$FP$1,0))</f>
        <v>TOUT</v>
      </c>
      <c r="K7" s="33" t="str">
        <f>INDEX(Analyse!$B$2:$FP$9,MATCH($B$2,Analyse!$A$2:$A$9,0),MATCH(K$5,Analyse!$B$1:$FP$1,0))</f>
        <v>CET16</v>
      </c>
      <c r="L7" s="33" t="str">
        <f>INDEX(Analyse!$B$2:$FP$9,MATCH($B$2,Analyse!$A$2:$A$9,0),MATCH(L$5,Analyse!$B$1:$FP$1,0))</f>
        <v>compteur remplacer avec émetteur téléR</v>
      </c>
      <c r="M7" s="33" t="str">
        <f>INDEX(Analyse!$B$2:$FP$9,MATCH($B$2,Analyse!$A$2:$A$9,0),MATCH(M$5,Analyse!$B$1:$FP$1,0))</f>
        <v>D [15-20]</v>
      </c>
      <c r="N7" s="33" t="str">
        <f>INDEX(Analyse!$B$2:$FP$9,MATCH($B$2,Analyse!$A$2:$A$9,0),MATCH(N$5,Analyse!$B$1:$FP$1,0))</f>
        <v>Installation de télérelève</v>
      </c>
      <c r="O7" s="33" t="str">
        <f>INDEX(Analyse!$B$2:$FP$9,MATCH($B$2,Analyse!$A$2:$A$9,0),MATCH(O$5,Analyse!$B$1:$FP$1,0))</f>
        <v>DRAME Cheick EPS</v>
      </c>
      <c r="P7" s="33">
        <f>INDEX(Analyse!$B$2:$FP$9,MATCH($B$2,Analyse!$A$2:$A$9,0),MATCH(P$5,Analyse!$B$1:$FP$1,0))</f>
        <v>43262.513194444444</v>
      </c>
      <c r="Q7" s="33">
        <f>INDEX(Analyse!$B$2:$FP$9,MATCH($B$2,Analyse!$A$2:$A$9,0),MATCH(Q$5,Analyse!$B$1:$FP$1,0))</f>
        <v>6</v>
      </c>
      <c r="R7" s="28">
        <f>INDEX(Analyse!$B$2:$FP$9,MATCH($B$2,Analyse!$A$2:$A$9,0),MATCH(R$5,Analyse!$B$1:$FP$1,0))</f>
        <v>43262.513692129629</v>
      </c>
      <c r="S7" s="28">
        <f>INDEX(Analyse!$B$2:$FP$9,MATCH($B$2,Analyse!$A$2:$A$9,0),MATCH(S$5,Analyse!$B$1:$FP$1,0))</f>
        <v>43262.594641203701</v>
      </c>
      <c r="T7" s="33">
        <f>INDEX(Analyse!$B$2:$FP$9,MATCH($B$2,Analyse!$A$2:$A$9,0),MATCH(T$5,Analyse!$B$1:$FP$1,0))</f>
        <v>0</v>
      </c>
      <c r="U7" s="28">
        <f>INDEX(Analyse!$B$2:$FP$9,MATCH($B$2,Analyse!$A$2:$A$9,0),MATCH(U$5,Analyse!$B$1:$FP$1,0))</f>
        <v>43264.46837962963</v>
      </c>
      <c r="V7" s="33" t="str">
        <f>INDEX(Analyse!$B$2:$FP$9,MATCH($B$2,Analyse!$A$2:$A$9,0),MATCH(V$5,Analyse!$B$1:$FP$1,0))</f>
        <v xml:space="preserve">DRAME Cheick EPS - 11/06/18 : Malgré plusieurs tentatives de trame aucun signal </v>
      </c>
      <c r="W7" s="33">
        <f>INDEX(Analyse!$B$2:$FP$9,MATCH($B$2,Analyse!$A$2:$A$9,0),MATCH(W$5,Analyse!$B$1:$FP$1,0))</f>
        <v>15</v>
      </c>
      <c r="X7" s="33">
        <f>INDEX(Analyse!$B$2:$FP$9,MATCH($B$2,Analyse!$A$2:$A$9,0),MATCH(X$5,Analyse!$B$1:$FP$1,0))</f>
        <v>2005</v>
      </c>
      <c r="Y7" s="33" t="str">
        <f>INDEX(Analyse!$B$2:$FP$9,MATCH($B$2,Analyse!$A$2:$A$9,0),MATCH(Y$5,Analyse!$B$1:$FP$1,0))</f>
        <v>DA</v>
      </c>
      <c r="Z7" s="33" t="str">
        <f>INDEX(Analyse!$B$2:$FP$9,MATCH($B$2,Analyse!$A$2:$A$9,0),MATCH(Z$5,Analyse!$B$1:$FP$1,0))</f>
        <v>D05AA027378</v>
      </c>
      <c r="AA7" s="33" t="str">
        <f>INDEX(Analyse!$B$2:$FP$9,MATCH($B$2,Analyse!$A$2:$A$9,0),MATCH(AA$5,Analyse!$B$1:$FP$1,0))</f>
        <v>02 CAVE / 2510004305008001</v>
      </c>
      <c r="AB7" s="33">
        <f>INDEX(Analyse!$B$2:$FP$9,MATCH($B$2,Analyse!$A$2:$A$9,0),MATCH(AB$5,Analyse!$B$1:$FP$1,0))</f>
        <v>1080</v>
      </c>
      <c r="AC7" s="28">
        <f>INDEX(Analyse!$B$2:$FP$9,MATCH($B$2,Analyse!$A$2:$A$9,0),MATCH(AC$5,Analyse!$B$1:$FP$1,0))</f>
        <v>43262.507187499999</v>
      </c>
      <c r="AD7" s="33" t="str">
        <f>INDEX(Analyse!$B$2:$FP$9,MATCH($B$2,Analyse!$A$2:$A$9,0),MATCH(AD$5,Analyse!$B$1:$FP$1,0))</f>
        <v>CAVE - NON accessible</v>
      </c>
      <c r="AE7" s="33">
        <f>INDEX(Analyse!$B$2:$FP$9,MATCH($B$2,Analyse!$A$2:$A$9,0),MATCH(AE$5,Analyse!$B$1:$FP$1,0))</f>
        <v>0</v>
      </c>
      <c r="AF7" s="33">
        <f>INDEX(Analyse!$B$2:$FP$9,MATCH($B$2,Analyse!$A$2:$A$9,0),MATCH(AF$5,Analyse!$B$1:$FP$1,0))</f>
        <v>0</v>
      </c>
      <c r="AG7" s="33">
        <f>INDEX(Analyse!$B$2:$FP$9,MATCH($B$2,Analyse!$A$2:$A$9,0),MATCH(AG$5,Analyse!$B$1:$FP$1,0))</f>
        <v>15</v>
      </c>
      <c r="AH7" s="33" t="str">
        <f>INDEX(Analyse!$B$2:$FP$9,MATCH($B$2,Analyse!$A$2:$A$9,0),MATCH(AH$5,Analyse!$B$1:$FP$1,0))</f>
        <v>C18LA061381</v>
      </c>
      <c r="AI7" s="33">
        <f>INDEX(Analyse!$B$2:$FP$9,MATCH($B$2,Analyse!$A$2:$A$9,0),MATCH(AI$5,Analyse!$B$1:$FP$1,0))</f>
        <v>0</v>
      </c>
      <c r="AJ7" s="33" t="str">
        <f>INDEX(Analyse!$B$2:$FP$9,MATCH($B$2,Analyse!$A$2:$A$9,0),MATCH(AJ$5,Analyse!$B$1:$FP$1,0))</f>
        <v>11A5001067561007</v>
      </c>
      <c r="AK7" s="33">
        <f>INDEX(Analyse!$B$2:$FP$9,MATCH($B$2,Analyse!$A$2:$A$9,0),MATCH(AK$5,Analyse!$B$1:$FP$1,0))</f>
        <v>0</v>
      </c>
      <c r="AL7" s="33">
        <f>INDEX(Analyse!$B$2:$FP$9,MATCH($B$2,Analyse!$A$2:$A$9,0),MATCH(AL$5,Analyse!$B$1:$FP$1,0))</f>
        <v>0.84</v>
      </c>
      <c r="AM7" s="33">
        <f>INDEX(Analyse!$B$2:$FP$9,MATCH($B$2,Analyse!$A$2:$A$9,0),MATCH(AM$5,Analyse!$B$1:$FP$1,0))</f>
        <v>43262.507638888892</v>
      </c>
    </row>
    <row r="8" spans="1:171" s="45" customFormat="1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28"/>
      <c r="S8" s="28"/>
      <c r="T8" s="46"/>
      <c r="U8" s="28"/>
      <c r="V8" s="46"/>
      <c r="W8" s="46"/>
      <c r="X8" s="46"/>
      <c r="Y8" s="46"/>
      <c r="Z8" s="46"/>
      <c r="AA8" s="46"/>
      <c r="AB8" s="46"/>
      <c r="AC8" s="28"/>
      <c r="AD8" s="46"/>
      <c r="AE8" s="46"/>
      <c r="AF8" s="46"/>
      <c r="AG8" s="46"/>
      <c r="AH8" s="46"/>
      <c r="AI8" s="46"/>
      <c r="AJ8" s="46"/>
      <c r="AK8" s="46"/>
      <c r="AL8" s="46"/>
      <c r="AM8" s="46"/>
    </row>
    <row r="9" spans="1:171" s="43" customFormat="1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</row>
    <row r="10" spans="1:171" s="34" customFormat="1" ht="30">
      <c r="A10" s="42" t="s">
        <v>390</v>
      </c>
      <c r="B10" s="40" t="s">
        <v>399</v>
      </c>
      <c r="C10" s="40" t="s">
        <v>402</v>
      </c>
      <c r="D10" s="40" t="s">
        <v>403</v>
      </c>
      <c r="E10" s="40" t="s">
        <v>409</v>
      </c>
      <c r="F10" s="40" t="s">
        <v>410</v>
      </c>
      <c r="G10" s="40" t="s">
        <v>411</v>
      </c>
      <c r="H10" s="40" t="s">
        <v>412</v>
      </c>
      <c r="I10" s="40" t="s">
        <v>413</v>
      </c>
      <c r="J10" s="40" t="s">
        <v>434</v>
      </c>
      <c r="K10" s="40" t="s">
        <v>435</v>
      </c>
      <c r="L10" s="40" t="s">
        <v>436</v>
      </c>
      <c r="M10" s="40" t="s">
        <v>437</v>
      </c>
      <c r="N10" s="40" t="s">
        <v>438</v>
      </c>
      <c r="O10" s="40" t="s">
        <v>439</v>
      </c>
      <c r="P10" s="39" t="s">
        <v>447</v>
      </c>
      <c r="Q10" s="39" t="s">
        <v>448</v>
      </c>
    </row>
    <row r="11" spans="1:171">
      <c r="A11" t="str">
        <f>VLOOKUP(VALUE($B$2),Parc!A:CF,5,0)</f>
        <v>BAILLY</v>
      </c>
      <c r="B11" s="29" t="str">
        <f>VLOOKUP(VALUE($B$2),Parc!$A:$CG,14,0)</f>
        <v>D05AA027378</v>
      </c>
      <c r="C11" s="29">
        <f>VLOOKUP(VALUE($B$2),Parc!$A:$CG,17,0)</f>
        <v>15</v>
      </c>
      <c r="D11" s="29">
        <f>VLOOKUP(VALUE($B$2),Parc!$A:$CG,18,0)</f>
        <v>2005</v>
      </c>
      <c r="E11" s="29">
        <f>VLOOKUP(VALUE($B$2),Parc!$A:$CG,24,0)</f>
        <v>0</v>
      </c>
      <c r="F11" s="29" t="str">
        <f>VLOOKUP(VALUE($B$2),Parc!$A:$CG,25,0)</f>
        <v>Non</v>
      </c>
      <c r="G11" s="29" t="str">
        <f>VLOOKUP(VALUE($B$2),Parc!$A:$CG,26,0)</f>
        <v xml:space="preserve">NC  </v>
      </c>
      <c r="H11" s="29" t="str">
        <f>VLOOKUP(VALUE($B$2),Parc!$A:$CG,27,0)</f>
        <v>Cave - Non accessible</v>
      </c>
      <c r="I11" s="29" t="str">
        <f>VLOOKUP(VALUE($B$2),Parc!$A:$CG,28,0)</f>
        <v>02 CAVE / 2510004305008001</v>
      </c>
      <c r="J11" s="29">
        <f>VLOOKUP(VALUE($B$2),Parc!$A:$CG,49,0)</f>
        <v>11</v>
      </c>
      <c r="K11" s="29" t="str">
        <f>VLOOKUP(VALUE($B$2),Parc!$A:$CG,50,0)</f>
        <v>GRAND RUE</v>
      </c>
      <c r="L11" s="29" t="str">
        <f>VLOOKUP(VALUE($B$2),Parc!$A:$CG,51,0)</f>
        <v xml:space="preserve"> </v>
      </c>
      <c r="M11" s="29" t="str">
        <f>VLOOKUP(VALUE($B$2),Parc!$A:$CG,52,0)</f>
        <v xml:space="preserve"> </v>
      </c>
      <c r="N11" s="29" t="str">
        <f>VLOOKUP(VALUE($B$2),Parc!$A:$CG,53,0)</f>
        <v xml:space="preserve"> </v>
      </c>
      <c r="O11" s="29" t="str">
        <f>VLOOKUP(VALUE($B$2),Parc!$A:$CG,54,0)</f>
        <v>BAILLY</v>
      </c>
      <c r="P11" s="29" t="str">
        <f>VLOOKUP(VALUE($B$2),Parc!$A:$CG,62,0)</f>
        <v xml:space="preserve">MME M           </v>
      </c>
      <c r="Q11" s="29" t="str">
        <f>VLOOKUP(VALUE($B$2),Parc!$A:$CG,63,0)</f>
        <v>ROCHE, FRANCOIS</v>
      </c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</row>
    <row r="12" spans="1:171">
      <c r="A12" t="str">
        <f>INDEX(Parc!$B$2:$FR$5,MATCH(VALUE($B$2),Parc!$A$2:$A$5,0),MATCH(A$10,Parc!$B$1:$FR$1,0))</f>
        <v>BAILLY</v>
      </c>
      <c r="B12" s="43" t="str">
        <f>INDEX(Parc!$B$2:$FR$5,MATCH(VALUE($B$2),Parc!$A$2:$A$5,0),MATCH(B$10,Parc!$B$1:$FR$1,0))</f>
        <v>D05AA027378</v>
      </c>
      <c r="C12" s="43">
        <f>INDEX(Parc!$B$2:$FR$5,MATCH(VALUE($B$2),Parc!$A$2:$A$5,0),MATCH(C$10,Parc!$B$1:$FR$1,0))</f>
        <v>15</v>
      </c>
      <c r="D12" s="43">
        <f>INDEX(Parc!$B$2:$FR$5,MATCH(VALUE($B$2),Parc!$A$2:$A$5,0),MATCH(D$10,Parc!$B$1:$FR$1,0))</f>
        <v>2005</v>
      </c>
      <c r="E12" s="43">
        <f>INDEX(Parc!$B$2:$FR$5,MATCH(VALUE($B$2),Parc!$A$2:$A$5,0),MATCH(E$10,Parc!$B$1:$FR$1,0))</f>
        <v>0</v>
      </c>
      <c r="F12" s="43" t="str">
        <f>INDEX(Parc!$B$2:$FR$5,MATCH(VALUE($B$2),Parc!$A$2:$A$5,0),MATCH(F$10,Parc!$B$1:$FR$1,0))</f>
        <v>Non</v>
      </c>
      <c r="G12" s="43" t="str">
        <f>INDEX(Parc!$B$2:$FR$5,MATCH(VALUE($B$2),Parc!$A$2:$A$5,0),MATCH(G$10,Parc!$B$1:$FR$1,0))</f>
        <v xml:space="preserve">NC  </v>
      </c>
      <c r="H12" s="43" t="str">
        <f>INDEX(Parc!$B$2:$FR$5,MATCH(VALUE($B$2),Parc!$A$2:$A$5,0),MATCH(H$10,Parc!$B$1:$FR$1,0))</f>
        <v>Cave - Non accessible</v>
      </c>
      <c r="I12" s="43" t="str">
        <f>INDEX(Parc!$B$2:$FR$5,MATCH(VALUE($B$2),Parc!$A$2:$A$5,0),MATCH(I$10,Parc!$B$1:$FR$1,0))</f>
        <v>02 CAVE / 2510004305008001</v>
      </c>
      <c r="J12" s="43">
        <f>INDEX(Parc!$B$2:$FR$5,MATCH(VALUE($B$2),Parc!$A$2:$A$5,0),MATCH(J$10,Parc!$B$1:$FR$1,0))</f>
        <v>11</v>
      </c>
      <c r="K12" s="43" t="str">
        <f>INDEX(Parc!$B$2:$FR$5,MATCH(VALUE($B$2),Parc!$A$2:$A$5,0),MATCH(K$10,Parc!$B$1:$FR$1,0))</f>
        <v>GRAND RUE</v>
      </c>
      <c r="L12" s="43" t="str">
        <f>INDEX(Parc!$B$2:$FR$5,MATCH(VALUE($B$2),Parc!$A$2:$A$5,0),MATCH(L$10,Parc!$B$1:$FR$1,0))</f>
        <v xml:space="preserve"> </v>
      </c>
      <c r="M12" s="43" t="str">
        <f>INDEX(Parc!$B$2:$FR$5,MATCH(VALUE($B$2),Parc!$A$2:$A$5,0),MATCH(M$10,Parc!$B$1:$FR$1,0))</f>
        <v xml:space="preserve"> </v>
      </c>
      <c r="N12" s="43" t="str">
        <f>INDEX(Parc!$B$2:$FR$5,MATCH(VALUE($B$2),Parc!$A$2:$A$5,0),MATCH(N$10,Parc!$B$1:$FR$1,0))</f>
        <v xml:space="preserve"> </v>
      </c>
      <c r="O12" s="43" t="str">
        <f>INDEX(Parc!$B$2:$FR$5,MATCH(VALUE($B$2),Parc!$A$2:$A$5,0),MATCH(O$10,Parc!$B$1:$FR$1,0))</f>
        <v>BAILLY</v>
      </c>
      <c r="P12" s="43" t="str">
        <f>INDEX(Parc!$B$2:$FR$5,MATCH(VALUE($B$2),Parc!$A$2:$A$5,0),MATCH(P$10,Parc!$B$1:$FR$1,0))</f>
        <v xml:space="preserve">MME M           </v>
      </c>
      <c r="Q12" s="43" t="str">
        <f>INDEX(Parc!$B$2:$FR$5,MATCH(VALUE($B$2),Parc!$A$2:$A$5,0),MATCH(Q$10,Parc!$B$1:$FR$1,0))</f>
        <v>ROCHE, FRANCOIS</v>
      </c>
    </row>
    <row r="16" spans="1:171">
      <c r="A1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T9"/>
  <sheetViews>
    <sheetView zoomScaleNormal="100" workbookViewId="0">
      <selection activeCell="A5" sqref="A5"/>
    </sheetView>
  </sheetViews>
  <sheetFormatPr baseColWidth="10" defaultRowHeight="15"/>
  <cols>
    <col min="1" max="1" width="13.28515625" style="14" customWidth="1"/>
    <col min="2" max="2" width="10" customWidth="1"/>
    <col min="3" max="3" width="14.28515625" bestFit="1" customWidth="1"/>
    <col min="4" max="4" width="17" bestFit="1" customWidth="1"/>
    <col min="5" max="5" width="27.42578125" bestFit="1" customWidth="1"/>
    <col min="6" max="6" width="29.140625" bestFit="1" customWidth="1"/>
    <col min="7" max="7" width="19.28515625" customWidth="1"/>
    <col min="8" max="8" width="19.7109375" bestFit="1" customWidth="1"/>
    <col min="9" max="9" width="16.5703125" customWidth="1"/>
    <col min="10" max="10" width="27.140625" bestFit="1" customWidth="1"/>
    <col min="11" max="11" width="24.5703125" customWidth="1"/>
    <col min="12" max="12" width="88.5703125" customWidth="1"/>
    <col min="13" max="13" width="16.28515625" customWidth="1"/>
    <col min="14" max="14" width="23.140625" bestFit="1" customWidth="1"/>
    <col min="15" max="15" width="53" customWidth="1"/>
    <col min="16" max="16" width="20.140625" customWidth="1"/>
    <col min="17" max="17" width="18.140625" customWidth="1"/>
    <col min="18" max="18" width="53" customWidth="1"/>
    <col min="19" max="19" width="18.7109375" customWidth="1"/>
    <col min="20" max="20" width="26.85546875" bestFit="1" customWidth="1"/>
    <col min="21" max="21" width="19.7109375" customWidth="1"/>
    <col min="22" max="22" width="132.5703125" customWidth="1"/>
    <col min="23" max="23" width="16.7109375" customWidth="1"/>
    <col min="24" max="24" width="36.140625" bestFit="1" customWidth="1"/>
    <col min="25" max="25" width="62.5703125" customWidth="1"/>
    <col min="26" max="26" width="25.85546875" customWidth="1"/>
    <col min="27" max="27" width="14.140625" customWidth="1"/>
    <col min="28" max="28" width="12.140625" customWidth="1"/>
    <col min="29" max="29" width="10.5703125" customWidth="1"/>
    <col min="30" max="31" width="14.28515625" bestFit="1" customWidth="1"/>
    <col min="32" max="33" width="14.7109375" bestFit="1" customWidth="1"/>
    <col min="34" max="35" width="18.42578125" bestFit="1" customWidth="1"/>
    <col min="36" max="36" width="22.7109375" bestFit="1" customWidth="1"/>
    <col min="37" max="37" width="30.28515625" bestFit="1" customWidth="1"/>
    <col min="38" max="38" width="31.85546875" bestFit="1" customWidth="1"/>
    <col min="39" max="39" width="26.42578125" customWidth="1"/>
    <col min="40" max="40" width="73.28515625" bestFit="1" customWidth="1"/>
    <col min="41" max="41" width="9.85546875" customWidth="1"/>
    <col min="42" max="42" width="24.5703125" bestFit="1" customWidth="1"/>
    <col min="43" max="43" width="35.85546875" customWidth="1"/>
    <col min="44" max="44" width="23.28515625" customWidth="1"/>
    <col min="45" max="45" width="14.140625" customWidth="1"/>
    <col min="46" max="46" width="31" bestFit="1" customWidth="1"/>
    <col min="47" max="47" width="44.85546875" bestFit="1" customWidth="1"/>
    <col min="48" max="48" width="39.7109375" customWidth="1"/>
    <col min="49" max="49" width="23.28515625" customWidth="1"/>
    <col min="50" max="50" width="24.42578125" bestFit="1" customWidth="1"/>
    <col min="51" max="51" width="44.85546875" bestFit="1" customWidth="1"/>
    <col min="52" max="52" width="39.7109375" customWidth="1"/>
    <col min="53" max="53" width="43.42578125" customWidth="1"/>
    <col min="54" max="54" width="33" customWidth="1"/>
    <col min="55" max="55" width="255.7109375" customWidth="1"/>
    <col min="56" max="56" width="17.7109375" customWidth="1"/>
    <col min="57" max="57" width="33.85546875" bestFit="1" customWidth="1"/>
    <col min="58" max="58" width="22.42578125" customWidth="1"/>
    <col min="59" max="59" width="14.28515625" customWidth="1"/>
    <col min="60" max="60" width="17.140625" bestFit="1" customWidth="1"/>
    <col min="61" max="61" width="18.140625" bestFit="1" customWidth="1"/>
    <col min="62" max="62" width="23" bestFit="1" customWidth="1"/>
    <col min="63" max="63" width="15.7109375" customWidth="1"/>
    <col min="64" max="64" width="27.140625" bestFit="1" customWidth="1"/>
    <col min="65" max="65" width="15.7109375" customWidth="1"/>
    <col min="66" max="66" width="15.7109375" bestFit="1" customWidth="1"/>
    <col min="67" max="67" width="53.7109375" bestFit="1" customWidth="1"/>
    <col min="68" max="68" width="18.7109375" customWidth="1"/>
    <col min="69" max="69" width="15.85546875" customWidth="1"/>
    <col min="70" max="70" width="17.5703125" bestFit="1" customWidth="1"/>
    <col min="71" max="71" width="33" bestFit="1" customWidth="1"/>
    <col min="72" max="72" width="30.28515625" customWidth="1"/>
    <col min="73" max="73" width="15.7109375" customWidth="1"/>
    <col min="74" max="74" width="15.7109375" bestFit="1" customWidth="1"/>
    <col min="75" max="75" width="10.140625" customWidth="1"/>
    <col min="76" max="76" width="30" bestFit="1" customWidth="1"/>
    <col min="77" max="77" width="29.140625" customWidth="1"/>
    <col min="78" max="78" width="20" customWidth="1"/>
    <col min="79" max="79" width="19.85546875" customWidth="1"/>
    <col min="80" max="80" width="26.7109375" bestFit="1" customWidth="1"/>
    <col min="81" max="81" width="25.85546875" customWidth="1"/>
    <col min="82" max="82" width="255.7109375" customWidth="1"/>
    <col min="83" max="83" width="11.5703125" customWidth="1"/>
    <col min="84" max="84" width="13.28515625" bestFit="1" customWidth="1"/>
    <col min="85" max="85" width="32.28515625" bestFit="1" customWidth="1"/>
    <col min="86" max="86" width="48.140625" customWidth="1"/>
    <col min="87" max="87" width="48" customWidth="1"/>
    <col min="88" max="88" width="5.28515625" customWidth="1"/>
    <col min="89" max="89" width="5.28515625" bestFit="1" customWidth="1"/>
    <col min="90" max="91" width="5.7109375" bestFit="1" customWidth="1"/>
    <col min="92" max="92" width="19.28515625" bestFit="1" customWidth="1"/>
    <col min="93" max="93" width="26" bestFit="1" customWidth="1"/>
    <col min="94" max="94" width="13.140625" customWidth="1"/>
    <col min="95" max="95" width="11.140625" customWidth="1"/>
    <col min="96" max="96" width="10.42578125" customWidth="1"/>
    <col min="97" max="97" width="10.140625" customWidth="1"/>
    <col min="98" max="98" width="20.7109375" bestFit="1" customWidth="1"/>
    <col min="99" max="99" width="21" bestFit="1" customWidth="1"/>
    <col min="100" max="100" width="19.42578125" customWidth="1"/>
    <col min="101" max="101" width="21" bestFit="1" customWidth="1"/>
    <col min="102" max="102" width="36" bestFit="1" customWidth="1"/>
    <col min="103" max="103" width="14.42578125" customWidth="1"/>
    <col min="104" max="104" width="15.7109375" bestFit="1" customWidth="1"/>
    <col min="105" max="105" width="26" bestFit="1" customWidth="1"/>
    <col min="106" max="106" width="17.42578125" customWidth="1"/>
    <col min="107" max="107" width="20.28515625" bestFit="1" customWidth="1"/>
    <col min="108" max="108" width="27.140625" bestFit="1" customWidth="1"/>
    <col min="109" max="109" width="14.7109375" customWidth="1"/>
    <col min="110" max="110" width="17.85546875" bestFit="1" customWidth="1"/>
    <col min="111" max="111" width="20.28515625" customWidth="1"/>
    <col min="112" max="112" width="30.42578125" bestFit="1" customWidth="1"/>
    <col min="113" max="113" width="26.140625" customWidth="1"/>
    <col min="114" max="114" width="21.7109375" customWidth="1"/>
    <col min="115" max="115" width="24.140625" bestFit="1" customWidth="1"/>
    <col min="116" max="116" width="29.140625" bestFit="1" customWidth="1"/>
    <col min="117" max="117" width="17" customWidth="1"/>
    <col min="118" max="118" width="34.42578125" bestFit="1" customWidth="1"/>
    <col min="119" max="119" width="29.42578125" customWidth="1"/>
    <col min="120" max="120" width="26" customWidth="1"/>
    <col min="121" max="121" width="34.5703125" bestFit="1" customWidth="1"/>
    <col min="122" max="122" width="30.140625" customWidth="1"/>
    <col min="123" max="123" width="32.42578125" bestFit="1" customWidth="1"/>
    <col min="124" max="124" width="18.7109375" customWidth="1"/>
    <col min="125" max="125" width="17.7109375" customWidth="1"/>
    <col min="126" max="126" width="19.140625" bestFit="1" customWidth="1"/>
    <col min="127" max="127" width="23.5703125" bestFit="1" customWidth="1"/>
    <col min="128" max="128" width="16.7109375" customWidth="1"/>
    <col min="129" max="129" width="11.28515625" customWidth="1"/>
    <col min="130" max="130" width="17" bestFit="1" customWidth="1"/>
    <col min="131" max="131" width="24" bestFit="1" customWidth="1"/>
    <col min="132" max="133" width="24.140625" bestFit="1" customWidth="1"/>
    <col min="134" max="134" width="22.140625" customWidth="1"/>
    <col min="135" max="136" width="25.85546875" bestFit="1" customWidth="1"/>
    <col min="137" max="137" width="34.140625" bestFit="1" customWidth="1"/>
    <col min="138" max="138" width="38.28515625" bestFit="1" customWidth="1"/>
    <col min="139" max="140" width="38.42578125" bestFit="1" customWidth="1"/>
    <col min="141" max="141" width="26.28515625" customWidth="1"/>
    <col min="142" max="142" width="20.42578125" customWidth="1"/>
    <col min="143" max="143" width="15.7109375" customWidth="1"/>
    <col min="144" max="144" width="25.42578125" bestFit="1" customWidth="1"/>
    <col min="145" max="145" width="32.28515625" bestFit="1" customWidth="1"/>
    <col min="146" max="147" width="32.42578125" bestFit="1" customWidth="1"/>
    <col min="148" max="148" width="30.5703125" customWidth="1"/>
    <col min="149" max="149" width="23.28515625" customWidth="1"/>
    <col min="150" max="150" width="46.7109375" bestFit="1" customWidth="1"/>
    <col min="151" max="152" width="47.140625" bestFit="1" customWidth="1"/>
    <col min="153" max="153" width="30.5703125" customWidth="1"/>
    <col min="154" max="154" width="23.140625" customWidth="1"/>
    <col min="155" max="155" width="18" customWidth="1"/>
    <col min="156" max="156" width="19" customWidth="1"/>
    <col min="157" max="157" width="20" bestFit="1" customWidth="1"/>
    <col min="158" max="158" width="19.85546875" customWidth="1"/>
    <col min="159" max="159" width="19.85546875" bestFit="1" customWidth="1"/>
    <col min="160" max="160" width="28" bestFit="1" customWidth="1"/>
    <col min="161" max="161" width="18" customWidth="1"/>
    <col min="162" max="162" width="12.85546875" customWidth="1"/>
    <col min="163" max="163" width="19.7109375" bestFit="1" customWidth="1"/>
    <col min="164" max="164" width="18.7109375" customWidth="1"/>
    <col min="165" max="165" width="16.7109375" customWidth="1"/>
    <col min="166" max="166" width="15.42578125" customWidth="1"/>
    <col min="167" max="167" width="13" customWidth="1"/>
    <col min="168" max="168" width="12.7109375" customWidth="1"/>
    <col min="169" max="169" width="28.7109375" bestFit="1" customWidth="1"/>
    <col min="170" max="170" width="15.42578125" customWidth="1"/>
    <col min="171" max="171" width="14.42578125" customWidth="1"/>
    <col min="172" max="172" width="17.85546875" bestFit="1" customWidth="1"/>
    <col min="173" max="173" width="13.140625" customWidth="1"/>
    <col min="174" max="174" width="13.140625" style="14" customWidth="1"/>
    <col min="176" max="176" width="13" bestFit="1" customWidth="1"/>
  </cols>
  <sheetData>
    <row r="1" spans="1:176" ht="30">
      <c r="A1" s="16" t="s">
        <v>234</v>
      </c>
      <c r="B1" s="22" t="s">
        <v>65</v>
      </c>
      <c r="C1" s="23" t="s">
        <v>66</v>
      </c>
      <c r="D1" s="22" t="s">
        <v>67</v>
      </c>
      <c r="E1" s="22" t="s">
        <v>68</v>
      </c>
      <c r="F1" s="22" t="s">
        <v>69</v>
      </c>
      <c r="G1" s="22" t="s">
        <v>70</v>
      </c>
      <c r="H1" s="22" t="s">
        <v>71</v>
      </c>
      <c r="I1" s="22" t="s">
        <v>72</v>
      </c>
      <c r="J1" s="22" t="s">
        <v>73</v>
      </c>
      <c r="K1" s="22" t="s">
        <v>74</v>
      </c>
      <c r="L1" s="22" t="s">
        <v>75</v>
      </c>
      <c r="M1" s="22" t="s">
        <v>76</v>
      </c>
      <c r="N1" s="22" t="s">
        <v>77</v>
      </c>
      <c r="O1" s="22" t="s">
        <v>78</v>
      </c>
      <c r="P1" s="22" t="s">
        <v>79</v>
      </c>
      <c r="Q1" s="22" t="s">
        <v>80</v>
      </c>
      <c r="R1" s="22" t="s">
        <v>81</v>
      </c>
      <c r="S1" s="22" t="s">
        <v>82</v>
      </c>
      <c r="T1" s="22" t="s">
        <v>83</v>
      </c>
      <c r="U1" s="22" t="s">
        <v>84</v>
      </c>
      <c r="V1" s="22" t="s">
        <v>85</v>
      </c>
      <c r="W1" s="22" t="s">
        <v>86</v>
      </c>
      <c r="X1" s="22" t="s">
        <v>87</v>
      </c>
      <c r="Y1" s="22" t="s">
        <v>88</v>
      </c>
      <c r="Z1" s="22" t="s">
        <v>64</v>
      </c>
      <c r="AA1" s="22" t="s">
        <v>89</v>
      </c>
      <c r="AB1" s="22" t="s">
        <v>90</v>
      </c>
      <c r="AC1" s="22" t="s">
        <v>91</v>
      </c>
      <c r="AD1" s="22" t="s">
        <v>92</v>
      </c>
      <c r="AE1" s="22" t="s">
        <v>93</v>
      </c>
      <c r="AF1" s="22" t="s">
        <v>94</v>
      </c>
      <c r="AG1" s="22" t="s">
        <v>95</v>
      </c>
      <c r="AH1" s="22" t="s">
        <v>96</v>
      </c>
      <c r="AI1" s="22" t="s">
        <v>97</v>
      </c>
      <c r="AJ1" s="22" t="s">
        <v>98</v>
      </c>
      <c r="AK1" s="22" t="s">
        <v>99</v>
      </c>
      <c r="AL1" s="22" t="s">
        <v>100</v>
      </c>
      <c r="AM1" s="22" t="s">
        <v>101</v>
      </c>
      <c r="AN1" s="22" t="s">
        <v>102</v>
      </c>
      <c r="AO1" s="22" t="s">
        <v>61</v>
      </c>
      <c r="AP1" s="22" t="s">
        <v>103</v>
      </c>
      <c r="AQ1" s="22" t="s">
        <v>104</v>
      </c>
      <c r="AR1" s="22" t="s">
        <v>105</v>
      </c>
      <c r="AS1" s="22" t="s">
        <v>106</v>
      </c>
      <c r="AT1" s="22" t="s">
        <v>107</v>
      </c>
      <c r="AU1" s="22" t="s">
        <v>108</v>
      </c>
      <c r="AV1" s="22" t="s">
        <v>109</v>
      </c>
      <c r="AW1" s="22" t="s">
        <v>110</v>
      </c>
      <c r="AX1" s="22" t="s">
        <v>111</v>
      </c>
      <c r="AY1" s="22" t="s">
        <v>112</v>
      </c>
      <c r="AZ1" s="22" t="s">
        <v>113</v>
      </c>
      <c r="BA1" s="22" t="s">
        <v>114</v>
      </c>
      <c r="BB1" s="22" t="s">
        <v>115</v>
      </c>
      <c r="BC1" s="22" t="s">
        <v>116</v>
      </c>
      <c r="BD1" s="22" t="s">
        <v>117</v>
      </c>
      <c r="BE1" s="22" t="s">
        <v>118</v>
      </c>
      <c r="BF1" s="22" t="s">
        <v>119</v>
      </c>
      <c r="BG1" s="22" t="s">
        <v>120</v>
      </c>
      <c r="BH1" s="22" t="s">
        <v>121</v>
      </c>
      <c r="BI1" s="22" t="s">
        <v>122</v>
      </c>
      <c r="BJ1" s="22" t="s">
        <v>123</v>
      </c>
      <c r="BK1" s="22" t="s">
        <v>124</v>
      </c>
      <c r="BL1" s="22" t="s">
        <v>125</v>
      </c>
      <c r="BM1" s="22" t="s">
        <v>126</v>
      </c>
      <c r="BN1" s="22" t="s">
        <v>127</v>
      </c>
      <c r="BO1" s="22" t="s">
        <v>128</v>
      </c>
      <c r="BP1" s="22" t="s">
        <v>129</v>
      </c>
      <c r="BQ1" s="22" t="s">
        <v>130</v>
      </c>
      <c r="BR1" s="22" t="s">
        <v>131</v>
      </c>
      <c r="BS1" s="22" t="s">
        <v>132</v>
      </c>
      <c r="BT1" s="22" t="s">
        <v>133</v>
      </c>
      <c r="BU1" s="22" t="s">
        <v>134</v>
      </c>
      <c r="BV1" s="22" t="s">
        <v>135</v>
      </c>
      <c r="BW1" s="22" t="s">
        <v>136</v>
      </c>
      <c r="BX1" s="22" t="s">
        <v>137</v>
      </c>
      <c r="BY1" s="22" t="s">
        <v>138</v>
      </c>
      <c r="BZ1" s="22" t="s">
        <v>139</v>
      </c>
      <c r="CA1" s="22" t="s">
        <v>140</v>
      </c>
      <c r="CB1" s="22" t="s">
        <v>141</v>
      </c>
      <c r="CC1" s="22" t="s">
        <v>142</v>
      </c>
      <c r="CD1" s="22" t="s">
        <v>143</v>
      </c>
      <c r="CE1" s="22" t="s">
        <v>144</v>
      </c>
      <c r="CF1" s="22" t="s">
        <v>145</v>
      </c>
      <c r="CG1" s="22" t="s">
        <v>146</v>
      </c>
      <c r="CH1" s="22" t="s">
        <v>147</v>
      </c>
      <c r="CI1" s="22" t="s">
        <v>148</v>
      </c>
      <c r="CJ1" s="22" t="s">
        <v>149</v>
      </c>
      <c r="CK1" s="22" t="s">
        <v>150</v>
      </c>
      <c r="CL1" s="22" t="s">
        <v>151</v>
      </c>
      <c r="CM1" s="22" t="s">
        <v>152</v>
      </c>
      <c r="CN1" s="22" t="s">
        <v>153</v>
      </c>
      <c r="CO1" s="22" t="s">
        <v>154</v>
      </c>
      <c r="CP1" s="22" t="s">
        <v>155</v>
      </c>
      <c r="CQ1" s="22" t="s">
        <v>156</v>
      </c>
      <c r="CR1" s="22" t="s">
        <v>157</v>
      </c>
      <c r="CS1" s="22" t="s">
        <v>158</v>
      </c>
      <c r="CT1" s="22" t="s">
        <v>159</v>
      </c>
      <c r="CU1" s="22" t="s">
        <v>160</v>
      </c>
      <c r="CV1" s="22" t="s">
        <v>161</v>
      </c>
      <c r="CW1" s="22" t="s">
        <v>162</v>
      </c>
      <c r="CX1" s="22" t="s">
        <v>163</v>
      </c>
      <c r="CY1" s="22" t="s">
        <v>164</v>
      </c>
      <c r="CZ1" s="22" t="s">
        <v>165</v>
      </c>
      <c r="DA1" s="22" t="s">
        <v>166</v>
      </c>
      <c r="DB1" s="22" t="s">
        <v>167</v>
      </c>
      <c r="DC1" s="22" t="s">
        <v>168</v>
      </c>
      <c r="DD1" s="22" t="s">
        <v>169</v>
      </c>
      <c r="DE1" s="22" t="s">
        <v>170</v>
      </c>
      <c r="DF1" s="22" t="s">
        <v>171</v>
      </c>
      <c r="DG1" s="22" t="s">
        <v>172</v>
      </c>
      <c r="DH1" s="22" t="s">
        <v>173</v>
      </c>
      <c r="DI1" s="22" t="s">
        <v>174</v>
      </c>
      <c r="DJ1" s="22" t="s">
        <v>175</v>
      </c>
      <c r="DK1" s="22" t="s">
        <v>176</v>
      </c>
      <c r="DL1" s="22" t="s">
        <v>177</v>
      </c>
      <c r="DM1" s="22" t="s">
        <v>178</v>
      </c>
      <c r="DN1" s="22" t="s">
        <v>179</v>
      </c>
      <c r="DO1" s="22" t="s">
        <v>180</v>
      </c>
      <c r="DP1" s="22" t="s">
        <v>181</v>
      </c>
      <c r="DQ1" s="22" t="s">
        <v>182</v>
      </c>
      <c r="DR1" s="22" t="s">
        <v>183</v>
      </c>
      <c r="DS1" s="22" t="s">
        <v>184</v>
      </c>
      <c r="DT1" s="22" t="s">
        <v>185</v>
      </c>
      <c r="DU1" s="22" t="s">
        <v>186</v>
      </c>
      <c r="DV1" s="22" t="s">
        <v>187</v>
      </c>
      <c r="DW1" s="22" t="s">
        <v>188</v>
      </c>
      <c r="DX1" s="22" t="s">
        <v>189</v>
      </c>
      <c r="DY1" s="22" t="s">
        <v>190</v>
      </c>
      <c r="DZ1" s="22" t="s">
        <v>191</v>
      </c>
      <c r="EA1" s="22" t="s">
        <v>192</v>
      </c>
      <c r="EB1" s="22" t="s">
        <v>193</v>
      </c>
      <c r="EC1" s="22" t="s">
        <v>194</v>
      </c>
      <c r="ED1" s="22" t="s">
        <v>195</v>
      </c>
      <c r="EE1" s="22" t="s">
        <v>196</v>
      </c>
      <c r="EF1" s="22" t="s">
        <v>197</v>
      </c>
      <c r="EG1" s="22" t="s">
        <v>198</v>
      </c>
      <c r="EH1" s="22" t="s">
        <v>199</v>
      </c>
      <c r="EI1" s="22" t="s">
        <v>200</v>
      </c>
      <c r="EJ1" s="22" t="s">
        <v>201</v>
      </c>
      <c r="EK1" s="22" t="s">
        <v>202</v>
      </c>
      <c r="EL1" s="22" t="s">
        <v>203</v>
      </c>
      <c r="EM1" s="22" t="s">
        <v>204</v>
      </c>
      <c r="EN1" s="22" t="s">
        <v>205</v>
      </c>
      <c r="EO1" s="22" t="s">
        <v>206</v>
      </c>
      <c r="EP1" s="22" t="s">
        <v>207</v>
      </c>
      <c r="EQ1" s="22" t="s">
        <v>208</v>
      </c>
      <c r="ER1" s="22" t="s">
        <v>209</v>
      </c>
      <c r="ES1" s="22" t="s">
        <v>210</v>
      </c>
      <c r="ET1" s="22" t="s">
        <v>211</v>
      </c>
      <c r="EU1" s="22" t="s">
        <v>212</v>
      </c>
      <c r="EV1" s="22" t="s">
        <v>213</v>
      </c>
      <c r="EW1" s="22" t="s">
        <v>214</v>
      </c>
      <c r="EX1" s="22" t="s">
        <v>215</v>
      </c>
      <c r="EY1" s="22" t="s">
        <v>216</v>
      </c>
      <c r="EZ1" s="22" t="s">
        <v>217</v>
      </c>
      <c r="FA1" s="22" t="s">
        <v>218</v>
      </c>
      <c r="FB1" s="22" t="s">
        <v>219</v>
      </c>
      <c r="FC1" s="22" t="s">
        <v>220</v>
      </c>
      <c r="FD1" s="22" t="s">
        <v>221</v>
      </c>
      <c r="FE1" s="22" t="s">
        <v>222</v>
      </c>
      <c r="FF1" s="22" t="s">
        <v>223</v>
      </c>
      <c r="FG1" s="22" t="s">
        <v>224</v>
      </c>
      <c r="FH1" s="22" t="s">
        <v>225</v>
      </c>
      <c r="FI1" s="22" t="s">
        <v>226</v>
      </c>
      <c r="FJ1" s="22" t="s">
        <v>227</v>
      </c>
      <c r="FK1" s="22" t="s">
        <v>228</v>
      </c>
      <c r="FL1" s="22" t="s">
        <v>229</v>
      </c>
      <c r="FM1" s="22" t="s">
        <v>230</v>
      </c>
      <c r="FN1" s="22" t="s">
        <v>231</v>
      </c>
      <c r="FO1" s="22" t="s">
        <v>232</v>
      </c>
      <c r="FP1" s="22" t="s">
        <v>233</v>
      </c>
      <c r="FQ1" s="24" t="s">
        <v>351</v>
      </c>
      <c r="FR1" s="16" t="s">
        <v>352</v>
      </c>
      <c r="FT1" s="19" t="s">
        <v>60</v>
      </c>
    </row>
    <row r="2" spans="1:176">
      <c r="A2" s="15" t="s">
        <v>523</v>
      </c>
      <c r="B2" s="15">
        <v>54</v>
      </c>
      <c r="C2" s="15">
        <v>771433</v>
      </c>
      <c r="D2" s="15">
        <v>1</v>
      </c>
      <c r="E2" s="15" t="s">
        <v>235</v>
      </c>
      <c r="F2" s="15">
        <v>7027979098</v>
      </c>
      <c r="G2" s="15"/>
      <c r="H2" s="15">
        <v>0</v>
      </c>
      <c r="I2" s="15" t="s">
        <v>236</v>
      </c>
      <c r="J2" s="15" t="s">
        <v>255</v>
      </c>
      <c r="K2" s="15"/>
      <c r="L2" s="15" t="s">
        <v>269</v>
      </c>
      <c r="M2" s="17">
        <v>43122.667534722219</v>
      </c>
      <c r="N2" s="17">
        <v>43136.761701388888</v>
      </c>
      <c r="O2" s="15" t="s">
        <v>287</v>
      </c>
      <c r="P2" s="15" t="s">
        <v>288</v>
      </c>
      <c r="Q2" s="15">
        <v>3954519618</v>
      </c>
      <c r="R2" s="15" t="s">
        <v>287</v>
      </c>
      <c r="S2" s="15"/>
      <c r="T2" s="15" t="s">
        <v>288</v>
      </c>
      <c r="U2" s="15"/>
      <c r="V2" s="15" t="s">
        <v>289</v>
      </c>
      <c r="W2" s="15" t="s">
        <v>237</v>
      </c>
      <c r="X2" s="15" t="s">
        <v>270</v>
      </c>
      <c r="Y2" s="15" t="s">
        <v>290</v>
      </c>
      <c r="Z2" s="15" t="s">
        <v>266</v>
      </c>
      <c r="AA2" s="15"/>
      <c r="AB2" s="15">
        <v>0</v>
      </c>
      <c r="AC2" s="15">
        <v>0</v>
      </c>
      <c r="AD2" s="15"/>
      <c r="AE2" s="15"/>
      <c r="AF2" s="15">
        <v>0</v>
      </c>
      <c r="AG2" s="15">
        <v>0</v>
      </c>
      <c r="AH2" s="15" t="s">
        <v>238</v>
      </c>
      <c r="AI2" s="15"/>
      <c r="AJ2" s="15" t="s">
        <v>235</v>
      </c>
      <c r="AK2" s="15" t="s">
        <v>235</v>
      </c>
      <c r="AL2" s="15">
        <v>7027979098</v>
      </c>
      <c r="AM2" s="15">
        <v>17930</v>
      </c>
      <c r="AN2" s="15" t="s">
        <v>239</v>
      </c>
      <c r="AO2" s="15" t="s">
        <v>62</v>
      </c>
      <c r="AP2" s="15" t="s">
        <v>63</v>
      </c>
      <c r="AQ2" s="15" t="s">
        <v>286</v>
      </c>
      <c r="AR2" s="15">
        <v>0</v>
      </c>
      <c r="AS2" s="15">
        <v>0</v>
      </c>
      <c r="AT2" s="15" t="s">
        <v>244</v>
      </c>
      <c r="AU2" s="15" t="s">
        <v>245</v>
      </c>
      <c r="AV2" s="15" t="s">
        <v>246</v>
      </c>
      <c r="AW2" s="15" t="s">
        <v>243</v>
      </c>
      <c r="AX2" s="15" t="s">
        <v>244</v>
      </c>
      <c r="AY2" s="15" t="s">
        <v>245</v>
      </c>
      <c r="AZ2" s="15" t="s">
        <v>242</v>
      </c>
      <c r="BA2" s="15" t="s">
        <v>247</v>
      </c>
      <c r="BB2" s="15"/>
      <c r="BC2" s="15" t="s">
        <v>267</v>
      </c>
      <c r="BD2" s="15" t="s">
        <v>248</v>
      </c>
      <c r="BE2" s="15" t="s">
        <v>249</v>
      </c>
      <c r="BF2" s="15">
        <v>0</v>
      </c>
      <c r="BG2" s="15" t="s">
        <v>260</v>
      </c>
      <c r="BH2" s="17">
        <v>43122.671354166669</v>
      </c>
      <c r="BI2" s="17">
        <v>43152.671354166669</v>
      </c>
      <c r="BJ2" s="17">
        <v>43122.671354166669</v>
      </c>
      <c r="BK2" s="17">
        <v>43130.375</v>
      </c>
      <c r="BL2" s="15" t="s">
        <v>274</v>
      </c>
      <c r="BM2" s="17">
        <v>43130.375</v>
      </c>
      <c r="BN2" s="17">
        <v>43130.40625</v>
      </c>
      <c r="BO2" s="15" t="s">
        <v>284</v>
      </c>
      <c r="BP2" s="17">
        <v>43130.603472222225</v>
      </c>
      <c r="BQ2" s="17">
        <v>43130.615972222222</v>
      </c>
      <c r="BR2" s="15">
        <v>1</v>
      </c>
      <c r="BS2" s="15">
        <v>7.9354166666666703</v>
      </c>
      <c r="BT2" s="15">
        <v>7.9479166666666696</v>
      </c>
      <c r="BU2" s="17">
        <v>43130.616030092591</v>
      </c>
      <c r="BV2" s="17">
        <v>43131.38422453704</v>
      </c>
      <c r="BW2" s="15"/>
      <c r="BX2" s="17">
        <v>43136.761701388888</v>
      </c>
      <c r="BY2" s="15"/>
      <c r="BZ2" s="15">
        <v>1</v>
      </c>
      <c r="CA2" s="15">
        <v>0</v>
      </c>
      <c r="CB2" s="15">
        <v>0</v>
      </c>
      <c r="CC2" s="15">
        <v>0</v>
      </c>
      <c r="CD2" s="15" t="s">
        <v>291</v>
      </c>
      <c r="CE2" s="15">
        <v>0</v>
      </c>
      <c r="CF2" s="15">
        <v>0</v>
      </c>
      <c r="CG2" s="15">
        <v>1</v>
      </c>
      <c r="CH2" s="15"/>
      <c r="CI2" s="15"/>
      <c r="CJ2" s="15"/>
      <c r="CK2" s="15"/>
      <c r="CL2" s="15"/>
      <c r="CM2" s="15"/>
      <c r="CN2" s="15">
        <v>1</v>
      </c>
      <c r="CO2" s="15">
        <v>0</v>
      </c>
      <c r="CP2" s="15">
        <v>3954519618</v>
      </c>
      <c r="CQ2" s="15"/>
      <c r="CR2" s="15"/>
      <c r="CS2" s="15"/>
      <c r="CT2" s="15">
        <v>30</v>
      </c>
      <c r="CU2" s="15">
        <v>2007</v>
      </c>
      <c r="CV2" s="15" t="s">
        <v>292</v>
      </c>
      <c r="CW2" s="15" t="s">
        <v>293</v>
      </c>
      <c r="CX2" s="15" t="s">
        <v>285</v>
      </c>
      <c r="CY2" s="15">
        <v>4765</v>
      </c>
      <c r="CZ2" s="17">
        <v>43130.604108796295</v>
      </c>
      <c r="DA2" s="15" t="s">
        <v>256</v>
      </c>
      <c r="DB2" s="15"/>
      <c r="DC2" s="15" t="s">
        <v>250</v>
      </c>
      <c r="DD2" s="15" t="s">
        <v>251</v>
      </c>
      <c r="DE2" s="15"/>
      <c r="DF2" s="15" t="s">
        <v>252</v>
      </c>
      <c r="DG2" s="15"/>
      <c r="DH2" s="15" t="s">
        <v>257</v>
      </c>
      <c r="DI2" s="15" t="s">
        <v>258</v>
      </c>
      <c r="DJ2" s="15" t="s">
        <v>294</v>
      </c>
      <c r="DK2" s="15"/>
      <c r="DL2" s="15">
        <v>30</v>
      </c>
      <c r="DM2" s="15"/>
      <c r="DN2" s="15"/>
      <c r="DO2" s="15" t="s">
        <v>295</v>
      </c>
      <c r="DP2" s="15">
        <v>0</v>
      </c>
      <c r="DQ2" s="15"/>
      <c r="DR2" s="15" t="s">
        <v>49</v>
      </c>
      <c r="DS2" s="15"/>
      <c r="DT2" s="15">
        <v>9.5000000000000001E-2</v>
      </c>
      <c r="DU2" s="17">
        <v>43130.614583333336</v>
      </c>
      <c r="DV2" s="15"/>
      <c r="DW2" s="15"/>
      <c r="DX2" s="15"/>
      <c r="DY2" s="15"/>
      <c r="DZ2" s="15"/>
      <c r="EA2" s="15" t="s">
        <v>256</v>
      </c>
      <c r="EB2" s="15">
        <v>50</v>
      </c>
      <c r="EC2" s="15">
        <v>3</v>
      </c>
      <c r="ED2" s="15">
        <v>7.804300283901251E+26</v>
      </c>
      <c r="EE2" s="15"/>
      <c r="EF2" s="15"/>
      <c r="EG2" s="15"/>
      <c r="EH2" s="15" t="s">
        <v>254</v>
      </c>
      <c r="EI2" s="15"/>
      <c r="EJ2" s="15">
        <v>0</v>
      </c>
      <c r="EK2" s="15" t="s">
        <v>259</v>
      </c>
      <c r="EL2" s="15"/>
      <c r="EM2" s="15">
        <v>0</v>
      </c>
      <c r="EN2" s="15"/>
      <c r="EO2" s="15"/>
      <c r="EP2" s="15"/>
      <c r="EQ2" s="15"/>
      <c r="ER2" s="15"/>
      <c r="ES2" s="15"/>
      <c r="ET2" s="15"/>
      <c r="EU2" s="15"/>
      <c r="EV2" s="15"/>
      <c r="EW2" s="15">
        <v>0</v>
      </c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>
        <v>0</v>
      </c>
      <c r="FN2" s="15"/>
      <c r="FO2" s="15"/>
      <c r="FP2" s="15"/>
      <c r="FQ2" s="15"/>
      <c r="FR2" s="15" t="s">
        <v>350</v>
      </c>
      <c r="FT2" s="21" t="e">
        <f>RIGHT(#REF!,LEN(#REF!)-1)</f>
        <v>#REF!</v>
      </c>
    </row>
    <row r="3" spans="1:176">
      <c r="A3" s="15" t="s">
        <v>524</v>
      </c>
      <c r="B3" s="15">
        <v>54</v>
      </c>
      <c r="C3" s="15">
        <v>771910</v>
      </c>
      <c r="D3" s="15">
        <v>1</v>
      </c>
      <c r="E3" s="15" t="s">
        <v>235</v>
      </c>
      <c r="F3" s="15">
        <v>8445878610</v>
      </c>
      <c r="G3" s="15"/>
      <c r="H3" s="15">
        <v>0</v>
      </c>
      <c r="I3" s="15" t="s">
        <v>236</v>
      </c>
      <c r="J3" s="15" t="s">
        <v>255</v>
      </c>
      <c r="K3" s="15"/>
      <c r="L3" s="15" t="s">
        <v>297</v>
      </c>
      <c r="M3" s="17">
        <v>43123.580706018518</v>
      </c>
      <c r="N3" s="17">
        <v>43136.770208333335</v>
      </c>
      <c r="O3" s="15" t="s">
        <v>298</v>
      </c>
      <c r="P3" s="15" t="s">
        <v>299</v>
      </c>
      <c r="Q3" s="15">
        <v>2319706682</v>
      </c>
      <c r="R3" s="15" t="s">
        <v>298</v>
      </c>
      <c r="S3" s="15" t="s">
        <v>300</v>
      </c>
      <c r="T3" s="15" t="s">
        <v>299</v>
      </c>
      <c r="U3" s="15"/>
      <c r="V3" s="15" t="s">
        <v>301</v>
      </c>
      <c r="W3" s="15" t="s">
        <v>56</v>
      </c>
      <c r="X3" s="15" t="s">
        <v>302</v>
      </c>
      <c r="Y3" s="15"/>
      <c r="Z3" s="15" t="s">
        <v>266</v>
      </c>
      <c r="AA3" s="15"/>
      <c r="AB3" s="15">
        <v>0</v>
      </c>
      <c r="AC3" s="15">
        <v>0</v>
      </c>
      <c r="AD3" s="15"/>
      <c r="AE3" s="15"/>
      <c r="AF3" s="15">
        <v>0</v>
      </c>
      <c r="AG3" s="15">
        <v>0</v>
      </c>
      <c r="AH3" s="15" t="s">
        <v>238</v>
      </c>
      <c r="AI3" s="15"/>
      <c r="AJ3" s="15" t="s">
        <v>235</v>
      </c>
      <c r="AK3" s="15" t="s">
        <v>235</v>
      </c>
      <c r="AL3" s="15">
        <v>8445878610</v>
      </c>
      <c r="AM3" s="15">
        <v>17930</v>
      </c>
      <c r="AN3" s="15" t="s">
        <v>239</v>
      </c>
      <c r="AO3" s="15" t="s">
        <v>62</v>
      </c>
      <c r="AP3" s="15" t="s">
        <v>63</v>
      </c>
      <c r="AQ3" s="15" t="s">
        <v>296</v>
      </c>
      <c r="AR3" s="15">
        <v>0</v>
      </c>
      <c r="AS3" s="15">
        <v>0</v>
      </c>
      <c r="AT3" s="15" t="s">
        <v>271</v>
      </c>
      <c r="AU3" s="15" t="s">
        <v>272</v>
      </c>
      <c r="AV3" s="15" t="s">
        <v>273</v>
      </c>
      <c r="AW3" s="15" t="s">
        <v>243</v>
      </c>
      <c r="AX3" s="15" t="s">
        <v>271</v>
      </c>
      <c r="AY3" s="15" t="s">
        <v>272</v>
      </c>
      <c r="AZ3" s="15" t="s">
        <v>273</v>
      </c>
      <c r="BA3" s="15" t="s">
        <v>247</v>
      </c>
      <c r="BB3" s="15" t="s">
        <v>303</v>
      </c>
      <c r="BC3" s="15" t="s">
        <v>267</v>
      </c>
      <c r="BD3" s="15" t="s">
        <v>248</v>
      </c>
      <c r="BE3" s="15" t="s">
        <v>249</v>
      </c>
      <c r="BF3" s="15">
        <v>0</v>
      </c>
      <c r="BG3" s="15" t="s">
        <v>260</v>
      </c>
      <c r="BH3" s="17">
        <v>43123.581157407411</v>
      </c>
      <c r="BI3" s="17">
        <v>43153.581157407411</v>
      </c>
      <c r="BJ3" s="17">
        <v>43123.581157407411</v>
      </c>
      <c r="BK3" s="17">
        <v>43133.541666666664</v>
      </c>
      <c r="BL3" s="15" t="s">
        <v>274</v>
      </c>
      <c r="BM3" s="17">
        <v>43133.541666666664</v>
      </c>
      <c r="BN3" s="17">
        <v>43133.552083333336</v>
      </c>
      <c r="BO3" s="15" t="s">
        <v>284</v>
      </c>
      <c r="BP3" s="17">
        <v>43133.42291666667</v>
      </c>
      <c r="BQ3" s="17">
        <v>43133.429166666669</v>
      </c>
      <c r="BR3" s="15">
        <v>2</v>
      </c>
      <c r="BS3" s="15">
        <v>9.8416666666666703</v>
      </c>
      <c r="BT3" s="15">
        <v>9.84791666666667</v>
      </c>
      <c r="BU3" s="17">
        <v>43133.429618055554</v>
      </c>
      <c r="BV3" s="17">
        <v>43136.686747685184</v>
      </c>
      <c r="BW3" s="15"/>
      <c r="BX3" s="17">
        <v>43136.770208333335</v>
      </c>
      <c r="BY3" s="15"/>
      <c r="BZ3" s="15">
        <v>1</v>
      </c>
      <c r="CA3" s="15">
        <v>0</v>
      </c>
      <c r="CB3" s="15">
        <v>0</v>
      </c>
      <c r="CC3" s="15">
        <v>0</v>
      </c>
      <c r="CD3" s="15" t="s">
        <v>304</v>
      </c>
      <c r="CE3" s="15">
        <v>0</v>
      </c>
      <c r="CF3" s="15">
        <v>0</v>
      </c>
      <c r="CG3" s="15">
        <v>1</v>
      </c>
      <c r="CH3" s="15"/>
      <c r="CI3" s="15"/>
      <c r="CJ3" s="15"/>
      <c r="CK3" s="15"/>
      <c r="CL3" s="15"/>
      <c r="CM3" s="15"/>
      <c r="CN3" s="15">
        <v>1</v>
      </c>
      <c r="CO3" s="15">
        <v>0</v>
      </c>
      <c r="CP3" s="15">
        <v>2319706682</v>
      </c>
      <c r="CQ3" s="15"/>
      <c r="CR3" s="15"/>
      <c r="CS3" s="15"/>
      <c r="CT3" s="15">
        <v>20</v>
      </c>
      <c r="CU3" s="15">
        <v>2010</v>
      </c>
      <c r="CV3" s="15" t="s">
        <v>268</v>
      </c>
      <c r="CW3" s="15" t="s">
        <v>39</v>
      </c>
      <c r="CX3" s="15" t="s">
        <v>305</v>
      </c>
      <c r="CY3" s="15">
        <v>1251</v>
      </c>
      <c r="CZ3" s="17">
        <v>43133.423437500001</v>
      </c>
      <c r="DA3" s="15" t="s">
        <v>254</v>
      </c>
      <c r="DB3" s="15"/>
      <c r="DC3" s="15" t="s">
        <v>250</v>
      </c>
      <c r="DD3" s="15" t="s">
        <v>251</v>
      </c>
      <c r="DE3" s="15"/>
      <c r="DF3" s="15" t="s">
        <v>252</v>
      </c>
      <c r="DG3" s="15"/>
      <c r="DH3" s="15" t="s">
        <v>262</v>
      </c>
      <c r="DI3" s="15"/>
      <c r="DJ3" s="15"/>
      <c r="DK3" s="15"/>
      <c r="DL3" s="15">
        <v>0</v>
      </c>
      <c r="DM3" s="15"/>
      <c r="DN3" s="15"/>
      <c r="DO3" s="15"/>
      <c r="DP3" s="15"/>
      <c r="DQ3" s="15"/>
      <c r="DR3" s="15" t="s">
        <v>40</v>
      </c>
      <c r="DS3" s="15"/>
      <c r="DT3" s="15">
        <v>12551.300999999999</v>
      </c>
      <c r="DU3" s="17">
        <v>43133.423611111109</v>
      </c>
      <c r="DV3" s="15"/>
      <c r="DW3" s="15"/>
      <c r="DX3" s="15"/>
      <c r="DY3" s="15"/>
      <c r="DZ3" s="15"/>
      <c r="EA3" s="15" t="s">
        <v>253</v>
      </c>
      <c r="EB3" s="15">
        <v>20</v>
      </c>
      <c r="EC3" s="15">
        <v>0</v>
      </c>
      <c r="ED3" s="15">
        <v>7.8043002476022504E+26</v>
      </c>
      <c r="EE3" s="15"/>
      <c r="EF3" s="15"/>
      <c r="EG3" s="15"/>
      <c r="EH3" s="15" t="s">
        <v>254</v>
      </c>
      <c r="EI3" s="15"/>
      <c r="EJ3" s="15">
        <v>0</v>
      </c>
      <c r="EK3" s="15" t="s">
        <v>259</v>
      </c>
      <c r="EL3" s="15"/>
      <c r="EM3" s="15">
        <v>0</v>
      </c>
      <c r="EN3" s="15"/>
      <c r="EO3" s="15"/>
      <c r="EP3" s="15"/>
      <c r="EQ3" s="15"/>
      <c r="ER3" s="15"/>
      <c r="ES3" s="15"/>
      <c r="ET3" s="15"/>
      <c r="EU3" s="15"/>
      <c r="EV3" s="15"/>
      <c r="EW3" s="15">
        <v>0</v>
      </c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>
        <v>0</v>
      </c>
      <c r="FN3" s="15"/>
      <c r="FO3" s="15"/>
      <c r="FP3" s="15"/>
      <c r="FQ3" s="15"/>
      <c r="FR3" s="15" t="s">
        <v>38</v>
      </c>
      <c r="FT3" s="20" t="e">
        <f>RIGHT(#REF!,LEN(#REF!)-1)</f>
        <v>#REF!</v>
      </c>
    </row>
    <row r="4" spans="1:176">
      <c r="A4" s="15" t="s">
        <v>525</v>
      </c>
      <c r="B4" s="15">
        <v>54</v>
      </c>
      <c r="C4" s="15">
        <v>829617</v>
      </c>
      <c r="D4" s="15">
        <v>1</v>
      </c>
      <c r="E4" s="15" t="s">
        <v>235</v>
      </c>
      <c r="F4" s="15">
        <v>2447466178</v>
      </c>
      <c r="G4" s="15"/>
      <c r="H4" s="15">
        <v>0</v>
      </c>
      <c r="I4" s="15" t="s">
        <v>236</v>
      </c>
      <c r="J4" s="15" t="s">
        <v>255</v>
      </c>
      <c r="K4" s="15"/>
      <c r="L4" s="15" t="s">
        <v>319</v>
      </c>
      <c r="M4" s="17">
        <v>43252.667511574073</v>
      </c>
      <c r="N4" s="17">
        <v>43264.468229166669</v>
      </c>
      <c r="O4" s="15" t="s">
        <v>320</v>
      </c>
      <c r="P4" s="15" t="s">
        <v>321</v>
      </c>
      <c r="Q4" s="15">
        <v>9615929435</v>
      </c>
      <c r="R4" s="15" t="s">
        <v>320</v>
      </c>
      <c r="S4" s="15" t="s">
        <v>322</v>
      </c>
      <c r="T4" s="15" t="s">
        <v>321</v>
      </c>
      <c r="U4" s="15"/>
      <c r="V4" s="15"/>
      <c r="W4" s="15" t="s">
        <v>36</v>
      </c>
      <c r="X4" s="15" t="s">
        <v>310</v>
      </c>
      <c r="Y4" s="15"/>
      <c r="Z4" s="15" t="s">
        <v>266</v>
      </c>
      <c r="AA4" s="15"/>
      <c r="AB4" s="15">
        <v>0</v>
      </c>
      <c r="AC4" s="15">
        <v>0</v>
      </c>
      <c r="AD4" s="15"/>
      <c r="AE4" s="15"/>
      <c r="AF4" s="15">
        <v>0</v>
      </c>
      <c r="AG4" s="15">
        <v>0</v>
      </c>
      <c r="AH4" s="15" t="s">
        <v>238</v>
      </c>
      <c r="AI4" s="15"/>
      <c r="AJ4" s="15" t="s">
        <v>235</v>
      </c>
      <c r="AK4" s="15" t="s">
        <v>235</v>
      </c>
      <c r="AL4" s="15">
        <v>2447466178</v>
      </c>
      <c r="AM4" s="15">
        <v>17930</v>
      </c>
      <c r="AN4" s="15" t="s">
        <v>239</v>
      </c>
      <c r="AO4" s="15" t="s">
        <v>62</v>
      </c>
      <c r="AP4" s="15" t="s">
        <v>63</v>
      </c>
      <c r="AQ4" s="15" t="s">
        <v>318</v>
      </c>
      <c r="AR4" s="15">
        <v>0</v>
      </c>
      <c r="AS4" s="15">
        <v>0</v>
      </c>
      <c r="AT4" s="15" t="s">
        <v>244</v>
      </c>
      <c r="AU4" s="15" t="s">
        <v>245</v>
      </c>
      <c r="AV4" s="15" t="s">
        <v>246</v>
      </c>
      <c r="AW4" s="15" t="s">
        <v>243</v>
      </c>
      <c r="AX4" s="15" t="s">
        <v>244</v>
      </c>
      <c r="AY4" s="15" t="s">
        <v>245</v>
      </c>
      <c r="AZ4" s="15" t="s">
        <v>246</v>
      </c>
      <c r="BA4" s="15" t="s">
        <v>247</v>
      </c>
      <c r="BB4" s="15" t="s">
        <v>57</v>
      </c>
      <c r="BC4" s="15" t="s">
        <v>267</v>
      </c>
      <c r="BD4" s="15" t="s">
        <v>248</v>
      </c>
      <c r="BE4" s="15" t="s">
        <v>249</v>
      </c>
      <c r="BF4" s="15">
        <v>0</v>
      </c>
      <c r="BG4" s="15" t="s">
        <v>261</v>
      </c>
      <c r="BH4" s="17">
        <v>43252.668344907404</v>
      </c>
      <c r="BI4" s="17">
        <v>43282.668344907404</v>
      </c>
      <c r="BJ4" s="17">
        <v>43252.668344907404</v>
      </c>
      <c r="BK4" s="17">
        <v>43262.645833333336</v>
      </c>
      <c r="BL4" s="15" t="s">
        <v>274</v>
      </c>
      <c r="BM4" s="17">
        <v>43262.645833333336</v>
      </c>
      <c r="BN4" s="17">
        <v>43262.663194444445</v>
      </c>
      <c r="BO4" s="15" t="s">
        <v>317</v>
      </c>
      <c r="BP4" s="17">
        <v>43262.345833333333</v>
      </c>
      <c r="BQ4" s="17">
        <v>43262.35833333333</v>
      </c>
      <c r="BR4" s="15">
        <v>6</v>
      </c>
      <c r="BS4" s="15">
        <v>9.6777777777777807</v>
      </c>
      <c r="BT4" s="15">
        <v>9.69027777777778</v>
      </c>
      <c r="BU4" s="17">
        <v>43262.358634259261</v>
      </c>
      <c r="BV4" s="17">
        <v>43262.585358796299</v>
      </c>
      <c r="BW4" s="15"/>
      <c r="BX4" s="17">
        <v>43264.468229166669</v>
      </c>
      <c r="BY4" s="15"/>
      <c r="BZ4" s="15">
        <v>1</v>
      </c>
      <c r="CA4" s="15">
        <v>0</v>
      </c>
      <c r="CB4" s="15">
        <v>0</v>
      </c>
      <c r="CC4" s="15">
        <v>0</v>
      </c>
      <c r="CD4" s="15" t="s">
        <v>323</v>
      </c>
      <c r="CE4" s="15">
        <v>0</v>
      </c>
      <c r="CF4" s="15">
        <v>0</v>
      </c>
      <c r="CG4" s="15">
        <v>1</v>
      </c>
      <c r="CH4" s="15"/>
      <c r="CI4" s="15"/>
      <c r="CJ4" s="15"/>
      <c r="CK4" s="15"/>
      <c r="CL4" s="15"/>
      <c r="CM4" s="15"/>
      <c r="CN4" s="15">
        <v>1</v>
      </c>
      <c r="CO4" s="15">
        <v>0</v>
      </c>
      <c r="CP4" s="15">
        <v>9615929435</v>
      </c>
      <c r="CQ4" s="15"/>
      <c r="CR4" s="15"/>
      <c r="CS4" s="15"/>
      <c r="CT4" s="15">
        <v>15</v>
      </c>
      <c r="CU4" s="15">
        <v>2005</v>
      </c>
      <c r="CV4" s="15" t="s">
        <v>278</v>
      </c>
      <c r="CW4" s="15" t="s">
        <v>324</v>
      </c>
      <c r="CX4" s="15" t="s">
        <v>306</v>
      </c>
      <c r="CY4" s="15">
        <v>2628</v>
      </c>
      <c r="CZ4" s="17">
        <v>43262.354467592595</v>
      </c>
      <c r="DA4" s="15" t="s">
        <v>254</v>
      </c>
      <c r="DB4" s="15"/>
      <c r="DC4" s="15" t="s">
        <v>250</v>
      </c>
      <c r="DD4" s="15" t="s">
        <v>251</v>
      </c>
      <c r="DE4" s="15"/>
      <c r="DF4" s="15" t="s">
        <v>252</v>
      </c>
      <c r="DG4" s="15"/>
      <c r="DH4" s="15" t="s">
        <v>257</v>
      </c>
      <c r="DI4" s="15"/>
      <c r="DJ4" s="15"/>
      <c r="DK4" s="15"/>
      <c r="DL4" s="15">
        <v>15</v>
      </c>
      <c r="DM4" s="15"/>
      <c r="DN4" s="15"/>
      <c r="DO4" s="15" t="s">
        <v>53</v>
      </c>
      <c r="DP4" s="15">
        <v>0</v>
      </c>
      <c r="DQ4" s="15"/>
      <c r="DR4" s="15" t="s">
        <v>54</v>
      </c>
      <c r="DS4" s="15"/>
      <c r="DT4" s="15">
        <v>0.5</v>
      </c>
      <c r="DU4" s="17">
        <v>43262.353472222225</v>
      </c>
      <c r="DV4" s="15"/>
      <c r="DW4" s="15"/>
      <c r="DX4" s="15"/>
      <c r="DY4" s="15"/>
      <c r="DZ4" s="15"/>
      <c r="EA4" s="15" t="s">
        <v>276</v>
      </c>
      <c r="EB4" s="15">
        <v>25</v>
      </c>
      <c r="EC4" s="15">
        <v>1</v>
      </c>
      <c r="ED4" s="15">
        <v>7.8043002312022511E+26</v>
      </c>
      <c r="EE4" s="15"/>
      <c r="EF4" s="15"/>
      <c r="EG4" s="15"/>
      <c r="EH4" s="15" t="s">
        <v>254</v>
      </c>
      <c r="EI4" s="15"/>
      <c r="EJ4" s="15">
        <v>0</v>
      </c>
      <c r="EK4" s="15" t="s">
        <v>259</v>
      </c>
      <c r="EL4" s="15"/>
      <c r="EM4" s="15">
        <v>0</v>
      </c>
      <c r="EN4" s="15"/>
      <c r="EO4" s="15"/>
      <c r="EP4" s="15"/>
      <c r="EQ4" s="15"/>
      <c r="ER4" s="15"/>
      <c r="ES4" s="15"/>
      <c r="ET4" s="15"/>
      <c r="EU4" s="15"/>
      <c r="EV4" s="15"/>
      <c r="EW4" s="15">
        <v>0</v>
      </c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>
        <v>0</v>
      </c>
      <c r="FN4" s="15"/>
      <c r="FO4" s="15"/>
      <c r="FP4" s="15"/>
      <c r="FQ4" s="15"/>
      <c r="FR4" s="15" t="s">
        <v>52</v>
      </c>
      <c r="FT4" s="21" t="e">
        <f>RIGHT(#REF!,LEN(#REF!)-1)</f>
        <v>#REF!</v>
      </c>
    </row>
    <row r="5" spans="1:176">
      <c r="A5" s="15" t="s">
        <v>526</v>
      </c>
      <c r="B5" s="15">
        <v>54</v>
      </c>
      <c r="C5" s="15">
        <v>829642</v>
      </c>
      <c r="D5" s="15">
        <v>1</v>
      </c>
      <c r="E5" s="15" t="s">
        <v>235</v>
      </c>
      <c r="F5" s="15">
        <v>9450166746</v>
      </c>
      <c r="G5" s="15"/>
      <c r="H5" s="15">
        <v>0</v>
      </c>
      <c r="I5" s="15" t="s">
        <v>236</v>
      </c>
      <c r="J5" s="15" t="s">
        <v>255</v>
      </c>
      <c r="K5" s="15"/>
      <c r="L5" s="15" t="s">
        <v>325</v>
      </c>
      <c r="M5" s="17">
        <v>43252.667511574073</v>
      </c>
      <c r="N5" s="17">
        <v>43264.46837962963</v>
      </c>
      <c r="O5" s="15" t="s">
        <v>326</v>
      </c>
      <c r="P5" s="15" t="s">
        <v>327</v>
      </c>
      <c r="Q5" s="15">
        <v>7750479245</v>
      </c>
      <c r="R5" s="15" t="s">
        <v>326</v>
      </c>
      <c r="S5" s="15"/>
      <c r="T5" s="15" t="s">
        <v>327</v>
      </c>
      <c r="U5" s="15"/>
      <c r="V5" s="15"/>
      <c r="W5" s="15" t="s">
        <v>51</v>
      </c>
      <c r="X5" s="15" t="s">
        <v>310</v>
      </c>
      <c r="Y5" s="15"/>
      <c r="Z5" s="15" t="s">
        <v>266</v>
      </c>
      <c r="AA5" s="15"/>
      <c r="AB5" s="15">
        <v>0</v>
      </c>
      <c r="AC5" s="15">
        <v>0</v>
      </c>
      <c r="AD5" s="15"/>
      <c r="AE5" s="15"/>
      <c r="AF5" s="15">
        <v>0</v>
      </c>
      <c r="AG5" s="15">
        <v>0</v>
      </c>
      <c r="AH5" s="15" t="s">
        <v>238</v>
      </c>
      <c r="AI5" s="15"/>
      <c r="AJ5" s="15" t="s">
        <v>235</v>
      </c>
      <c r="AK5" s="15" t="s">
        <v>235</v>
      </c>
      <c r="AL5" s="15">
        <v>9450166746</v>
      </c>
      <c r="AM5" s="15">
        <v>17930</v>
      </c>
      <c r="AN5" s="15" t="s">
        <v>239</v>
      </c>
      <c r="AO5" s="15" t="s">
        <v>62</v>
      </c>
      <c r="AP5" s="15" t="s">
        <v>63</v>
      </c>
      <c r="AQ5" s="15" t="s">
        <v>318</v>
      </c>
      <c r="AR5" s="15">
        <v>0</v>
      </c>
      <c r="AS5" s="15">
        <v>0</v>
      </c>
      <c r="AT5" s="15" t="s">
        <v>244</v>
      </c>
      <c r="AU5" s="15" t="s">
        <v>245</v>
      </c>
      <c r="AV5" s="15" t="s">
        <v>246</v>
      </c>
      <c r="AW5" s="15" t="s">
        <v>243</v>
      </c>
      <c r="AX5" s="15" t="s">
        <v>244</v>
      </c>
      <c r="AY5" s="15" t="s">
        <v>245</v>
      </c>
      <c r="AZ5" s="15" t="s">
        <v>246</v>
      </c>
      <c r="BA5" s="15" t="s">
        <v>247</v>
      </c>
      <c r="BB5" s="15" t="s">
        <v>309</v>
      </c>
      <c r="BC5" s="15" t="s">
        <v>267</v>
      </c>
      <c r="BD5" s="15" t="s">
        <v>248</v>
      </c>
      <c r="BE5" s="15" t="s">
        <v>249</v>
      </c>
      <c r="BF5" s="15">
        <v>0</v>
      </c>
      <c r="BG5" s="15" t="s">
        <v>261</v>
      </c>
      <c r="BH5" s="17">
        <v>43252.668425925927</v>
      </c>
      <c r="BI5" s="17">
        <v>43282.668425925927</v>
      </c>
      <c r="BJ5" s="17">
        <v>43252.668425925927</v>
      </c>
      <c r="BK5" s="17">
        <v>43262.479166666664</v>
      </c>
      <c r="BL5" s="15" t="s">
        <v>274</v>
      </c>
      <c r="BM5" s="17">
        <v>43262.479166666664</v>
      </c>
      <c r="BN5" s="17">
        <v>43262.496527777781</v>
      </c>
      <c r="BO5" s="15" t="s">
        <v>284</v>
      </c>
      <c r="BP5" s="17">
        <v>43262.495833333334</v>
      </c>
      <c r="BQ5" s="17">
        <v>43262.513194444444</v>
      </c>
      <c r="BR5" s="15">
        <v>6</v>
      </c>
      <c r="BS5" s="15">
        <v>9.8277777777777793</v>
      </c>
      <c r="BT5" s="15">
        <v>9.84513888888889</v>
      </c>
      <c r="BU5" s="17">
        <v>43262.513692129629</v>
      </c>
      <c r="BV5" s="17">
        <v>43262.594641203701</v>
      </c>
      <c r="BW5" s="15"/>
      <c r="BX5" s="17">
        <v>43264.46837962963</v>
      </c>
      <c r="BY5" s="15"/>
      <c r="BZ5" s="15">
        <v>1</v>
      </c>
      <c r="CA5" s="15">
        <v>0</v>
      </c>
      <c r="CB5" s="15">
        <v>0</v>
      </c>
      <c r="CC5" s="15">
        <v>0</v>
      </c>
      <c r="CD5" s="15" t="s">
        <v>328</v>
      </c>
      <c r="CE5" s="15">
        <v>0</v>
      </c>
      <c r="CF5" s="15">
        <v>0</v>
      </c>
      <c r="CG5" s="15">
        <v>1</v>
      </c>
      <c r="CH5" s="15"/>
      <c r="CI5" s="15"/>
      <c r="CJ5" s="15"/>
      <c r="CK5" s="15"/>
      <c r="CL5" s="15"/>
      <c r="CM5" s="15"/>
      <c r="CN5" s="15">
        <v>1</v>
      </c>
      <c r="CO5" s="15">
        <v>0</v>
      </c>
      <c r="CP5" s="15">
        <v>7750479245</v>
      </c>
      <c r="CQ5" s="15"/>
      <c r="CR5" s="15"/>
      <c r="CS5" s="15"/>
      <c r="CT5" s="15">
        <v>15</v>
      </c>
      <c r="CU5" s="15">
        <v>2005</v>
      </c>
      <c r="CV5" s="15" t="s">
        <v>278</v>
      </c>
      <c r="CW5" s="15" t="s">
        <v>329</v>
      </c>
      <c r="CX5" s="15" t="s">
        <v>330</v>
      </c>
      <c r="CY5" s="15">
        <v>1080</v>
      </c>
      <c r="CZ5" s="17">
        <v>43262.507187499999</v>
      </c>
      <c r="DA5" s="15" t="s">
        <v>254</v>
      </c>
      <c r="DB5" s="15"/>
      <c r="DC5" s="15" t="s">
        <v>250</v>
      </c>
      <c r="DD5" s="15" t="s">
        <v>251</v>
      </c>
      <c r="DE5" s="15"/>
      <c r="DF5" s="15" t="s">
        <v>252</v>
      </c>
      <c r="DG5" s="15"/>
      <c r="DH5" s="15" t="s">
        <v>263</v>
      </c>
      <c r="DI5" s="15"/>
      <c r="DJ5" s="15"/>
      <c r="DK5" s="15"/>
      <c r="DL5" s="15">
        <v>15</v>
      </c>
      <c r="DM5" s="15"/>
      <c r="DN5" s="15"/>
      <c r="DO5" s="15" t="s">
        <v>45</v>
      </c>
      <c r="DP5" s="15">
        <v>0</v>
      </c>
      <c r="DQ5" s="15"/>
      <c r="DR5" s="15" t="s">
        <v>46</v>
      </c>
      <c r="DS5" s="15"/>
      <c r="DT5" s="15">
        <v>0.84</v>
      </c>
      <c r="DU5" s="17">
        <v>43262.507638888892</v>
      </c>
      <c r="DV5" s="15"/>
      <c r="DW5" s="15"/>
      <c r="DX5" s="15"/>
      <c r="DY5" s="15"/>
      <c r="DZ5" s="15"/>
      <c r="EA5" s="15" t="s">
        <v>276</v>
      </c>
      <c r="EB5" s="15">
        <v>20</v>
      </c>
      <c r="EC5" s="15">
        <v>0</v>
      </c>
      <c r="ED5" s="15">
        <v>7.8043002325012512E+26</v>
      </c>
      <c r="EE5" s="15"/>
      <c r="EF5" s="15"/>
      <c r="EG5" s="15"/>
      <c r="EH5" s="15" t="s">
        <v>254</v>
      </c>
      <c r="EI5" s="15"/>
      <c r="EJ5" s="15">
        <v>0</v>
      </c>
      <c r="EK5" s="15" t="s">
        <v>259</v>
      </c>
      <c r="EL5" s="15"/>
      <c r="EM5" s="15">
        <v>0</v>
      </c>
      <c r="EN5" s="15"/>
      <c r="EO5" s="15"/>
      <c r="EP5" s="15"/>
      <c r="EQ5" s="15"/>
      <c r="ER5" s="15"/>
      <c r="ES5" s="15"/>
      <c r="ET5" s="15"/>
      <c r="EU5" s="15"/>
      <c r="EV5" s="15"/>
      <c r="EW5" s="15">
        <v>0</v>
      </c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>
        <v>0</v>
      </c>
      <c r="FN5" s="15"/>
      <c r="FO5" s="15"/>
      <c r="FP5" s="15"/>
      <c r="FQ5" s="15"/>
      <c r="FR5" s="15" t="s">
        <v>44</v>
      </c>
      <c r="FT5" s="21" t="e">
        <f>RIGHT(#REF!,LEN(#REF!)-1)</f>
        <v>#REF!</v>
      </c>
    </row>
    <row r="6" spans="1:176">
      <c r="A6" s="15" t="s">
        <v>524</v>
      </c>
      <c r="B6" s="15">
        <v>54</v>
      </c>
      <c r="C6" s="15">
        <v>871399</v>
      </c>
      <c r="D6" s="15">
        <v>1</v>
      </c>
      <c r="E6" s="15" t="s">
        <v>235</v>
      </c>
      <c r="F6" s="15">
        <v>8445878871</v>
      </c>
      <c r="G6" s="15" t="s">
        <v>277</v>
      </c>
      <c r="H6" s="15">
        <v>0</v>
      </c>
      <c r="I6" s="15" t="s">
        <v>236</v>
      </c>
      <c r="J6" s="15" t="s">
        <v>307</v>
      </c>
      <c r="K6" s="15"/>
      <c r="L6" s="15" t="s">
        <v>332</v>
      </c>
      <c r="M6" s="17">
        <v>43348.43277777778</v>
      </c>
      <c r="N6" s="17">
        <v>43369.329699074071</v>
      </c>
      <c r="O6" s="15" t="s">
        <v>298</v>
      </c>
      <c r="P6" s="15" t="s">
        <v>299</v>
      </c>
      <c r="Q6" s="15">
        <v>2319706682</v>
      </c>
      <c r="R6" s="15" t="s">
        <v>298</v>
      </c>
      <c r="S6" s="15" t="s">
        <v>300</v>
      </c>
      <c r="T6" s="15" t="s">
        <v>299</v>
      </c>
      <c r="U6" s="15"/>
      <c r="V6" s="15" t="s">
        <v>301</v>
      </c>
      <c r="W6" s="15" t="s">
        <v>333</v>
      </c>
      <c r="X6" s="15" t="s">
        <v>302</v>
      </c>
      <c r="Y6" s="15"/>
      <c r="Z6" s="15" t="s">
        <v>266</v>
      </c>
      <c r="AA6" s="15"/>
      <c r="AB6" s="15">
        <v>0</v>
      </c>
      <c r="AC6" s="15">
        <v>0</v>
      </c>
      <c r="AD6" s="15"/>
      <c r="AE6" s="15"/>
      <c r="AF6" s="15">
        <v>0</v>
      </c>
      <c r="AG6" s="15">
        <v>0</v>
      </c>
      <c r="AH6" s="15" t="s">
        <v>238</v>
      </c>
      <c r="AI6" s="15"/>
      <c r="AJ6" s="15" t="s">
        <v>235</v>
      </c>
      <c r="AK6" s="15" t="s">
        <v>235</v>
      </c>
      <c r="AL6" s="15">
        <v>8445878871</v>
      </c>
      <c r="AM6" s="15">
        <v>17930</v>
      </c>
      <c r="AN6" s="15" t="s">
        <v>239</v>
      </c>
      <c r="AO6" s="15" t="s">
        <v>62</v>
      </c>
      <c r="AP6" s="15" t="s">
        <v>63</v>
      </c>
      <c r="AQ6" s="15"/>
      <c r="AR6" s="15">
        <v>0</v>
      </c>
      <c r="AS6" s="15">
        <v>0</v>
      </c>
      <c r="AT6" s="15" t="s">
        <v>314</v>
      </c>
      <c r="AU6" s="15" t="s">
        <v>315</v>
      </c>
      <c r="AV6" s="15" t="s">
        <v>316</v>
      </c>
      <c r="AW6" s="15" t="s">
        <v>243</v>
      </c>
      <c r="AX6" s="15" t="s">
        <v>311</v>
      </c>
      <c r="AY6" s="15" t="s">
        <v>312</v>
      </c>
      <c r="AZ6" s="15" t="s">
        <v>273</v>
      </c>
      <c r="BA6" s="15" t="s">
        <v>313</v>
      </c>
      <c r="BB6" s="15" t="s">
        <v>334</v>
      </c>
      <c r="BC6" s="15" t="s">
        <v>335</v>
      </c>
      <c r="BD6" s="15"/>
      <c r="BE6" s="15"/>
      <c r="BF6" s="15">
        <v>2</v>
      </c>
      <c r="BG6" s="15" t="s">
        <v>260</v>
      </c>
      <c r="BH6" s="17">
        <v>43348.432916666665</v>
      </c>
      <c r="BI6" s="17">
        <v>43353.432916666665</v>
      </c>
      <c r="BJ6" s="17">
        <v>43348.432916666665</v>
      </c>
      <c r="BK6" s="17"/>
      <c r="BL6" s="15"/>
      <c r="BM6" s="17">
        <v>43364.333333333336</v>
      </c>
      <c r="BN6" s="17">
        <v>43364.34375</v>
      </c>
      <c r="BO6" s="15" t="s">
        <v>265</v>
      </c>
      <c r="BP6" s="17">
        <v>43364.381944444445</v>
      </c>
      <c r="BQ6" s="17">
        <v>43364.426388888889</v>
      </c>
      <c r="BR6" s="15">
        <v>9</v>
      </c>
      <c r="BS6" s="15">
        <v>15.9486111111111</v>
      </c>
      <c r="BT6" s="15">
        <v>15.9930555555556</v>
      </c>
      <c r="BU6" s="17">
        <v>43364.426539351851</v>
      </c>
      <c r="BV6" s="17">
        <v>43364.439583333333</v>
      </c>
      <c r="BW6" s="15" t="s">
        <v>280</v>
      </c>
      <c r="BX6" s="17">
        <v>43369.329699074071</v>
      </c>
      <c r="BY6" s="15"/>
      <c r="BZ6" s="15">
        <v>1</v>
      </c>
      <c r="CA6" s="15">
        <v>1</v>
      </c>
      <c r="CB6" s="15">
        <v>1.06666666666667</v>
      </c>
      <c r="CC6" s="15">
        <v>0</v>
      </c>
      <c r="CD6" s="15" t="s">
        <v>336</v>
      </c>
      <c r="CE6" s="15">
        <v>0</v>
      </c>
      <c r="CF6" s="15">
        <v>0</v>
      </c>
      <c r="CG6" s="15">
        <v>0</v>
      </c>
      <c r="CH6" s="15"/>
      <c r="CI6" s="15"/>
      <c r="CJ6" s="15"/>
      <c r="CK6" s="15"/>
      <c r="CL6" s="15"/>
      <c r="CM6" s="15"/>
      <c r="CN6" s="15">
        <v>1</v>
      </c>
      <c r="CO6" s="15">
        <v>0</v>
      </c>
      <c r="CP6" s="15">
        <v>2319706682</v>
      </c>
      <c r="CQ6" s="15"/>
      <c r="CR6" s="15"/>
      <c r="CS6" s="15"/>
      <c r="CT6" s="15">
        <v>20</v>
      </c>
      <c r="CU6" s="15">
        <v>2010</v>
      </c>
      <c r="CV6" s="15" t="s">
        <v>268</v>
      </c>
      <c r="CW6" s="15" t="s">
        <v>39</v>
      </c>
      <c r="CX6" s="15" t="s">
        <v>305</v>
      </c>
      <c r="CY6" s="15">
        <v>1360</v>
      </c>
      <c r="CZ6" s="17">
        <v>43364.423402777778</v>
      </c>
      <c r="DA6" s="15" t="s">
        <v>254</v>
      </c>
      <c r="DB6" s="15"/>
      <c r="DC6" s="15" t="s">
        <v>250</v>
      </c>
      <c r="DD6" s="15" t="s">
        <v>251</v>
      </c>
      <c r="DE6" s="15"/>
      <c r="DF6" s="15" t="s">
        <v>252</v>
      </c>
      <c r="DG6" s="15"/>
      <c r="DH6" s="15" t="s">
        <v>262</v>
      </c>
      <c r="DI6" s="15"/>
      <c r="DJ6" s="15" t="s">
        <v>40</v>
      </c>
      <c r="DK6" s="15"/>
      <c r="DL6" s="15">
        <v>0</v>
      </c>
      <c r="DM6" s="15"/>
      <c r="DN6" s="15"/>
      <c r="DO6" s="15"/>
      <c r="DP6" s="15"/>
      <c r="DQ6" s="15"/>
      <c r="DR6" s="15"/>
      <c r="DS6" s="15"/>
      <c r="DT6" s="15">
        <v>1360.675</v>
      </c>
      <c r="DU6" s="17">
        <v>43364.424305555556</v>
      </c>
      <c r="DV6" s="15"/>
      <c r="DW6" s="15"/>
      <c r="DX6" s="15"/>
      <c r="DY6" s="15"/>
      <c r="DZ6" s="15"/>
      <c r="EA6" s="15" t="s">
        <v>253</v>
      </c>
      <c r="EB6" s="15">
        <v>20</v>
      </c>
      <c r="EC6" s="15">
        <v>0</v>
      </c>
      <c r="ED6" s="15">
        <v>7.8043002476022504E+26</v>
      </c>
      <c r="EE6" s="15"/>
      <c r="EF6" s="15"/>
      <c r="EG6" s="15"/>
      <c r="EH6" s="15" t="s">
        <v>254</v>
      </c>
      <c r="EI6" s="15"/>
      <c r="EJ6" s="15">
        <v>0</v>
      </c>
      <c r="EK6" s="15" t="s">
        <v>259</v>
      </c>
      <c r="EL6" s="15"/>
      <c r="EM6" s="15">
        <v>0</v>
      </c>
      <c r="EN6" s="15"/>
      <c r="EO6" s="15"/>
      <c r="EP6" s="15"/>
      <c r="EQ6" s="15"/>
      <c r="ER6" s="15"/>
      <c r="ES6" s="15"/>
      <c r="ET6" s="15"/>
      <c r="EU6" s="15"/>
      <c r="EV6" s="15"/>
      <c r="EW6" s="15">
        <v>0</v>
      </c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>
        <v>0</v>
      </c>
      <c r="FN6" s="15"/>
      <c r="FO6" s="15"/>
      <c r="FP6" s="15"/>
      <c r="FQ6" s="15"/>
      <c r="FR6" s="15" t="s">
        <v>38</v>
      </c>
      <c r="FT6" s="20" t="e">
        <f>RIGHT(#REF!,LEN(#REF!)-2)</f>
        <v>#REF!</v>
      </c>
    </row>
    <row r="7" spans="1:176">
      <c r="A7" s="15" t="s">
        <v>525</v>
      </c>
      <c r="B7" s="15">
        <v>54</v>
      </c>
      <c r="C7" s="15">
        <v>874222</v>
      </c>
      <c r="D7" s="15">
        <v>1</v>
      </c>
      <c r="E7" s="15" t="s">
        <v>235</v>
      </c>
      <c r="F7" s="15">
        <v>2447466978</v>
      </c>
      <c r="G7" s="15"/>
      <c r="H7" s="15">
        <v>2</v>
      </c>
      <c r="I7" s="15" t="s">
        <v>236</v>
      </c>
      <c r="J7" s="15" t="s">
        <v>255</v>
      </c>
      <c r="K7" s="15"/>
      <c r="L7" s="15" t="s">
        <v>337</v>
      </c>
      <c r="M7" s="17">
        <v>43355.846354166664</v>
      </c>
      <c r="N7" s="17">
        <v>43369.329571759263</v>
      </c>
      <c r="O7" s="15" t="s">
        <v>320</v>
      </c>
      <c r="P7" s="15" t="s">
        <v>321</v>
      </c>
      <c r="Q7" s="15">
        <v>9615929435</v>
      </c>
      <c r="R7" s="15" t="s">
        <v>320</v>
      </c>
      <c r="S7" s="15" t="s">
        <v>322</v>
      </c>
      <c r="T7" s="15" t="s">
        <v>321</v>
      </c>
      <c r="U7" s="15"/>
      <c r="V7" s="15"/>
      <c r="W7" s="15" t="s">
        <v>36</v>
      </c>
      <c r="X7" s="15" t="s">
        <v>310</v>
      </c>
      <c r="Y7" s="15"/>
      <c r="Z7" s="15" t="s">
        <v>266</v>
      </c>
      <c r="AA7" s="15"/>
      <c r="AB7" s="15">
        <v>0</v>
      </c>
      <c r="AC7" s="15">
        <v>0</v>
      </c>
      <c r="AD7" s="15"/>
      <c r="AE7" s="15"/>
      <c r="AF7" s="15">
        <v>0</v>
      </c>
      <c r="AG7" s="15">
        <v>0</v>
      </c>
      <c r="AH7" s="15" t="s">
        <v>238</v>
      </c>
      <c r="AI7" s="15"/>
      <c r="AJ7" s="15" t="s">
        <v>235</v>
      </c>
      <c r="AK7" s="15" t="s">
        <v>235</v>
      </c>
      <c r="AL7" s="15">
        <v>2447466978</v>
      </c>
      <c r="AM7" s="15">
        <v>17930</v>
      </c>
      <c r="AN7" s="15" t="s">
        <v>239</v>
      </c>
      <c r="AO7" s="15" t="s">
        <v>62</v>
      </c>
      <c r="AP7" s="15" t="s">
        <v>63</v>
      </c>
      <c r="AQ7" s="15"/>
      <c r="AR7" s="15">
        <v>0</v>
      </c>
      <c r="AS7" s="15">
        <v>0</v>
      </c>
      <c r="AT7" s="15" t="s">
        <v>240</v>
      </c>
      <c r="AU7" s="15" t="s">
        <v>241</v>
      </c>
      <c r="AV7" s="15" t="s">
        <v>246</v>
      </c>
      <c r="AW7" s="15" t="s">
        <v>243</v>
      </c>
      <c r="AX7" s="15" t="s">
        <v>244</v>
      </c>
      <c r="AY7" s="15" t="s">
        <v>245</v>
      </c>
      <c r="AZ7" s="15" t="s">
        <v>246</v>
      </c>
      <c r="BA7" s="15" t="s">
        <v>247</v>
      </c>
      <c r="BB7" s="15"/>
      <c r="BC7" s="15" t="s">
        <v>338</v>
      </c>
      <c r="BD7" s="15" t="s">
        <v>283</v>
      </c>
      <c r="BE7" s="15" t="s">
        <v>249</v>
      </c>
      <c r="BF7" s="15">
        <v>2</v>
      </c>
      <c r="BG7" s="15" t="s">
        <v>261</v>
      </c>
      <c r="BH7" s="17">
        <v>43355.848819444444</v>
      </c>
      <c r="BI7" s="17">
        <v>43360.848819444444</v>
      </c>
      <c r="BJ7" s="17">
        <v>43355.848819444444</v>
      </c>
      <c r="BK7" s="17">
        <v>43364.5625</v>
      </c>
      <c r="BL7" s="15" t="s">
        <v>274</v>
      </c>
      <c r="BM7" s="17">
        <v>43364.5625</v>
      </c>
      <c r="BN7" s="17">
        <v>43364.579861111109</v>
      </c>
      <c r="BO7" s="15" t="s">
        <v>282</v>
      </c>
      <c r="BP7" s="17">
        <v>43364.529166666667</v>
      </c>
      <c r="BQ7" s="17">
        <v>43364.538888888892</v>
      </c>
      <c r="BR7" s="15">
        <v>9</v>
      </c>
      <c r="BS7" s="15">
        <v>8.6826388888888903</v>
      </c>
      <c r="BT7" s="15">
        <v>8.6923611111111097</v>
      </c>
      <c r="BU7" s="17">
        <v>43364.539409722223</v>
      </c>
      <c r="BV7" s="17">
        <v>43364.607071759259</v>
      </c>
      <c r="BW7" s="15"/>
      <c r="BX7" s="17">
        <v>43369.329571759263</v>
      </c>
      <c r="BY7" s="15"/>
      <c r="BZ7" s="15">
        <v>1</v>
      </c>
      <c r="CA7" s="15">
        <v>0</v>
      </c>
      <c r="CB7" s="15">
        <v>0</v>
      </c>
      <c r="CC7" s="15">
        <v>0</v>
      </c>
      <c r="CD7" s="15" t="s">
        <v>339</v>
      </c>
      <c r="CE7" s="15">
        <v>0</v>
      </c>
      <c r="CF7" s="15">
        <v>0</v>
      </c>
      <c r="CG7" s="15">
        <v>1</v>
      </c>
      <c r="CH7" s="15"/>
      <c r="CI7" s="15"/>
      <c r="CJ7" s="15"/>
      <c r="CK7" s="15"/>
      <c r="CL7" s="15"/>
      <c r="CM7" s="15"/>
      <c r="CN7" s="15">
        <v>1</v>
      </c>
      <c r="CO7" s="15">
        <v>0</v>
      </c>
      <c r="CP7" s="15">
        <v>9615929435</v>
      </c>
      <c r="CQ7" s="15"/>
      <c r="CR7" s="15"/>
      <c r="CS7" s="15"/>
      <c r="CT7" s="15">
        <v>15</v>
      </c>
      <c r="CU7" s="15">
        <v>2018</v>
      </c>
      <c r="CV7" s="15" t="s">
        <v>308</v>
      </c>
      <c r="CW7" s="15" t="s">
        <v>53</v>
      </c>
      <c r="CX7" s="15" t="s">
        <v>306</v>
      </c>
      <c r="CY7" s="15">
        <v>99968</v>
      </c>
      <c r="CZ7" s="17">
        <v>43364.537569444445</v>
      </c>
      <c r="DA7" s="15" t="s">
        <v>254</v>
      </c>
      <c r="DB7" s="15"/>
      <c r="DC7" s="15" t="s">
        <v>250</v>
      </c>
      <c r="DD7" s="15" t="s">
        <v>251</v>
      </c>
      <c r="DE7" s="15"/>
      <c r="DF7" s="15" t="s">
        <v>252</v>
      </c>
      <c r="DG7" s="15" t="s">
        <v>279</v>
      </c>
      <c r="DH7" s="15" t="s">
        <v>257</v>
      </c>
      <c r="DI7" s="15"/>
      <c r="DJ7" s="15"/>
      <c r="DK7" s="15"/>
      <c r="DL7" s="15">
        <v>15</v>
      </c>
      <c r="DM7" s="15"/>
      <c r="DN7" s="15"/>
      <c r="DO7" s="15" t="s">
        <v>340</v>
      </c>
      <c r="DP7" s="15">
        <v>0</v>
      </c>
      <c r="DQ7" s="15"/>
      <c r="DR7" s="15" t="s">
        <v>331</v>
      </c>
      <c r="DS7" s="15"/>
      <c r="DT7" s="15">
        <v>99968.411999999997</v>
      </c>
      <c r="DU7" s="17">
        <v>43364.538194444445</v>
      </c>
      <c r="DV7" s="15"/>
      <c r="DW7" s="15"/>
      <c r="DX7" s="15"/>
      <c r="DY7" s="15"/>
      <c r="DZ7" s="15"/>
      <c r="EA7" s="15" t="s">
        <v>276</v>
      </c>
      <c r="EB7" s="15">
        <v>25</v>
      </c>
      <c r="EC7" s="15">
        <v>1</v>
      </c>
      <c r="ED7" s="15">
        <v>7.8043002312022511E+26</v>
      </c>
      <c r="EE7" s="15"/>
      <c r="EF7" s="15"/>
      <c r="EG7" s="15"/>
      <c r="EH7" s="15" t="s">
        <v>254</v>
      </c>
      <c r="EI7" s="15"/>
      <c r="EJ7" s="15">
        <v>0</v>
      </c>
      <c r="EK7" s="15" t="s">
        <v>259</v>
      </c>
      <c r="EL7" s="15"/>
      <c r="EM7" s="15">
        <v>0</v>
      </c>
      <c r="EN7" s="15"/>
      <c r="EO7" s="15"/>
      <c r="EP7" s="15"/>
      <c r="EQ7" s="15"/>
      <c r="ER7" s="15"/>
      <c r="ES7" s="15"/>
      <c r="ET7" s="15"/>
      <c r="EU7" s="15"/>
      <c r="EV7" s="15"/>
      <c r="EW7" s="15">
        <v>0</v>
      </c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>
        <v>0</v>
      </c>
      <c r="FN7" s="15"/>
      <c r="FO7" s="15"/>
      <c r="FP7" s="15"/>
      <c r="FQ7" s="15"/>
      <c r="FR7" s="15" t="s">
        <v>52</v>
      </c>
      <c r="FT7" s="20" t="e">
        <f>RIGHT(#REF!,LEN(#REF!)-2)</f>
        <v>#REF!</v>
      </c>
    </row>
    <row r="8" spans="1:176">
      <c r="A8" s="15" t="s">
        <v>523</v>
      </c>
      <c r="B8" s="15">
        <v>54</v>
      </c>
      <c r="C8" s="15">
        <v>877625</v>
      </c>
      <c r="D8" s="15">
        <v>1</v>
      </c>
      <c r="E8" s="15" t="s">
        <v>235</v>
      </c>
      <c r="F8" s="15">
        <v>7027979541</v>
      </c>
      <c r="G8" s="15"/>
      <c r="H8" s="15">
        <v>0</v>
      </c>
      <c r="I8" s="15" t="s">
        <v>236</v>
      </c>
      <c r="J8" s="15" t="s">
        <v>281</v>
      </c>
      <c r="K8" s="15"/>
      <c r="L8" s="15" t="s">
        <v>341</v>
      </c>
      <c r="M8" s="17">
        <v>43361.429282407407</v>
      </c>
      <c r="N8" s="17">
        <v>43362.59710648148</v>
      </c>
      <c r="O8" s="15" t="s">
        <v>287</v>
      </c>
      <c r="P8" s="15" t="s">
        <v>288</v>
      </c>
      <c r="Q8" s="15">
        <v>3954519618</v>
      </c>
      <c r="R8" s="15" t="s">
        <v>287</v>
      </c>
      <c r="S8" s="15"/>
      <c r="T8" s="15" t="s">
        <v>288</v>
      </c>
      <c r="U8" s="15"/>
      <c r="V8" s="15" t="s">
        <v>289</v>
      </c>
      <c r="W8" s="15" t="s">
        <v>237</v>
      </c>
      <c r="X8" s="15" t="s">
        <v>270</v>
      </c>
      <c r="Y8" s="15" t="s">
        <v>290</v>
      </c>
      <c r="Z8" s="15" t="s">
        <v>266</v>
      </c>
      <c r="AA8" s="15"/>
      <c r="AB8" s="15">
        <v>0</v>
      </c>
      <c r="AC8" s="15">
        <v>0</v>
      </c>
      <c r="AD8" s="15"/>
      <c r="AE8" s="15"/>
      <c r="AF8" s="15">
        <v>0</v>
      </c>
      <c r="AG8" s="15">
        <v>0</v>
      </c>
      <c r="AH8" s="15" t="s">
        <v>238</v>
      </c>
      <c r="AI8" s="15"/>
      <c r="AJ8" s="15" t="s">
        <v>235</v>
      </c>
      <c r="AK8" s="15" t="s">
        <v>235</v>
      </c>
      <c r="AL8" s="15">
        <v>7027979541</v>
      </c>
      <c r="AM8" s="15">
        <v>17930</v>
      </c>
      <c r="AN8" s="15" t="s">
        <v>239</v>
      </c>
      <c r="AO8" s="15" t="s">
        <v>62</v>
      </c>
      <c r="AP8" s="15" t="s">
        <v>63</v>
      </c>
      <c r="AQ8" s="15"/>
      <c r="AR8" s="15">
        <v>0</v>
      </c>
      <c r="AS8" s="15">
        <v>0</v>
      </c>
      <c r="AT8" s="15" t="s">
        <v>314</v>
      </c>
      <c r="AU8" s="15" t="s">
        <v>315</v>
      </c>
      <c r="AV8" s="15" t="s">
        <v>316</v>
      </c>
      <c r="AW8" s="15" t="s">
        <v>243</v>
      </c>
      <c r="AX8" s="15" t="s">
        <v>311</v>
      </c>
      <c r="AY8" s="15" t="s">
        <v>312</v>
      </c>
      <c r="AZ8" s="15" t="s">
        <v>273</v>
      </c>
      <c r="BA8" s="15" t="s">
        <v>313</v>
      </c>
      <c r="BB8" s="15"/>
      <c r="BC8" s="15" t="s">
        <v>342</v>
      </c>
      <c r="BD8" s="15"/>
      <c r="BE8" s="15"/>
      <c r="BF8" s="15">
        <v>0</v>
      </c>
      <c r="BG8" s="15" t="s">
        <v>260</v>
      </c>
      <c r="BH8" s="17">
        <v>43361.429305555554</v>
      </c>
      <c r="BI8" s="17">
        <v>43366.429305555554</v>
      </c>
      <c r="BJ8" s="17">
        <v>43361.429305555554</v>
      </c>
      <c r="BK8" s="17"/>
      <c r="BL8" s="15"/>
      <c r="BM8" s="17">
        <v>43361.604166666664</v>
      </c>
      <c r="BN8" s="17">
        <v>43361.614583333336</v>
      </c>
      <c r="BO8" s="15" t="s">
        <v>265</v>
      </c>
      <c r="BP8" s="17">
        <v>43361.661111111112</v>
      </c>
      <c r="BQ8" s="17">
        <v>43361.681250000001</v>
      </c>
      <c r="BR8" s="15">
        <v>9</v>
      </c>
      <c r="BS8" s="15">
        <v>0.23125000000000001</v>
      </c>
      <c r="BT8" s="15">
        <v>0.25138888888888899</v>
      </c>
      <c r="BU8" s="17">
        <v>43361.681747685187</v>
      </c>
      <c r="BV8" s="17">
        <v>43362.345347222225</v>
      </c>
      <c r="BW8" s="15"/>
      <c r="BX8" s="17">
        <v>43362.597094907411</v>
      </c>
      <c r="BY8" s="15"/>
      <c r="BZ8" s="15">
        <v>1</v>
      </c>
      <c r="CA8" s="15">
        <v>1</v>
      </c>
      <c r="CB8" s="15">
        <v>0.483333333333333</v>
      </c>
      <c r="CC8" s="15">
        <v>0.21666666666666701</v>
      </c>
      <c r="CD8" s="15" t="s">
        <v>343</v>
      </c>
      <c r="CE8" s="15">
        <v>0</v>
      </c>
      <c r="CF8" s="15">
        <v>0</v>
      </c>
      <c r="CG8" s="15">
        <v>0</v>
      </c>
      <c r="CH8" s="15"/>
      <c r="CI8" s="15"/>
      <c r="CJ8" s="15"/>
      <c r="CK8" s="15"/>
      <c r="CL8" s="15"/>
      <c r="CM8" s="15"/>
      <c r="CN8" s="15">
        <v>1</v>
      </c>
      <c r="CO8" s="15">
        <v>0</v>
      </c>
      <c r="CP8" s="15">
        <v>3954519618</v>
      </c>
      <c r="CQ8" s="15"/>
      <c r="CR8" s="15"/>
      <c r="CS8" s="15"/>
      <c r="CT8" s="15">
        <v>30</v>
      </c>
      <c r="CU8" s="15">
        <v>2016</v>
      </c>
      <c r="CV8" s="15" t="s">
        <v>275</v>
      </c>
      <c r="CW8" s="15" t="s">
        <v>48</v>
      </c>
      <c r="CX8" s="15" t="s">
        <v>285</v>
      </c>
      <c r="CY8" s="15">
        <v>669</v>
      </c>
      <c r="CZ8" s="17">
        <v>43361.681354166663</v>
      </c>
      <c r="DA8" s="15" t="s">
        <v>256</v>
      </c>
      <c r="DB8" s="15"/>
      <c r="DC8" s="15" t="s">
        <v>250</v>
      </c>
      <c r="DD8" s="15" t="s">
        <v>251</v>
      </c>
      <c r="DE8" s="15"/>
      <c r="DF8" s="15" t="s">
        <v>252</v>
      </c>
      <c r="DG8" s="15"/>
      <c r="DH8" s="15" t="s">
        <v>257</v>
      </c>
      <c r="DI8" s="15" t="s">
        <v>258</v>
      </c>
      <c r="DJ8" s="15" t="s">
        <v>49</v>
      </c>
      <c r="DK8" s="15"/>
      <c r="DL8" s="15">
        <v>0</v>
      </c>
      <c r="DM8" s="15"/>
      <c r="DN8" s="15"/>
      <c r="DO8" s="15"/>
      <c r="DP8" s="15"/>
      <c r="DQ8" s="15"/>
      <c r="DR8" s="15" t="s">
        <v>49</v>
      </c>
      <c r="DS8" s="15"/>
      <c r="DT8" s="15">
        <v>669.38099999999997</v>
      </c>
      <c r="DU8" s="17">
        <v>43361.681354166663</v>
      </c>
      <c r="DV8" s="15"/>
      <c r="DW8" s="15"/>
      <c r="DX8" s="15"/>
      <c r="DY8" s="15"/>
      <c r="DZ8" s="15"/>
      <c r="EA8" s="15" t="s">
        <v>256</v>
      </c>
      <c r="EB8" s="15">
        <v>50</v>
      </c>
      <c r="EC8" s="15">
        <v>3</v>
      </c>
      <c r="ED8" s="15">
        <v>7.804300283901251E+26</v>
      </c>
      <c r="EE8" s="15"/>
      <c r="EF8" s="15"/>
      <c r="EG8" s="15"/>
      <c r="EH8" s="15" t="s">
        <v>254</v>
      </c>
      <c r="EI8" s="15"/>
      <c r="EJ8" s="15">
        <v>0</v>
      </c>
      <c r="EK8" s="15" t="s">
        <v>259</v>
      </c>
      <c r="EL8" s="15"/>
      <c r="EM8" s="15">
        <v>0</v>
      </c>
      <c r="EN8" s="15"/>
      <c r="EO8" s="15"/>
      <c r="EP8" s="15"/>
      <c r="EQ8" s="15"/>
      <c r="ER8" s="15"/>
      <c r="ES8" s="15"/>
      <c r="ET8" s="15"/>
      <c r="EU8" s="15"/>
      <c r="EV8" s="15"/>
      <c r="EW8" s="15">
        <v>0</v>
      </c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>
        <v>0</v>
      </c>
      <c r="FN8" s="15"/>
      <c r="FO8" s="15"/>
      <c r="FP8" s="15"/>
      <c r="FQ8" s="15"/>
      <c r="FR8" s="15" t="s">
        <v>350</v>
      </c>
      <c r="FT8" s="20" t="e">
        <f>RIGHT(#REF!,LEN(#REF!)-2)</f>
        <v>#REF!</v>
      </c>
    </row>
    <row r="9" spans="1:176">
      <c r="A9" s="15" t="s">
        <v>526</v>
      </c>
      <c r="B9" s="15">
        <v>54</v>
      </c>
      <c r="C9" s="15">
        <v>877646</v>
      </c>
      <c r="D9" s="15">
        <v>1</v>
      </c>
      <c r="E9" s="15" t="s">
        <v>235</v>
      </c>
      <c r="F9" s="15">
        <v>9450166047</v>
      </c>
      <c r="G9" s="15"/>
      <c r="H9" s="15">
        <v>0</v>
      </c>
      <c r="I9" s="15" t="s">
        <v>236</v>
      </c>
      <c r="J9" s="15" t="s">
        <v>281</v>
      </c>
      <c r="K9" s="15"/>
      <c r="L9" s="15" t="s">
        <v>344</v>
      </c>
      <c r="M9" s="17">
        <v>43361.443287037036</v>
      </c>
      <c r="N9" s="17">
        <v>43362.597013888888</v>
      </c>
      <c r="O9" s="15" t="s">
        <v>345</v>
      </c>
      <c r="P9" s="15" t="s">
        <v>327</v>
      </c>
      <c r="Q9" s="15">
        <v>7750479245</v>
      </c>
      <c r="R9" s="15" t="s">
        <v>345</v>
      </c>
      <c r="S9" s="15"/>
      <c r="T9" s="15" t="s">
        <v>327</v>
      </c>
      <c r="U9" s="15"/>
      <c r="V9" s="15"/>
      <c r="W9" s="15" t="s">
        <v>51</v>
      </c>
      <c r="X9" s="15" t="s">
        <v>310</v>
      </c>
      <c r="Y9" s="15"/>
      <c r="Z9" s="15" t="s">
        <v>266</v>
      </c>
      <c r="AA9" s="15"/>
      <c r="AB9" s="15">
        <v>0</v>
      </c>
      <c r="AC9" s="15">
        <v>0</v>
      </c>
      <c r="AD9" s="15"/>
      <c r="AE9" s="15"/>
      <c r="AF9" s="15">
        <v>0</v>
      </c>
      <c r="AG9" s="15">
        <v>0</v>
      </c>
      <c r="AH9" s="15" t="s">
        <v>238</v>
      </c>
      <c r="AI9" s="15"/>
      <c r="AJ9" s="15" t="s">
        <v>235</v>
      </c>
      <c r="AK9" s="15" t="s">
        <v>235</v>
      </c>
      <c r="AL9" s="15">
        <v>9450166047</v>
      </c>
      <c r="AM9" s="15">
        <v>17930</v>
      </c>
      <c r="AN9" s="15" t="s">
        <v>239</v>
      </c>
      <c r="AO9" s="15" t="s">
        <v>62</v>
      </c>
      <c r="AP9" s="15" t="s">
        <v>63</v>
      </c>
      <c r="AQ9" s="15"/>
      <c r="AR9" s="15">
        <v>0</v>
      </c>
      <c r="AS9" s="15">
        <v>0</v>
      </c>
      <c r="AT9" s="15" t="s">
        <v>314</v>
      </c>
      <c r="AU9" s="15" t="s">
        <v>315</v>
      </c>
      <c r="AV9" s="15" t="s">
        <v>316</v>
      </c>
      <c r="AW9" s="15" t="s">
        <v>243</v>
      </c>
      <c r="AX9" s="15" t="s">
        <v>244</v>
      </c>
      <c r="AY9" s="15" t="s">
        <v>245</v>
      </c>
      <c r="AZ9" s="15" t="s">
        <v>246</v>
      </c>
      <c r="BA9" s="15" t="s">
        <v>247</v>
      </c>
      <c r="BB9" s="15"/>
      <c r="BC9" s="15" t="s">
        <v>346</v>
      </c>
      <c r="BD9" s="15"/>
      <c r="BE9" s="15"/>
      <c r="BF9" s="15">
        <v>0</v>
      </c>
      <c r="BG9" s="15" t="s">
        <v>260</v>
      </c>
      <c r="BH9" s="17">
        <v>43361.443298611113</v>
      </c>
      <c r="BI9" s="17">
        <v>43366.443298611113</v>
      </c>
      <c r="BJ9" s="17">
        <v>43361.443298611113</v>
      </c>
      <c r="BK9" s="17"/>
      <c r="BL9" s="15"/>
      <c r="BM9" s="17">
        <v>43361.666666666664</v>
      </c>
      <c r="BN9" s="17">
        <v>43361.677083333336</v>
      </c>
      <c r="BO9" s="15" t="s">
        <v>265</v>
      </c>
      <c r="BP9" s="17">
        <v>43361.609027777777</v>
      </c>
      <c r="BQ9" s="17">
        <v>43361.707638888889</v>
      </c>
      <c r="BR9" s="15">
        <v>9</v>
      </c>
      <c r="BS9" s="15">
        <v>0.165277777777778</v>
      </c>
      <c r="BT9" s="15">
        <v>0.26388888888888901</v>
      </c>
      <c r="BU9" s="17">
        <v>43361.707939814813</v>
      </c>
      <c r="BV9" s="17">
        <v>43362.358252314814</v>
      </c>
      <c r="BW9" s="15" t="s">
        <v>280</v>
      </c>
      <c r="BX9" s="17">
        <v>43362.597013888888</v>
      </c>
      <c r="BY9" s="15"/>
      <c r="BZ9" s="15">
        <v>1</v>
      </c>
      <c r="CA9" s="15">
        <v>1</v>
      </c>
      <c r="CB9" s="15">
        <v>1.13333333333333</v>
      </c>
      <c r="CC9" s="15">
        <v>0.61666666666666625</v>
      </c>
      <c r="CD9" s="15" t="s">
        <v>347</v>
      </c>
      <c r="CE9" s="15">
        <v>0</v>
      </c>
      <c r="CF9" s="15">
        <v>0</v>
      </c>
      <c r="CG9" s="15">
        <v>0</v>
      </c>
      <c r="CH9" s="15"/>
      <c r="CI9" s="15"/>
      <c r="CJ9" s="15"/>
      <c r="CK9" s="15"/>
      <c r="CL9" s="15"/>
      <c r="CM9" s="15"/>
      <c r="CN9" s="15">
        <v>1</v>
      </c>
      <c r="CO9" s="15">
        <v>0</v>
      </c>
      <c r="CP9" s="15">
        <v>7750479245</v>
      </c>
      <c r="CQ9" s="15"/>
      <c r="CR9" s="15"/>
      <c r="CS9" s="15"/>
      <c r="CT9" s="15">
        <v>15</v>
      </c>
      <c r="CU9" s="15">
        <v>2005</v>
      </c>
      <c r="CV9" s="15" t="s">
        <v>278</v>
      </c>
      <c r="CW9" s="15" t="s">
        <v>329</v>
      </c>
      <c r="CX9" s="15" t="s">
        <v>330</v>
      </c>
      <c r="CY9" s="15">
        <v>1080</v>
      </c>
      <c r="CZ9" s="17">
        <v>43361.70752314815</v>
      </c>
      <c r="DA9" s="15" t="s">
        <v>254</v>
      </c>
      <c r="DB9" s="15"/>
      <c r="DC9" s="15" t="s">
        <v>250</v>
      </c>
      <c r="DD9" s="15" t="s">
        <v>251</v>
      </c>
      <c r="DE9" s="15"/>
      <c r="DF9" s="15" t="s">
        <v>252</v>
      </c>
      <c r="DG9" s="15" t="s">
        <v>279</v>
      </c>
      <c r="DH9" s="15" t="s">
        <v>263</v>
      </c>
      <c r="DI9" s="15"/>
      <c r="DJ9" s="15"/>
      <c r="DK9" s="15"/>
      <c r="DL9" s="15">
        <v>15</v>
      </c>
      <c r="DM9" s="15"/>
      <c r="DN9" s="15"/>
      <c r="DO9" s="15" t="s">
        <v>348</v>
      </c>
      <c r="DP9" s="15">
        <v>9</v>
      </c>
      <c r="DQ9" s="15"/>
      <c r="DR9" s="15" t="s">
        <v>46</v>
      </c>
      <c r="DS9" s="15"/>
      <c r="DT9" s="15">
        <v>9.1129999999999995</v>
      </c>
      <c r="DU9" s="17">
        <v>43361.640277777777</v>
      </c>
      <c r="DV9" s="15"/>
      <c r="DW9" s="15"/>
      <c r="DX9" s="15"/>
      <c r="DY9" s="15"/>
      <c r="DZ9" s="15"/>
      <c r="EA9" s="15" t="s">
        <v>276</v>
      </c>
      <c r="EB9" s="15">
        <v>20</v>
      </c>
      <c r="EC9" s="15">
        <v>0</v>
      </c>
      <c r="ED9" s="15">
        <v>7.8043002325012512E+26</v>
      </c>
      <c r="EE9" s="15"/>
      <c r="EF9" s="15"/>
      <c r="EG9" s="15"/>
      <c r="EH9" s="15" t="s">
        <v>254</v>
      </c>
      <c r="EI9" s="15"/>
      <c r="EJ9" s="15">
        <v>0</v>
      </c>
      <c r="EK9" s="15" t="s">
        <v>259</v>
      </c>
      <c r="EL9" s="15"/>
      <c r="EM9" s="15">
        <v>0</v>
      </c>
      <c r="EN9" s="15"/>
      <c r="EO9" s="15"/>
      <c r="EP9" s="15"/>
      <c r="EQ9" s="15"/>
      <c r="ER9" s="15"/>
      <c r="ES9" s="15"/>
      <c r="ET9" s="15"/>
      <c r="EU9" s="15"/>
      <c r="EV9" s="15"/>
      <c r="EW9" s="15">
        <v>0</v>
      </c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>
        <v>0</v>
      </c>
      <c r="FN9" s="15"/>
      <c r="FO9" s="15"/>
      <c r="FP9" s="15"/>
      <c r="FQ9" s="15"/>
      <c r="FR9" s="15" t="s">
        <v>44</v>
      </c>
      <c r="FT9" s="20" t="e">
        <f>RIGHT(#REF!,LEN(#REF!)-2)</f>
        <v>#REF!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F5"/>
  <sheetViews>
    <sheetView topLeftCell="T1" workbookViewId="0">
      <selection activeCell="A5" sqref="A5"/>
    </sheetView>
  </sheetViews>
  <sheetFormatPr baseColWidth="10" defaultRowHeight="15"/>
  <cols>
    <col min="1" max="1" width="12.28515625" customWidth="1"/>
    <col min="2" max="2" width="10.7109375" bestFit="1" customWidth="1"/>
    <col min="3" max="3" width="58.28515625" bestFit="1" customWidth="1"/>
    <col min="4" max="4" width="11.140625" bestFit="1" customWidth="1"/>
    <col min="5" max="5" width="25.85546875" bestFit="1" customWidth="1"/>
    <col min="6" max="6" width="22.7109375" bestFit="1" customWidth="1"/>
    <col min="7" max="7" width="45.140625" bestFit="1" customWidth="1"/>
    <col min="8" max="8" width="17.5703125" bestFit="1" customWidth="1"/>
    <col min="9" max="9" width="45.140625" bestFit="1" customWidth="1"/>
    <col min="10" max="10" width="18.5703125" bestFit="1" customWidth="1"/>
    <col min="11" max="11" width="16.140625" bestFit="1" customWidth="1"/>
    <col min="12" max="12" width="16.28515625" bestFit="1" customWidth="1"/>
    <col min="13" max="13" width="18.85546875" bestFit="1" customWidth="1"/>
    <col min="14" max="14" width="18.140625" bestFit="1" customWidth="1"/>
    <col min="15" max="15" width="32.85546875" bestFit="1" customWidth="1"/>
    <col min="16" max="16" width="59.85546875" bestFit="1" customWidth="1"/>
    <col min="17" max="17" width="12.42578125" bestFit="1" customWidth="1"/>
    <col min="18" max="18" width="22.5703125" bestFit="1" customWidth="1"/>
    <col min="19" max="19" width="23.7109375" bestFit="1" customWidth="1"/>
    <col min="20" max="20" width="22.5703125" bestFit="1" customWidth="1"/>
    <col min="21" max="21" width="24.28515625" bestFit="1" customWidth="1"/>
    <col min="22" max="22" width="18.85546875" bestFit="1" customWidth="1"/>
    <col min="23" max="23" width="15.7109375" bestFit="1" customWidth="1"/>
    <col min="24" max="24" width="26.7109375" bestFit="1" customWidth="1"/>
    <col min="25" max="25" width="13.42578125" bestFit="1" customWidth="1"/>
    <col min="26" max="26" width="22.85546875" bestFit="1" customWidth="1"/>
    <col min="27" max="27" width="32.140625" bestFit="1" customWidth="1"/>
    <col min="28" max="28" width="140.85546875" bestFit="1" customWidth="1"/>
    <col min="29" max="29" width="12.140625" bestFit="1" customWidth="1"/>
    <col min="30" max="30" width="29.7109375" bestFit="1" customWidth="1"/>
    <col min="31" max="31" width="12" bestFit="1" customWidth="1"/>
    <col min="32" max="32" width="23.5703125" bestFit="1" customWidth="1"/>
    <col min="33" max="33" width="20.28515625" bestFit="1" customWidth="1"/>
    <col min="34" max="34" width="36" bestFit="1" customWidth="1"/>
    <col min="35" max="35" width="26.5703125" bestFit="1" customWidth="1"/>
    <col min="36" max="36" width="21.85546875" bestFit="1" customWidth="1"/>
    <col min="37" max="37" width="12.7109375" bestFit="1" customWidth="1"/>
    <col min="38" max="38" width="25.85546875" bestFit="1" customWidth="1"/>
    <col min="39" max="39" width="24.140625" bestFit="1" customWidth="1"/>
    <col min="40" max="40" width="9.42578125" bestFit="1" customWidth="1"/>
    <col min="41" max="41" width="10.28515625" bestFit="1" customWidth="1"/>
    <col min="42" max="42" width="27.28515625" bestFit="1" customWidth="1"/>
    <col min="43" max="43" width="18.5703125" bestFit="1" customWidth="1"/>
    <col min="44" max="44" width="25.42578125" bestFit="1" customWidth="1"/>
    <col min="45" max="45" width="19.5703125" bestFit="1" customWidth="1"/>
    <col min="46" max="46" width="23.5703125" bestFit="1" customWidth="1"/>
    <col min="47" max="47" width="12.7109375" customWidth="1"/>
    <col min="48" max="48" width="10.5703125" bestFit="1" customWidth="1"/>
    <col min="49" max="49" width="17.85546875" bestFit="1" customWidth="1"/>
    <col min="50" max="50" width="37.42578125" bestFit="1" customWidth="1"/>
    <col min="51" max="51" width="43.140625" bestFit="1" customWidth="1"/>
    <col min="52" max="52" width="44.5703125" bestFit="1" customWidth="1"/>
    <col min="53" max="53" width="25.5703125" bestFit="1" customWidth="1"/>
    <col min="54" max="54" width="25.85546875" bestFit="1" customWidth="1"/>
    <col min="55" max="55" width="18.85546875" bestFit="1" customWidth="1"/>
    <col min="56" max="56" width="20.5703125" bestFit="1" customWidth="1"/>
    <col min="57" max="57" width="19.7109375" bestFit="1" customWidth="1"/>
    <col min="58" max="58" width="21" bestFit="1" customWidth="1"/>
    <col min="59" max="59" width="14.5703125" bestFit="1" customWidth="1"/>
    <col min="60" max="60" width="20.85546875" bestFit="1" customWidth="1"/>
    <col min="61" max="61" width="24" bestFit="1" customWidth="1"/>
    <col min="62" max="62" width="14.5703125" bestFit="1" customWidth="1"/>
    <col min="63" max="63" width="43.28515625" bestFit="1" customWidth="1"/>
    <col min="64" max="64" width="14.7109375" bestFit="1" customWidth="1"/>
    <col min="65" max="65" width="31.28515625" bestFit="1" customWidth="1"/>
    <col min="66" max="67" width="17.7109375" bestFit="1" customWidth="1"/>
    <col min="68" max="68" width="19.42578125" bestFit="1" customWidth="1"/>
    <col min="69" max="69" width="61.28515625" bestFit="1" customWidth="1"/>
    <col min="70" max="70" width="64" bestFit="1" customWidth="1"/>
    <col min="71" max="71" width="43.5703125" bestFit="1" customWidth="1"/>
    <col min="72" max="72" width="43.42578125" bestFit="1" customWidth="1"/>
    <col min="73" max="73" width="40.28515625" bestFit="1" customWidth="1"/>
    <col min="74" max="74" width="31.7109375" bestFit="1" customWidth="1"/>
    <col min="75" max="75" width="21.28515625" bestFit="1" customWidth="1"/>
    <col min="76" max="76" width="23" bestFit="1" customWidth="1"/>
    <col min="77" max="77" width="7" bestFit="1" customWidth="1"/>
    <col min="78" max="78" width="25" bestFit="1" customWidth="1"/>
    <col min="79" max="79" width="18.42578125" bestFit="1" customWidth="1"/>
    <col min="80" max="80" width="25.85546875" bestFit="1" customWidth="1"/>
    <col min="81" max="82" width="14.140625" bestFit="1" customWidth="1"/>
    <col min="83" max="84" width="14.140625" style="29" customWidth="1"/>
  </cols>
  <sheetData>
    <row r="1" spans="1:84">
      <c r="A1" s="15" t="s">
        <v>414</v>
      </c>
      <c r="B1" s="15" t="s">
        <v>388</v>
      </c>
      <c r="C1" s="15" t="s">
        <v>389</v>
      </c>
      <c r="D1" s="15" t="s">
        <v>521</v>
      </c>
      <c r="E1" s="15" t="s">
        <v>390</v>
      </c>
      <c r="F1" s="15" t="s">
        <v>391</v>
      </c>
      <c r="G1" s="15" t="s">
        <v>392</v>
      </c>
      <c r="H1" s="15" t="s">
        <v>393</v>
      </c>
      <c r="I1" s="15" t="s">
        <v>394</v>
      </c>
      <c r="J1" s="15" t="s">
        <v>395</v>
      </c>
      <c r="K1" s="15" t="s">
        <v>396</v>
      </c>
      <c r="L1" s="15" t="s">
        <v>397</v>
      </c>
      <c r="M1" s="15" t="s">
        <v>398</v>
      </c>
      <c r="N1" s="15" t="s">
        <v>399</v>
      </c>
      <c r="O1" s="15" t="s">
        <v>400</v>
      </c>
      <c r="P1" s="15" t="s">
        <v>401</v>
      </c>
      <c r="Q1" s="15" t="s">
        <v>402</v>
      </c>
      <c r="R1" s="15" t="s">
        <v>403</v>
      </c>
      <c r="S1" s="15" t="s">
        <v>404</v>
      </c>
      <c r="T1" s="15" t="s">
        <v>405</v>
      </c>
      <c r="U1" s="15" t="s">
        <v>406</v>
      </c>
      <c r="V1" s="15" t="s">
        <v>407</v>
      </c>
      <c r="W1" s="15" t="s">
        <v>408</v>
      </c>
      <c r="X1" s="15" t="s">
        <v>409</v>
      </c>
      <c r="Y1" s="15" t="s">
        <v>410</v>
      </c>
      <c r="Z1" s="15" t="s">
        <v>411</v>
      </c>
      <c r="AA1" s="15" t="s">
        <v>412</v>
      </c>
      <c r="AB1" s="15" t="s">
        <v>413</v>
      </c>
      <c r="AC1" s="15" t="s">
        <v>522</v>
      </c>
      <c r="AD1" s="15" t="s">
        <v>415</v>
      </c>
      <c r="AE1" s="15" t="s">
        <v>416</v>
      </c>
      <c r="AF1" s="15" t="s">
        <v>417</v>
      </c>
      <c r="AG1" s="15" t="s">
        <v>418</v>
      </c>
      <c r="AH1" s="15" t="s">
        <v>419</v>
      </c>
      <c r="AI1" s="15" t="s">
        <v>420</v>
      </c>
      <c r="AJ1" s="15" t="s">
        <v>421</v>
      </c>
      <c r="AK1" s="15" t="s">
        <v>422</v>
      </c>
      <c r="AL1" s="15" t="s">
        <v>423</v>
      </c>
      <c r="AM1" s="15" t="s">
        <v>424</v>
      </c>
      <c r="AN1" s="15" t="s">
        <v>425</v>
      </c>
      <c r="AO1" s="15" t="s">
        <v>426</v>
      </c>
      <c r="AP1" s="15" t="s">
        <v>427</v>
      </c>
      <c r="AQ1" s="15" t="s">
        <v>428</v>
      </c>
      <c r="AR1" s="15" t="s">
        <v>429</v>
      </c>
      <c r="AS1" s="15" t="s">
        <v>430</v>
      </c>
      <c r="AT1" s="15" t="s">
        <v>431</v>
      </c>
      <c r="AU1" s="15" t="s">
        <v>432</v>
      </c>
      <c r="AV1" s="15" t="s">
        <v>433</v>
      </c>
      <c r="AW1" s="15" t="s">
        <v>434</v>
      </c>
      <c r="AX1" s="15" t="s">
        <v>435</v>
      </c>
      <c r="AY1" s="15" t="s">
        <v>436</v>
      </c>
      <c r="AZ1" s="15" t="s">
        <v>437</v>
      </c>
      <c r="BA1" s="15" t="s">
        <v>438</v>
      </c>
      <c r="BB1" s="15" t="s">
        <v>439</v>
      </c>
      <c r="BC1" s="15" t="s">
        <v>440</v>
      </c>
      <c r="BD1" s="15" t="s">
        <v>441</v>
      </c>
      <c r="BE1" s="15" t="s">
        <v>442</v>
      </c>
      <c r="BF1" s="15" t="s">
        <v>443</v>
      </c>
      <c r="BG1" s="15" t="s">
        <v>444</v>
      </c>
      <c r="BH1" s="15" t="s">
        <v>445</v>
      </c>
      <c r="BI1" s="15" t="s">
        <v>446</v>
      </c>
      <c r="BJ1" s="15" t="s">
        <v>447</v>
      </c>
      <c r="BK1" s="15" t="s">
        <v>448</v>
      </c>
      <c r="BL1" s="15" t="s">
        <v>449</v>
      </c>
      <c r="BM1" s="15" t="s">
        <v>450</v>
      </c>
      <c r="BN1" s="15" t="s">
        <v>451</v>
      </c>
      <c r="BO1" s="15" t="s">
        <v>452</v>
      </c>
      <c r="BP1" s="15" t="s">
        <v>453</v>
      </c>
      <c r="BQ1" s="15" t="s">
        <v>454</v>
      </c>
      <c r="BR1" s="15" t="s">
        <v>455</v>
      </c>
      <c r="BS1" s="15" t="s">
        <v>456</v>
      </c>
      <c r="BT1" s="15" t="s">
        <v>457</v>
      </c>
      <c r="BU1" s="15" t="s">
        <v>458</v>
      </c>
      <c r="BV1" s="15" t="s">
        <v>459</v>
      </c>
      <c r="BW1" s="15" t="s">
        <v>460</v>
      </c>
      <c r="BX1" s="15" t="s">
        <v>461</v>
      </c>
      <c r="BY1" s="15" t="s">
        <v>462</v>
      </c>
      <c r="BZ1" s="15" t="s">
        <v>463</v>
      </c>
      <c r="CA1" s="15" t="s">
        <v>464</v>
      </c>
      <c r="CB1" s="15" t="s">
        <v>465</v>
      </c>
      <c r="CC1" s="15" t="s">
        <v>466</v>
      </c>
      <c r="CD1" s="15" t="s">
        <v>467</v>
      </c>
      <c r="CE1" s="15" t="s">
        <v>468</v>
      </c>
      <c r="CF1" s="15" t="s">
        <v>469</v>
      </c>
    </row>
    <row r="2" spans="1:84">
      <c r="A2" s="15">
        <v>2447466616</v>
      </c>
      <c r="B2" s="15" t="s">
        <v>470</v>
      </c>
      <c r="C2" s="15" t="s">
        <v>471</v>
      </c>
      <c r="D2" s="15"/>
      <c r="E2" s="15" t="s">
        <v>266</v>
      </c>
      <c r="F2" s="15" t="s">
        <v>472</v>
      </c>
      <c r="G2" s="15" t="s">
        <v>473</v>
      </c>
      <c r="H2" s="15" t="s">
        <v>474</v>
      </c>
      <c r="I2" s="15" t="s">
        <v>473</v>
      </c>
      <c r="J2" s="15">
        <v>1</v>
      </c>
      <c r="K2" s="15">
        <v>300</v>
      </c>
      <c r="L2" s="15">
        <v>7836253591</v>
      </c>
      <c r="M2" s="15">
        <v>1221440326</v>
      </c>
      <c r="N2" s="15" t="s">
        <v>53</v>
      </c>
      <c r="O2" s="15" t="s">
        <v>475</v>
      </c>
      <c r="P2" s="15" t="s">
        <v>476</v>
      </c>
      <c r="Q2" s="15">
        <v>15</v>
      </c>
      <c r="R2" s="15">
        <v>2018</v>
      </c>
      <c r="S2" s="15" t="s">
        <v>27</v>
      </c>
      <c r="T2" s="15" t="s">
        <v>27</v>
      </c>
      <c r="U2" s="15" t="s">
        <v>27</v>
      </c>
      <c r="V2" s="28">
        <v>43262</v>
      </c>
      <c r="W2" s="28"/>
      <c r="X2" s="15" t="s">
        <v>54</v>
      </c>
      <c r="Y2" s="15" t="s">
        <v>27</v>
      </c>
      <c r="Z2" s="15" t="s">
        <v>477</v>
      </c>
      <c r="AA2" s="15" t="s">
        <v>478</v>
      </c>
      <c r="AB2" s="15" t="s">
        <v>496</v>
      </c>
      <c r="AC2" s="15"/>
      <c r="AD2" s="28">
        <v>38518</v>
      </c>
      <c r="AE2" s="15" t="s">
        <v>479</v>
      </c>
      <c r="AF2" s="15"/>
      <c r="AG2" s="15" t="s">
        <v>480</v>
      </c>
      <c r="AH2" s="15"/>
      <c r="AI2" s="15"/>
      <c r="AJ2" s="15" t="s">
        <v>26</v>
      </c>
      <c r="AK2" s="15" t="s">
        <v>481</v>
      </c>
      <c r="AL2" s="15" t="s">
        <v>482</v>
      </c>
      <c r="AM2" s="28">
        <v>43264</v>
      </c>
      <c r="AN2" s="15" t="s">
        <v>481</v>
      </c>
      <c r="AO2" s="15" t="s">
        <v>483</v>
      </c>
      <c r="AP2" s="15" t="s">
        <v>276</v>
      </c>
      <c r="AQ2" s="15" t="s">
        <v>254</v>
      </c>
      <c r="AR2" s="15">
        <v>25</v>
      </c>
      <c r="AS2" s="15" t="s">
        <v>484</v>
      </c>
      <c r="AT2" s="15"/>
      <c r="AU2" s="15">
        <v>2447482390</v>
      </c>
      <c r="AV2" s="15"/>
      <c r="AW2" s="15">
        <v>1</v>
      </c>
      <c r="AX2" s="15" t="s">
        <v>310</v>
      </c>
      <c r="AY2" s="15" t="s">
        <v>264</v>
      </c>
      <c r="AZ2" s="15" t="s">
        <v>264</v>
      </c>
      <c r="BA2" s="15" t="s">
        <v>264</v>
      </c>
      <c r="BB2" s="15" t="s">
        <v>266</v>
      </c>
      <c r="BC2" s="15">
        <v>78043</v>
      </c>
      <c r="BD2" s="15">
        <v>78870</v>
      </c>
      <c r="BE2" s="15"/>
      <c r="BF2" s="15"/>
      <c r="BG2" s="15"/>
      <c r="BH2" s="15">
        <v>9615929435</v>
      </c>
      <c r="BI2" s="15"/>
      <c r="BJ2" s="15" t="s">
        <v>489</v>
      </c>
      <c r="BK2" s="15" t="s">
        <v>501</v>
      </c>
      <c r="BL2" s="15" t="s">
        <v>485</v>
      </c>
      <c r="BM2" s="15" t="s">
        <v>500</v>
      </c>
      <c r="BN2" s="15" t="s">
        <v>502</v>
      </c>
      <c r="BO2" s="15" t="s">
        <v>502</v>
      </c>
      <c r="BP2" s="15" t="s">
        <v>503</v>
      </c>
      <c r="BQ2" s="15" t="s">
        <v>504</v>
      </c>
      <c r="BR2" s="15" t="s">
        <v>264</v>
      </c>
      <c r="BS2" s="15" t="s">
        <v>264</v>
      </c>
      <c r="BT2" s="15" t="s">
        <v>264</v>
      </c>
      <c r="BU2" s="15" t="s">
        <v>264</v>
      </c>
      <c r="BV2" s="15" t="s">
        <v>264</v>
      </c>
      <c r="BW2" s="15"/>
      <c r="BX2" s="15"/>
      <c r="BY2" s="15">
        <v>0.2</v>
      </c>
      <c r="BZ2" s="28">
        <v>43262</v>
      </c>
      <c r="CA2" s="15" t="s">
        <v>481</v>
      </c>
      <c r="CB2" s="15">
        <v>0</v>
      </c>
      <c r="CC2" s="15"/>
      <c r="CD2" s="15"/>
      <c r="CE2" s="15"/>
      <c r="CF2" s="15"/>
    </row>
    <row r="3" spans="1:84">
      <c r="A3" s="15">
        <v>7027979032</v>
      </c>
      <c r="B3" s="15" t="s">
        <v>470</v>
      </c>
      <c r="C3" s="15" t="s">
        <v>471</v>
      </c>
      <c r="D3" s="15"/>
      <c r="E3" s="15" t="s">
        <v>266</v>
      </c>
      <c r="F3" s="15" t="s">
        <v>472</v>
      </c>
      <c r="G3" s="15" t="s">
        <v>473</v>
      </c>
      <c r="H3" s="15" t="s">
        <v>474</v>
      </c>
      <c r="I3" s="15" t="s">
        <v>473</v>
      </c>
      <c r="J3" s="15">
        <v>3</v>
      </c>
      <c r="K3" s="15">
        <v>16100</v>
      </c>
      <c r="L3" s="15">
        <v>7450271156</v>
      </c>
      <c r="M3" s="15">
        <v>1221318918</v>
      </c>
      <c r="N3" s="15" t="s">
        <v>48</v>
      </c>
      <c r="O3" s="15" t="s">
        <v>475</v>
      </c>
      <c r="P3" s="15" t="s">
        <v>498</v>
      </c>
      <c r="Q3" s="15">
        <v>30</v>
      </c>
      <c r="R3" s="15">
        <v>2016</v>
      </c>
      <c r="S3" s="15" t="s">
        <v>27</v>
      </c>
      <c r="T3" s="15" t="s">
        <v>27</v>
      </c>
      <c r="U3" s="15" t="s">
        <v>27</v>
      </c>
      <c r="V3" s="28">
        <v>43130</v>
      </c>
      <c r="W3" s="28"/>
      <c r="X3" s="15" t="s">
        <v>49</v>
      </c>
      <c r="Y3" s="15" t="s">
        <v>27</v>
      </c>
      <c r="Z3" s="15" t="s">
        <v>477</v>
      </c>
      <c r="AA3" s="15" t="s">
        <v>478</v>
      </c>
      <c r="AB3" s="15" t="s">
        <v>507</v>
      </c>
      <c r="AC3" s="15"/>
      <c r="AD3" s="28">
        <v>39177</v>
      </c>
      <c r="AE3" s="15" t="s">
        <v>479</v>
      </c>
      <c r="AF3" s="15"/>
      <c r="AG3" s="15" t="s">
        <v>480</v>
      </c>
      <c r="AH3" s="15"/>
      <c r="AI3" s="15"/>
      <c r="AJ3" s="15" t="s">
        <v>26</v>
      </c>
      <c r="AK3" s="15" t="s">
        <v>481</v>
      </c>
      <c r="AL3" s="15" t="s">
        <v>482</v>
      </c>
      <c r="AM3" s="28">
        <v>43136</v>
      </c>
      <c r="AN3" s="15" t="s">
        <v>481</v>
      </c>
      <c r="AO3" s="15" t="s">
        <v>483</v>
      </c>
      <c r="AP3" s="15" t="s">
        <v>256</v>
      </c>
      <c r="AQ3" s="15" t="s">
        <v>256</v>
      </c>
      <c r="AR3" s="15">
        <v>50</v>
      </c>
      <c r="AS3" s="15" t="s">
        <v>484</v>
      </c>
      <c r="AT3" s="15"/>
      <c r="AU3" s="15">
        <v>7027945070</v>
      </c>
      <c r="AV3" s="15"/>
      <c r="AW3" s="15"/>
      <c r="AX3" s="15" t="s">
        <v>270</v>
      </c>
      <c r="AY3" s="15" t="s">
        <v>264</v>
      </c>
      <c r="AZ3" s="15" t="s">
        <v>290</v>
      </c>
      <c r="BA3" s="15" t="s">
        <v>264</v>
      </c>
      <c r="BB3" s="15" t="s">
        <v>266</v>
      </c>
      <c r="BC3" s="15">
        <v>78043</v>
      </c>
      <c r="BD3" s="15">
        <v>78870</v>
      </c>
      <c r="BE3" s="15"/>
      <c r="BF3" s="15"/>
      <c r="BG3" s="15"/>
      <c r="BH3" s="15">
        <v>3954519618</v>
      </c>
      <c r="BI3" s="15" t="s">
        <v>508</v>
      </c>
      <c r="BJ3" s="15" t="s">
        <v>506</v>
      </c>
      <c r="BK3" s="15" t="s">
        <v>287</v>
      </c>
      <c r="BL3" s="15" t="s">
        <v>485</v>
      </c>
      <c r="BM3" s="15" t="s">
        <v>500</v>
      </c>
      <c r="BN3" s="15"/>
      <c r="BO3" s="15"/>
      <c r="BP3" s="15" t="s">
        <v>509</v>
      </c>
      <c r="BQ3" s="15" t="s">
        <v>510</v>
      </c>
      <c r="BR3" s="15" t="s">
        <v>270</v>
      </c>
      <c r="BS3" s="15" t="s">
        <v>264</v>
      </c>
      <c r="BT3" s="15" t="s">
        <v>511</v>
      </c>
      <c r="BU3" s="15" t="s">
        <v>264</v>
      </c>
      <c r="BV3" s="15" t="s">
        <v>266</v>
      </c>
      <c r="BW3" s="15">
        <v>78043</v>
      </c>
      <c r="BX3" s="15">
        <v>78870</v>
      </c>
      <c r="BY3" s="15">
        <v>1.7569999999999999</v>
      </c>
      <c r="BZ3" s="28">
        <v>43168</v>
      </c>
      <c r="CA3" s="15" t="s">
        <v>487</v>
      </c>
      <c r="CB3" s="15">
        <v>67</v>
      </c>
      <c r="CC3" s="15"/>
      <c r="CD3" s="15"/>
      <c r="CE3" s="15"/>
      <c r="CF3" s="15"/>
    </row>
    <row r="4" spans="1:84">
      <c r="A4" s="15">
        <v>8445878378</v>
      </c>
      <c r="B4" s="15" t="s">
        <v>470</v>
      </c>
      <c r="C4" s="15" t="s">
        <v>471</v>
      </c>
      <c r="D4" s="15"/>
      <c r="E4" s="15" t="s">
        <v>266</v>
      </c>
      <c r="F4" s="15" t="s">
        <v>472</v>
      </c>
      <c r="G4" s="15" t="s">
        <v>473</v>
      </c>
      <c r="H4" s="15" t="s">
        <v>474</v>
      </c>
      <c r="I4" s="15" t="s">
        <v>473</v>
      </c>
      <c r="J4" s="15">
        <v>3</v>
      </c>
      <c r="K4" s="15">
        <v>10800</v>
      </c>
      <c r="L4" s="15">
        <v>4607923998</v>
      </c>
      <c r="M4" s="15">
        <v>1300027784</v>
      </c>
      <c r="N4" s="15" t="s">
        <v>39</v>
      </c>
      <c r="O4" s="15" t="s">
        <v>475</v>
      </c>
      <c r="P4" s="15" t="s">
        <v>505</v>
      </c>
      <c r="Q4" s="15">
        <v>20</v>
      </c>
      <c r="R4" s="15">
        <v>2010</v>
      </c>
      <c r="S4" s="15" t="s">
        <v>27</v>
      </c>
      <c r="T4" s="15" t="s">
        <v>27</v>
      </c>
      <c r="U4" s="15" t="s">
        <v>27</v>
      </c>
      <c r="V4" s="28">
        <v>40624</v>
      </c>
      <c r="W4" s="28"/>
      <c r="X4" s="15" t="s">
        <v>40</v>
      </c>
      <c r="Y4" s="15" t="s">
        <v>26</v>
      </c>
      <c r="Z4" s="15" t="s">
        <v>491</v>
      </c>
      <c r="AA4" s="15" t="s">
        <v>492</v>
      </c>
      <c r="AB4" s="15" t="s">
        <v>305</v>
      </c>
      <c r="AC4" s="15"/>
      <c r="AD4" s="28">
        <v>32143</v>
      </c>
      <c r="AE4" s="15" t="s">
        <v>479</v>
      </c>
      <c r="AF4" s="15"/>
      <c r="AG4" s="15" t="s">
        <v>480</v>
      </c>
      <c r="AH4" s="15"/>
      <c r="AI4" s="15"/>
      <c r="AJ4" s="15" t="s">
        <v>26</v>
      </c>
      <c r="AK4" s="15" t="s">
        <v>481</v>
      </c>
      <c r="AL4" s="15" t="s">
        <v>482</v>
      </c>
      <c r="AM4" s="28">
        <v>43136</v>
      </c>
      <c r="AN4" s="15" t="s">
        <v>481</v>
      </c>
      <c r="AO4" s="15" t="s">
        <v>483</v>
      </c>
      <c r="AP4" s="15" t="s">
        <v>488</v>
      </c>
      <c r="AQ4" s="15" t="s">
        <v>254</v>
      </c>
      <c r="AR4" s="15">
        <v>20</v>
      </c>
      <c r="AS4" s="15" t="s">
        <v>484</v>
      </c>
      <c r="AT4" s="15"/>
      <c r="AU4" s="15">
        <v>8445821662</v>
      </c>
      <c r="AV4" s="15"/>
      <c r="AW4" s="15">
        <v>21</v>
      </c>
      <c r="AX4" s="15" t="s">
        <v>302</v>
      </c>
      <c r="AY4" s="15" t="s">
        <v>264</v>
      </c>
      <c r="AZ4" s="15" t="s">
        <v>264</v>
      </c>
      <c r="BA4" s="15" t="s">
        <v>264</v>
      </c>
      <c r="BB4" s="15" t="s">
        <v>266</v>
      </c>
      <c r="BC4" s="15">
        <v>78043</v>
      </c>
      <c r="BD4" s="15">
        <v>78870</v>
      </c>
      <c r="BE4" s="15"/>
      <c r="BF4" s="15"/>
      <c r="BG4" s="15"/>
      <c r="BH4" s="15">
        <v>2319706682</v>
      </c>
      <c r="BI4" s="15" t="s">
        <v>512</v>
      </c>
      <c r="BJ4" s="15" t="s">
        <v>489</v>
      </c>
      <c r="BK4" s="15" t="s">
        <v>513</v>
      </c>
      <c r="BL4" s="15" t="s">
        <v>490</v>
      </c>
      <c r="BM4" s="15" t="s">
        <v>486</v>
      </c>
      <c r="BN4" s="15"/>
      <c r="BO4" s="15" t="s">
        <v>514</v>
      </c>
      <c r="BP4" s="15" t="s">
        <v>515</v>
      </c>
      <c r="BQ4" s="15" t="s">
        <v>516</v>
      </c>
      <c r="BR4" s="15" t="s">
        <v>517</v>
      </c>
      <c r="BS4" s="15" t="s">
        <v>264</v>
      </c>
      <c r="BT4" s="15" t="s">
        <v>264</v>
      </c>
      <c r="BU4" s="15" t="s">
        <v>264</v>
      </c>
      <c r="BV4" s="15" t="s">
        <v>266</v>
      </c>
      <c r="BW4" s="15"/>
      <c r="BX4" s="15">
        <v>78870</v>
      </c>
      <c r="BY4" s="15">
        <v>0.629</v>
      </c>
      <c r="BZ4" s="28">
        <v>43168</v>
      </c>
      <c r="CA4" s="15" t="s">
        <v>487</v>
      </c>
      <c r="CB4" s="15">
        <v>1304</v>
      </c>
      <c r="CC4" s="15"/>
      <c r="CD4" s="15"/>
      <c r="CE4" s="15"/>
      <c r="CF4" s="15"/>
    </row>
    <row r="5" spans="1:84">
      <c r="A5" s="15">
        <v>9450166640</v>
      </c>
      <c r="B5" s="15" t="s">
        <v>470</v>
      </c>
      <c r="C5" s="15" t="s">
        <v>471</v>
      </c>
      <c r="D5" s="15"/>
      <c r="E5" s="15" t="s">
        <v>266</v>
      </c>
      <c r="F5" s="15" t="s">
        <v>472</v>
      </c>
      <c r="G5" s="15" t="s">
        <v>473</v>
      </c>
      <c r="H5" s="15" t="s">
        <v>474</v>
      </c>
      <c r="I5" s="15" t="s">
        <v>473</v>
      </c>
      <c r="J5" s="15">
        <v>1</v>
      </c>
      <c r="K5" s="15">
        <v>1600</v>
      </c>
      <c r="L5" s="15">
        <v>4060016066</v>
      </c>
      <c r="M5" s="15">
        <v>1300027471</v>
      </c>
      <c r="N5" s="15" t="s">
        <v>329</v>
      </c>
      <c r="O5" s="15" t="s">
        <v>497</v>
      </c>
      <c r="P5" s="15" t="s">
        <v>499</v>
      </c>
      <c r="Q5" s="15">
        <v>15</v>
      </c>
      <c r="R5" s="15">
        <v>2005</v>
      </c>
      <c r="S5" s="15" t="s">
        <v>27</v>
      </c>
      <c r="T5" s="15" t="s">
        <v>27</v>
      </c>
      <c r="U5" s="15" t="s">
        <v>27</v>
      </c>
      <c r="V5" s="28">
        <v>38518</v>
      </c>
      <c r="W5" s="28"/>
      <c r="X5" s="15"/>
      <c r="Y5" s="15" t="s">
        <v>26</v>
      </c>
      <c r="Z5" s="15" t="s">
        <v>494</v>
      </c>
      <c r="AA5" s="15" t="s">
        <v>495</v>
      </c>
      <c r="AB5" s="15" t="s">
        <v>330</v>
      </c>
      <c r="AC5" s="15"/>
      <c r="AD5" s="28">
        <v>38518</v>
      </c>
      <c r="AE5" s="15" t="s">
        <v>479</v>
      </c>
      <c r="AF5" s="15"/>
      <c r="AG5" s="15" t="s">
        <v>480</v>
      </c>
      <c r="AH5" s="15"/>
      <c r="AI5" s="15"/>
      <c r="AJ5" s="15" t="s">
        <v>26</v>
      </c>
      <c r="AK5" s="15" t="s">
        <v>481</v>
      </c>
      <c r="AL5" s="15" t="s">
        <v>482</v>
      </c>
      <c r="AM5" s="28">
        <v>43264</v>
      </c>
      <c r="AN5" s="15" t="s">
        <v>481</v>
      </c>
      <c r="AO5" s="15" t="s">
        <v>483</v>
      </c>
      <c r="AP5" s="15" t="s">
        <v>276</v>
      </c>
      <c r="AQ5" s="15" t="s">
        <v>254</v>
      </c>
      <c r="AR5" s="15">
        <v>20</v>
      </c>
      <c r="AS5" s="15" t="s">
        <v>484</v>
      </c>
      <c r="AT5" s="15"/>
      <c r="AU5" s="15">
        <v>9450154614</v>
      </c>
      <c r="AV5" s="15"/>
      <c r="AW5" s="15">
        <v>11</v>
      </c>
      <c r="AX5" s="15" t="s">
        <v>310</v>
      </c>
      <c r="AY5" s="15" t="s">
        <v>264</v>
      </c>
      <c r="AZ5" s="15" t="s">
        <v>264</v>
      </c>
      <c r="BA5" s="15" t="s">
        <v>264</v>
      </c>
      <c r="BB5" s="15" t="s">
        <v>266</v>
      </c>
      <c r="BC5" s="15">
        <v>78043</v>
      </c>
      <c r="BD5" s="15">
        <v>78870</v>
      </c>
      <c r="BE5" s="15"/>
      <c r="BF5" s="15"/>
      <c r="BG5" s="15"/>
      <c r="BH5" s="15">
        <v>7750479245</v>
      </c>
      <c r="BI5" s="15"/>
      <c r="BJ5" s="15" t="s">
        <v>493</v>
      </c>
      <c r="BK5" s="15" t="s">
        <v>518</v>
      </c>
      <c r="BL5" s="15" t="s">
        <v>485</v>
      </c>
      <c r="BM5" s="15" t="s">
        <v>486</v>
      </c>
      <c r="BN5" s="15"/>
      <c r="BO5" s="15"/>
      <c r="BP5" s="15" t="s">
        <v>519</v>
      </c>
      <c r="BQ5" s="15" t="s">
        <v>520</v>
      </c>
      <c r="BR5" s="15" t="s">
        <v>264</v>
      </c>
      <c r="BS5" s="15" t="s">
        <v>264</v>
      </c>
      <c r="BT5" s="15" t="s">
        <v>264</v>
      </c>
      <c r="BU5" s="15" t="s">
        <v>264</v>
      </c>
      <c r="BV5" s="15" t="s">
        <v>264</v>
      </c>
      <c r="BW5" s="15"/>
      <c r="BX5" s="15"/>
      <c r="BY5" s="15">
        <v>9.6000000000000002E-2</v>
      </c>
      <c r="BZ5" s="28">
        <v>43262</v>
      </c>
      <c r="CA5" s="15" t="s">
        <v>481</v>
      </c>
      <c r="CB5" s="15">
        <v>1080</v>
      </c>
      <c r="CC5" s="15"/>
      <c r="CD5" s="15"/>
      <c r="CE5" s="15"/>
      <c r="CF5" s="15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C323B4-0D61-43A4-A72C-B290D847CD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Historique ABP par Date</vt:lpstr>
      <vt:lpstr>Compare</vt:lpstr>
      <vt:lpstr>Analyse</vt:lpstr>
      <vt:lpstr>Parc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Selecky, Michel</dc:creator>
  <cp:lastModifiedBy>Rezoug, Yann</cp:lastModifiedBy>
  <dcterms:created xsi:type="dcterms:W3CDTF">2018-10-24T16:24:24Z</dcterms:created>
  <dcterms:modified xsi:type="dcterms:W3CDTF">2018-11-14T13:37:44Z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