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tables/table5.xml" ContentType="application/vnd.openxmlformats-officedocument.spreadsheetml.table+xml"/>
  <Override PartName="/xl/comments4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omments5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rgane\Desktop\"/>
    </mc:Choice>
  </mc:AlternateContent>
  <bookViews>
    <workbookView xWindow="0" yWindow="0" windowWidth="20490" windowHeight="7755" tabRatio="694" firstSheet="2" activeTab="7"/>
  </bookViews>
  <sheets>
    <sheet name="Production" sheetId="2" r:id="rId1"/>
    <sheet name="STOCK" sheetId="1" r:id="rId2"/>
    <sheet name="Epicerie" sheetId="3" r:id="rId3"/>
    <sheet name="Monoprix" sheetId="6" r:id="rId4"/>
    <sheet name="Marchés" sheetId="8" r:id="rId5"/>
    <sheet name="Cadeaux" sheetId="11" r:id="rId6"/>
    <sheet name="Base de données" sheetId="5" r:id="rId7"/>
    <sheet name="Feuil2" sheetId="22" r:id="rId8"/>
  </sheets>
  <definedNames>
    <definedName name="_xlnm._FilterDatabase" localSheetId="6" hidden="1">'Base de données'!$C$1:$C$1</definedName>
    <definedName name="_xlnm._FilterDatabase" localSheetId="0" hidden="1">Production!$B$3:$I$3</definedName>
    <definedName name="_xlnm._FilterDatabase" localSheetId="1" hidden="1">STOCK!$B$3:$I$3</definedName>
    <definedName name="Cadeaux">T_épiceries[Epicerie]</definedName>
    <definedName name="Catégorie">'Base de données'!$D$2:$D$51</definedName>
    <definedName name="Code">OFFSET(#REF!,,,COUNTA(#REF!))</definedName>
    <definedName name="Date">OFFSET(#REF!,,,COUNTA(#REF!))</definedName>
    <definedName name="dluo">#REF!</definedName>
    <definedName name="Epicerie" localSheetId="4">T_épiceries[Epicerie]</definedName>
    <definedName name="Epicerie">T_épiceries[Epicerie]</definedName>
    <definedName name="Gamme">'Base de données'!$E$2:$E$51</definedName>
    <definedName name="GMS" localSheetId="4">T_Monoprix[GMS]</definedName>
    <definedName name="GMS">T_Monoprix[GMS]</definedName>
    <definedName name="Marché" localSheetId="4">T_marché[Marchés]</definedName>
    <definedName name="nom">'Base de données'!$C$2:$C$51</definedName>
    <definedName name="Ref">#REF!</definedName>
    <definedName name="Référence">'Base de données'!$B$2:$B$51</definedName>
    <definedName name="reftest">#REF!</definedName>
    <definedName name="SUPdluo">OFFSET(#REF!,,,COUNTA(#REF!))</definedName>
    <definedName name="supref">OFFSET(#REF!,,,COUNTA(#REF!))</definedName>
    <definedName name="T_base" localSheetId="4">Tableau3[[Référence]:[Prix de vente]]</definedName>
    <definedName name="T_base">Tableau3[[Référence]:[Prix de vente]]</definedName>
    <definedName name="T_entrées">T_entrée[[Numéro de tournées]:[Prix total de la production]]</definedName>
    <definedName name="T_produit">Production!$B$4:$I$7</definedName>
  </definedNames>
  <calcPr calcId="152511"/>
  <pivotCaches>
    <pivotCache cacheId="43" r:id="rId9"/>
    <pivotCache cacheId="48" r:id="rId10"/>
    <pivotCache cacheId="53" r:id="rId11"/>
    <pivotCache cacheId="57" r:id="rId12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" l="1"/>
  <c r="D7" i="2"/>
  <c r="E7" i="2"/>
  <c r="F7" i="2"/>
  <c r="H7" i="2"/>
  <c r="J7" i="2"/>
  <c r="K7" i="2" s="1"/>
  <c r="L7" i="2"/>
  <c r="O7" i="2"/>
  <c r="R7" i="2"/>
  <c r="U7" i="2"/>
  <c r="V7" i="2"/>
  <c r="X7" i="2"/>
  <c r="D6" i="2"/>
  <c r="E6" i="2"/>
  <c r="F6" i="2"/>
  <c r="H6" i="2"/>
  <c r="J6" i="2"/>
  <c r="K6" i="2" s="1"/>
  <c r="L6" i="2"/>
  <c r="O6" i="2"/>
  <c r="R6" i="2"/>
  <c r="U6" i="2"/>
  <c r="V6" i="2"/>
  <c r="X6" i="2"/>
  <c r="D5" i="2"/>
  <c r="E5" i="2"/>
  <c r="F5" i="2"/>
  <c r="H5" i="2"/>
  <c r="J5" i="2"/>
  <c r="K5" i="2" s="1"/>
  <c r="L5" i="2"/>
  <c r="O5" i="2"/>
  <c r="R5" i="2"/>
  <c r="U5" i="2"/>
  <c r="V5" i="2"/>
  <c r="X5" i="2"/>
  <c r="A4" i="2"/>
  <c r="A5" i="2" s="1"/>
  <c r="A6" i="2" s="1"/>
  <c r="D4" i="2"/>
  <c r="E4" i="2"/>
  <c r="F4" i="2"/>
  <c r="H4" i="2"/>
  <c r="J4" i="2"/>
  <c r="K4" i="2" s="1"/>
  <c r="L4" i="2"/>
  <c r="O4" i="2"/>
  <c r="R4" i="2"/>
  <c r="U4" i="2"/>
  <c r="V4" i="2"/>
  <c r="X4" i="2"/>
  <c r="G54" i="1"/>
  <c r="I4" i="8"/>
  <c r="D4" i="8"/>
  <c r="E4" i="8"/>
  <c r="C4" i="8"/>
  <c r="I4" i="6"/>
  <c r="D4" i="6"/>
  <c r="E4" i="6"/>
  <c r="C4" i="6"/>
  <c r="D5" i="3"/>
  <c r="E5" i="3"/>
  <c r="D6" i="3"/>
  <c r="E6" i="3"/>
  <c r="J4" i="3"/>
  <c r="I5" i="3"/>
  <c r="J5" i="3" s="1"/>
  <c r="I6" i="3"/>
  <c r="J6" i="3" s="1"/>
  <c r="I4" i="3"/>
  <c r="D4" i="3"/>
  <c r="E4" i="3"/>
  <c r="C4" i="3"/>
  <c r="C5" i="3"/>
  <c r="C6" i="3"/>
  <c r="L12" i="1" l="1"/>
  <c r="G51" i="1"/>
  <c r="G39" i="1"/>
  <c r="G27" i="1"/>
  <c r="G15" i="1"/>
  <c r="L47" i="1"/>
  <c r="L35" i="1"/>
  <c r="L23" i="1"/>
  <c r="L15" i="1"/>
  <c r="G50" i="1"/>
  <c r="G46" i="1"/>
  <c r="G42" i="1"/>
  <c r="G38" i="1"/>
  <c r="G34" i="1"/>
  <c r="G30" i="1"/>
  <c r="G26" i="1"/>
  <c r="G22" i="1"/>
  <c r="G18" i="1"/>
  <c r="G14" i="1"/>
  <c r="G10" i="1"/>
  <c r="G6" i="1"/>
  <c r="L54" i="1"/>
  <c r="L50" i="1"/>
  <c r="L46" i="1"/>
  <c r="L42" i="1"/>
  <c r="L38" i="1"/>
  <c r="L34" i="1"/>
  <c r="L30" i="1"/>
  <c r="L26" i="1"/>
  <c r="L22" i="1"/>
  <c r="L18" i="1"/>
  <c r="L14" i="1"/>
  <c r="L9" i="1"/>
  <c r="L5" i="1"/>
  <c r="G47" i="1"/>
  <c r="G35" i="1"/>
  <c r="G23" i="1"/>
  <c r="G11" i="1"/>
  <c r="G7" i="1"/>
  <c r="L43" i="1"/>
  <c r="L31" i="1"/>
  <c r="L19" i="1"/>
  <c r="L6" i="1"/>
  <c r="G53" i="1"/>
  <c r="G49" i="1"/>
  <c r="G45" i="1"/>
  <c r="G41" i="1"/>
  <c r="G37" i="1"/>
  <c r="G33" i="1"/>
  <c r="G29" i="1"/>
  <c r="G25" i="1"/>
  <c r="G21" i="1"/>
  <c r="G17" i="1"/>
  <c r="G13" i="1"/>
  <c r="G9" i="1"/>
  <c r="G5" i="1"/>
  <c r="L53" i="1"/>
  <c r="L49" i="1"/>
  <c r="L45" i="1"/>
  <c r="L41" i="1"/>
  <c r="L37" i="1"/>
  <c r="L33" i="1"/>
  <c r="L29" i="1"/>
  <c r="L25" i="1"/>
  <c r="L21" i="1"/>
  <c r="L17" i="1"/>
  <c r="L13" i="1"/>
  <c r="L8" i="1"/>
  <c r="L4" i="1"/>
  <c r="G43" i="1"/>
  <c r="G31" i="1"/>
  <c r="G19" i="1"/>
  <c r="L51" i="1"/>
  <c r="L39" i="1"/>
  <c r="L27" i="1"/>
  <c r="L10" i="1"/>
  <c r="G52" i="1"/>
  <c r="G48" i="1"/>
  <c r="G44" i="1"/>
  <c r="G40" i="1"/>
  <c r="G36" i="1"/>
  <c r="G32" i="1"/>
  <c r="G28" i="1"/>
  <c r="G24" i="1"/>
  <c r="G20" i="1"/>
  <c r="G16" i="1"/>
  <c r="G12" i="1"/>
  <c r="G8" i="1"/>
  <c r="G4" i="1"/>
  <c r="L52" i="1"/>
  <c r="L48" i="1"/>
  <c r="L44" i="1"/>
  <c r="L40" i="1"/>
  <c r="L36" i="1"/>
  <c r="L32" i="1"/>
  <c r="L28" i="1"/>
  <c r="L24" i="1"/>
  <c r="L20" i="1"/>
  <c r="L16" i="1"/>
  <c r="L11" i="1"/>
  <c r="L7" i="1"/>
  <c r="J4" i="6" l="1"/>
  <c r="K54" i="1" l="1"/>
  <c r="K4" i="11" l="1"/>
  <c r="J4" i="11"/>
  <c r="F4" i="11"/>
  <c r="G4" i="11"/>
  <c r="E4" i="11"/>
  <c r="L5" i="11"/>
  <c r="K8" i="2" l="1"/>
  <c r="J4" i="1" l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H5" i="8" l="1"/>
  <c r="J4" i="8"/>
  <c r="J5" i="8" s="1"/>
  <c r="I14" i="5"/>
  <c r="J5" i="6"/>
  <c r="J7" i="5"/>
  <c r="I6" i="5"/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D54" i="1"/>
  <c r="E54" i="1"/>
  <c r="I54" i="1"/>
  <c r="D53" i="1"/>
  <c r="E53" i="1"/>
  <c r="I53" i="1"/>
  <c r="D52" i="1"/>
  <c r="E52" i="1"/>
  <c r="D51" i="1"/>
  <c r="E51" i="1"/>
  <c r="I52" i="1" l="1"/>
  <c r="I51" i="1"/>
  <c r="J55" i="1"/>
  <c r="H55" i="1"/>
  <c r="I10" i="1" l="1"/>
  <c r="I13" i="1"/>
  <c r="I20" i="1"/>
  <c r="I27" i="1"/>
  <c r="I35" i="1"/>
  <c r="I42" i="1"/>
  <c r="I47" i="1"/>
  <c r="I49" i="1"/>
  <c r="I4" i="1"/>
  <c r="I19" i="1"/>
  <c r="I33" i="1"/>
  <c r="I36" i="1"/>
  <c r="I43" i="1"/>
  <c r="I48" i="1"/>
  <c r="I14" i="1"/>
  <c r="I22" i="1"/>
  <c r="H7" i="3"/>
  <c r="H5" i="6"/>
  <c r="D10" i="1"/>
  <c r="D11" i="1"/>
  <c r="D23" i="1"/>
  <c r="D13" i="1"/>
  <c r="D20" i="1"/>
  <c r="D21" i="1"/>
  <c r="D25" i="1"/>
  <c r="D26" i="1"/>
  <c r="D27" i="1"/>
  <c r="D16" i="1"/>
  <c r="D28" i="1"/>
  <c r="D32" i="1"/>
  <c r="D35" i="1"/>
  <c r="D50" i="1"/>
  <c r="D39" i="1"/>
  <c r="D41" i="1"/>
  <c r="D42" i="1"/>
  <c r="D45" i="1"/>
  <c r="D46" i="1"/>
  <c r="D47" i="1"/>
  <c r="D49" i="1"/>
  <c r="D12" i="1"/>
  <c r="D30" i="1"/>
  <c r="D31" i="1"/>
  <c r="D4" i="1"/>
  <c r="D5" i="1"/>
  <c r="D6" i="1"/>
  <c r="D17" i="1"/>
  <c r="D19" i="1"/>
  <c r="D24" i="1"/>
  <c r="D29" i="1"/>
  <c r="D33" i="1"/>
  <c r="D34" i="1"/>
  <c r="D38" i="1"/>
  <c r="D36" i="1"/>
  <c r="D43" i="1"/>
  <c r="D40" i="1"/>
  <c r="D44" i="1"/>
  <c r="D48" i="1"/>
  <c r="D14" i="1"/>
  <c r="D18" i="1"/>
  <c r="D37" i="1"/>
  <c r="D22" i="1"/>
  <c r="E10" i="1"/>
  <c r="E11" i="1"/>
  <c r="E23" i="1"/>
  <c r="E13" i="1"/>
  <c r="E20" i="1"/>
  <c r="E21" i="1"/>
  <c r="E25" i="1"/>
  <c r="E26" i="1"/>
  <c r="E27" i="1"/>
  <c r="E16" i="1"/>
  <c r="E28" i="1"/>
  <c r="E32" i="1"/>
  <c r="E35" i="1"/>
  <c r="E50" i="1"/>
  <c r="E39" i="1"/>
  <c r="E41" i="1"/>
  <c r="E42" i="1"/>
  <c r="E45" i="1"/>
  <c r="E46" i="1"/>
  <c r="E47" i="1"/>
  <c r="E49" i="1"/>
  <c r="E12" i="1"/>
  <c r="E30" i="1"/>
  <c r="E31" i="1"/>
  <c r="E4" i="1"/>
  <c r="E5" i="1"/>
  <c r="E6" i="1"/>
  <c r="E17" i="1"/>
  <c r="E19" i="1"/>
  <c r="E24" i="1"/>
  <c r="E29" i="1"/>
  <c r="E33" i="1"/>
  <c r="E34" i="1"/>
  <c r="E38" i="1"/>
  <c r="E36" i="1"/>
  <c r="E43" i="1"/>
  <c r="E40" i="1"/>
  <c r="E44" i="1"/>
  <c r="E48" i="1"/>
  <c r="E14" i="1"/>
  <c r="E18" i="1"/>
  <c r="E37" i="1"/>
  <c r="E22" i="1"/>
  <c r="E7" i="1"/>
  <c r="E8" i="1"/>
  <c r="E9" i="1"/>
  <c r="D7" i="1"/>
  <c r="D8" i="1"/>
  <c r="D9" i="1"/>
  <c r="D15" i="1"/>
  <c r="E15" i="1"/>
  <c r="G52" i="5"/>
  <c r="I17" i="1" l="1"/>
  <c r="I6" i="1"/>
  <c r="I31" i="1"/>
  <c r="I26" i="1"/>
  <c r="I34" i="1"/>
  <c r="I12" i="1"/>
  <c r="I11" i="1"/>
  <c r="I50" i="1"/>
  <c r="I18" i="1"/>
  <c r="I5" i="1"/>
  <c r="I32" i="1"/>
  <c r="I44" i="1"/>
  <c r="I24" i="1"/>
  <c r="I46" i="1"/>
  <c r="I25" i="1"/>
  <c r="I8" i="1"/>
  <c r="I40" i="1"/>
  <c r="I45" i="1"/>
  <c r="I28" i="1"/>
  <c r="I21" i="1"/>
  <c r="I7" i="1"/>
  <c r="I37" i="1"/>
  <c r="I38" i="1"/>
  <c r="I30" i="1"/>
  <c r="I39" i="1"/>
  <c r="I16" i="1"/>
  <c r="I23" i="1"/>
  <c r="I15" i="1"/>
  <c r="I29" i="1"/>
  <c r="I41" i="1"/>
  <c r="I9" i="1"/>
  <c r="G55" i="1"/>
  <c r="I8" i="2"/>
  <c r="K55" i="1" l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2" i="5"/>
  <c r="A3" i="5" s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</calcChain>
</file>

<file path=xl/comments1.xml><?xml version="1.0" encoding="utf-8"?>
<comments xmlns="http://schemas.openxmlformats.org/spreadsheetml/2006/main">
  <authors>
    <author>morgane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Créer une nouvelle ligne quand une nouvelle référence est créée (formulaire en haut sur la barre d'accès rapide)
</t>
        </r>
      </text>
    </comment>
  </commentList>
</comments>
</file>

<file path=xl/comments2.xml><?xml version="1.0" encoding="utf-8"?>
<comments xmlns="http://schemas.openxmlformats.org/spreadsheetml/2006/main">
  <authors>
    <author>morgane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Insérer une nouvelle commande, en cliquant sur le formulaire sur la barre d'accès rapide</t>
        </r>
      </text>
    </comment>
  </commentList>
</comments>
</file>

<file path=xl/comments3.xml><?xml version="1.0" encoding="utf-8"?>
<comments xmlns="http://schemas.openxmlformats.org/spreadsheetml/2006/main">
  <authors>
    <author>morgane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Insérer une nouvelle commande en cliquant sur le formulaire sur la barre d'accès rapide</t>
        </r>
      </text>
    </comment>
  </commentList>
</comments>
</file>

<file path=xl/comments4.xml><?xml version="1.0" encoding="utf-8"?>
<comments xmlns="http://schemas.openxmlformats.org/spreadsheetml/2006/main">
  <authors>
    <author>morgane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Insérer une nouvelle commande en cliquant sur le formulaire sur la barre d'accès rapide</t>
        </r>
      </text>
    </comment>
  </commentList>
</comments>
</file>

<file path=xl/comments5.xml><?xml version="1.0" encoding="utf-8"?>
<comments xmlns="http://schemas.openxmlformats.org/spreadsheetml/2006/main">
  <authors>
    <author>morgane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Créer une nouvelle référence en cliquant sur l'onglet formulaire dans la base d'accès rapide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Insérer une nouvelle épicerie en : clic droit puis insérer une nouvelle ligne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Insérer une nouvelle GMS en : clic droit puis insérer une nouvelle ligne</t>
        </r>
      </text>
    </comment>
    <comment ref="I14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Pour créer un nouveau marché : clic droit &gt; insérer &gt; nouvelle ligne</t>
        </r>
      </text>
    </comment>
    <comment ref="G52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Créer une nouvelle référence en cliquant sur l'onglet formulaire en haut (sur la barre d'accès rapide)</t>
        </r>
      </text>
    </comment>
  </commentList>
</comments>
</file>

<file path=xl/sharedStrings.xml><?xml version="1.0" encoding="utf-8"?>
<sst xmlns="http://schemas.openxmlformats.org/spreadsheetml/2006/main" count="415" uniqueCount="190">
  <si>
    <t>Etat du stock</t>
  </si>
  <si>
    <t xml:space="preserve">Référence </t>
  </si>
  <si>
    <t>Nom commercial</t>
  </si>
  <si>
    <t>Etat</t>
  </si>
  <si>
    <t>Gamme</t>
  </si>
  <si>
    <t>Catégories</t>
  </si>
  <si>
    <t>Référence</t>
  </si>
  <si>
    <t>Edition limitée</t>
  </si>
  <si>
    <t>Classique</t>
  </si>
  <si>
    <t xml:space="preserve">Ananas Raisin </t>
  </si>
  <si>
    <t>Ananas</t>
  </si>
  <si>
    <t>CL2.40</t>
  </si>
  <si>
    <t xml:space="preserve">Fraise Mangue </t>
  </si>
  <si>
    <t>CL16.24</t>
  </si>
  <si>
    <t xml:space="preserve">Fraise Papaye </t>
  </si>
  <si>
    <t>CL16.31</t>
  </si>
  <si>
    <t>Fraise Poire</t>
  </si>
  <si>
    <t>CL16.34</t>
  </si>
  <si>
    <t>Framboise groseille</t>
  </si>
  <si>
    <t>CL17.19</t>
  </si>
  <si>
    <t>Framboise Pitaya</t>
  </si>
  <si>
    <t>CL17.33</t>
  </si>
  <si>
    <t xml:space="preserve">Pitaya Clémentine </t>
  </si>
  <si>
    <t>CL33.11</t>
  </si>
  <si>
    <t>Kiwi Ananas</t>
  </si>
  <si>
    <t>CL2.21</t>
  </si>
  <si>
    <t>Mangue Orange</t>
  </si>
  <si>
    <t>CL28.24</t>
  </si>
  <si>
    <t>Papaye Mandarine</t>
  </si>
  <si>
    <t>CL31.23</t>
  </si>
  <si>
    <t>Poire Pamplemousse</t>
  </si>
  <si>
    <t>CL34.30</t>
  </si>
  <si>
    <t>Pomme Orange Date</t>
  </si>
  <si>
    <t>CL36.28.14</t>
  </si>
  <si>
    <t xml:space="preserve">Pomme Pamplemousse Raisin sec </t>
  </si>
  <si>
    <t>CL36.30.40</t>
  </si>
  <si>
    <t>Ananas Tomate</t>
  </si>
  <si>
    <t>CL2.41</t>
  </si>
  <si>
    <t>Pomme fruits rouges</t>
  </si>
  <si>
    <t>CL36.43</t>
  </si>
  <si>
    <t>Epice</t>
  </si>
  <si>
    <t xml:space="preserve">Fraise Pomme Musade </t>
  </si>
  <si>
    <t>EP16.36MUS</t>
  </si>
  <si>
    <t>Legumes</t>
  </si>
  <si>
    <t xml:space="preserve">Carotte Poire Cardamome </t>
  </si>
  <si>
    <t>EP34.5CAR</t>
  </si>
  <si>
    <t>Carotte agrume</t>
  </si>
  <si>
    <t>L5.0</t>
  </si>
  <si>
    <t>Courge Spaghetti</t>
  </si>
  <si>
    <t>L12</t>
  </si>
  <si>
    <t xml:space="preserve">Courgette Raisin </t>
  </si>
  <si>
    <t>L13.40</t>
  </si>
  <si>
    <t xml:space="preserve">Endive </t>
  </si>
  <si>
    <t>L15</t>
  </si>
  <si>
    <t>Tomate Poivron</t>
  </si>
  <si>
    <t>L41.35</t>
  </si>
  <si>
    <t xml:space="preserve">Tomate Pomme Céleri </t>
  </si>
  <si>
    <t>L41.36.7</t>
  </si>
  <si>
    <t xml:space="preserve">Tomate Raisin </t>
  </si>
  <si>
    <t>L41.40</t>
  </si>
  <si>
    <t xml:space="preserve">Topinambourg Clémentine </t>
  </si>
  <si>
    <t>L42.11</t>
  </si>
  <si>
    <t>Permanent</t>
  </si>
  <si>
    <t>CL2</t>
  </si>
  <si>
    <t>Banane Agrume</t>
  </si>
  <si>
    <t>CL4.0</t>
  </si>
  <si>
    <t xml:space="preserve">Banane Raisin </t>
  </si>
  <si>
    <t>CL4.40</t>
  </si>
  <si>
    <t>Agrume</t>
  </si>
  <si>
    <t>CL0</t>
  </si>
  <si>
    <t xml:space="preserve">Fraise </t>
  </si>
  <si>
    <t>CL16</t>
  </si>
  <si>
    <t>Fraise Clémentine</t>
  </si>
  <si>
    <t>CL16.11</t>
  </si>
  <si>
    <t>Kiwi Pomme</t>
  </si>
  <si>
    <t>CL21.36</t>
  </si>
  <si>
    <t xml:space="preserve">Mangue </t>
  </si>
  <si>
    <t>CL24</t>
  </si>
  <si>
    <t xml:space="preserve">Poire </t>
  </si>
  <si>
    <t>CL34</t>
  </si>
  <si>
    <t xml:space="preserve">Prune </t>
  </si>
  <si>
    <t>CL39</t>
  </si>
  <si>
    <t>Pomme agrume épicée</t>
  </si>
  <si>
    <t>EP23.0</t>
  </si>
  <si>
    <t xml:space="preserve">Ananas Gingembre </t>
  </si>
  <si>
    <t>EP2GING</t>
  </si>
  <si>
    <t>Banane Gingembre</t>
  </si>
  <si>
    <t>EP4GING</t>
  </si>
  <si>
    <t xml:space="preserve">Pomme Raisin Epices </t>
  </si>
  <si>
    <t>EP36.40EP</t>
  </si>
  <si>
    <t>Aubergine Pomme Agrume</t>
  </si>
  <si>
    <t>L3.36.0</t>
  </si>
  <si>
    <t>Courge Agrume</t>
  </si>
  <si>
    <t>L12.0</t>
  </si>
  <si>
    <t>Poivron Pomme</t>
  </si>
  <si>
    <t>L35.36</t>
  </si>
  <si>
    <t>Tomate Poivre</t>
  </si>
  <si>
    <t>L41P</t>
  </si>
  <si>
    <t>RIP</t>
  </si>
  <si>
    <t>Ananas Pomme</t>
  </si>
  <si>
    <t>CL2.36</t>
  </si>
  <si>
    <t>Litchi</t>
  </si>
  <si>
    <t>CL22</t>
  </si>
  <si>
    <t>Pomme Vanille</t>
  </si>
  <si>
    <t>EP36VAN</t>
  </si>
  <si>
    <t>Papaye Pomme</t>
  </si>
  <si>
    <t>CL31.36</t>
  </si>
  <si>
    <t>Prix unitaire</t>
  </si>
  <si>
    <t>Epicerie 1</t>
  </si>
  <si>
    <t>Numéro de commande</t>
  </si>
  <si>
    <t>Quantité</t>
  </si>
  <si>
    <t>Lot</t>
  </si>
  <si>
    <t>STOCK</t>
  </si>
  <si>
    <t>Catégorie</t>
  </si>
  <si>
    <t>Prix de vente</t>
  </si>
  <si>
    <t>Total</t>
  </si>
  <si>
    <t>N°</t>
  </si>
  <si>
    <t>N°de référence</t>
  </si>
  <si>
    <t>n°de production</t>
  </si>
  <si>
    <t>Epicerie</t>
  </si>
  <si>
    <t>Epiceries</t>
  </si>
  <si>
    <t>Monoprix</t>
  </si>
  <si>
    <t>Inventaire modifié</t>
  </si>
  <si>
    <t>Epicerie 2</t>
  </si>
  <si>
    <t>Epicerie 3</t>
  </si>
  <si>
    <t>Monoprix 1</t>
  </si>
  <si>
    <t>Monoprix 2</t>
  </si>
  <si>
    <t>Monoprix 3</t>
  </si>
  <si>
    <t>Monoprix 4</t>
  </si>
  <si>
    <t xml:space="preserve">Prix </t>
  </si>
  <si>
    <t>DLUO</t>
  </si>
  <si>
    <t>CL43.36</t>
  </si>
  <si>
    <t>Fruits rouges Pomme</t>
  </si>
  <si>
    <t>CL36.10</t>
  </si>
  <si>
    <t>Pomme citron vert</t>
  </si>
  <si>
    <t>L36.44.28</t>
  </si>
  <si>
    <t>Fenouil Pomme Orange</t>
  </si>
  <si>
    <t>GMS</t>
  </si>
  <si>
    <t>Marchés</t>
  </si>
  <si>
    <t>Saint-Denis</t>
  </si>
  <si>
    <t>Romainville</t>
  </si>
  <si>
    <t>Goussainville</t>
  </si>
  <si>
    <t>Valeur unitaire de vente</t>
  </si>
  <si>
    <t>Valeur de vente du stock</t>
  </si>
  <si>
    <t>Stock de couverture</t>
  </si>
  <si>
    <t>Prix unitaire de vente</t>
  </si>
  <si>
    <t>Fruits 1</t>
  </si>
  <si>
    <t xml:space="preserve">Poids (Kg) </t>
  </si>
  <si>
    <t xml:space="preserve">% </t>
  </si>
  <si>
    <t>Fruits 2</t>
  </si>
  <si>
    <t>Fruits 3</t>
  </si>
  <si>
    <t>Sucre (Kg)</t>
  </si>
  <si>
    <t>Epices</t>
  </si>
  <si>
    <t>Contrôle Refracto Brix</t>
  </si>
  <si>
    <t>Contrôlée dernier pot (°C)</t>
  </si>
  <si>
    <t xml:space="preserve">Poids net par pot </t>
  </si>
  <si>
    <t>% 3</t>
  </si>
  <si>
    <t>POIDS TOTAL (en kg)</t>
  </si>
  <si>
    <t>%</t>
  </si>
  <si>
    <t>%2</t>
  </si>
  <si>
    <t>Poids total fruit (en kg)</t>
  </si>
  <si>
    <t>Poids (kg)</t>
  </si>
  <si>
    <t>Poids (kg</t>
  </si>
  <si>
    <t xml:space="preserve">Entrées : production                                                                                                                                                                                                                  Entrées : production </t>
  </si>
  <si>
    <t>Cadeaux</t>
  </si>
  <si>
    <t>Date de production</t>
  </si>
  <si>
    <t>Date de livraison</t>
  </si>
  <si>
    <t>Prix total de la production</t>
  </si>
  <si>
    <t xml:space="preserve">Prix total </t>
  </si>
  <si>
    <t>DLUO la plus ancienne</t>
  </si>
  <si>
    <t>Numéro de tournées</t>
  </si>
  <si>
    <t>cl0</t>
  </si>
  <si>
    <t>Références</t>
  </si>
  <si>
    <t>Total général</t>
  </si>
  <si>
    <t>Étiquettes de lignes</t>
  </si>
  <si>
    <t>Étiquettes de colonnes</t>
  </si>
  <si>
    <t>(vide)</t>
  </si>
  <si>
    <t>cl2</t>
  </si>
  <si>
    <t>cl24</t>
  </si>
  <si>
    <t>Nom de l'épicerie</t>
  </si>
  <si>
    <t>Date de la commande</t>
  </si>
  <si>
    <t>Date de commande</t>
  </si>
  <si>
    <t>Marché</t>
  </si>
  <si>
    <t>Epicerie 4</t>
  </si>
  <si>
    <t>1725c</t>
  </si>
  <si>
    <t>2569c</t>
  </si>
  <si>
    <t>2548c</t>
  </si>
  <si>
    <t>555m</t>
  </si>
  <si>
    <t>Gouss</t>
  </si>
  <si>
    <t>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</si>
</sst>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scheme val="minor"/>
    </font>
    <font>
      <sz val="11"/>
      <name val="Calibri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Verdana"/>
    </font>
  </fonts>
  <fills count="10">
    <fill>
      <patternFill patternType="none"/>
    </fill>
    <fill>
      <patternFill patternType="gray125"/>
    </fill>
    <fill>
      <patternFill patternType="solid">
        <fgColor rgb="FFC0F1F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ED4"/>
        <bgColor indexed="64"/>
      </patternFill>
    </fill>
    <fill>
      <patternFill patternType="solid">
        <fgColor rgb="FFFB979E"/>
        <bgColor indexed="64"/>
      </patternFill>
    </fill>
    <fill>
      <patternFill patternType="solid">
        <fgColor rgb="FFFFB7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E4F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wrapText="1"/>
    </xf>
    <xf numFmtId="164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4" fillId="0" borderId="0" xfId="0" applyFont="1"/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44" fontId="0" fillId="0" borderId="0" xfId="0" applyNumberFormat="1"/>
    <xf numFmtId="0" fontId="7" fillId="3" borderId="4" xfId="0" applyFont="1" applyFill="1" applyBorder="1" applyAlignment="1">
      <alignment horizontal="center" vertical="top"/>
    </xf>
    <xf numFmtId="0" fontId="1" fillId="0" borderId="0" xfId="0" applyFont="1" applyAlignmen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64" fontId="0" fillId="0" borderId="0" xfId="1" applyNumberFormat="1" applyFont="1"/>
    <xf numFmtId="0" fontId="7" fillId="4" borderId="4" xfId="0" applyFont="1" applyFill="1" applyBorder="1" applyAlignment="1">
      <alignment horizontal="center" vertical="top"/>
    </xf>
    <xf numFmtId="164" fontId="0" fillId="4" borderId="0" xfId="0" applyNumberFormat="1" applyFill="1"/>
    <xf numFmtId="0" fontId="0" fillId="4" borderId="0" xfId="0" applyFill="1"/>
    <xf numFmtId="0" fontId="2" fillId="0" borderId="0" xfId="0" applyFont="1" applyBorder="1" applyAlignment="1">
      <alignment vertical="center"/>
    </xf>
    <xf numFmtId="0" fontId="0" fillId="0" borderId="4" xfId="0" applyBorder="1"/>
    <xf numFmtId="0" fontId="0" fillId="0" borderId="0" xfId="0" applyFill="1" applyAlignment="1">
      <alignment horizontal="left" vertical="center"/>
    </xf>
    <xf numFmtId="0" fontId="0" fillId="0" borderId="7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13" fillId="5" borderId="4" xfId="0" applyFont="1" applyFill="1" applyBorder="1" applyAlignment="1">
      <alignment horizontal="center" vertical="top"/>
    </xf>
    <xf numFmtId="164" fontId="1" fillId="0" borderId="0" xfId="0" applyNumberFormat="1" applyFont="1"/>
    <xf numFmtId="164" fontId="5" fillId="0" borderId="0" xfId="0" applyNumberFormat="1" applyFont="1"/>
    <xf numFmtId="0" fontId="5" fillId="6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 wrapText="1"/>
    </xf>
    <xf numFmtId="0" fontId="8" fillId="7" borderId="0" xfId="0" applyFont="1" applyFill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9" fontId="6" fillId="8" borderId="9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top" wrapText="1"/>
    </xf>
    <xf numFmtId="9" fontId="6" fillId="3" borderId="9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top" wrapText="1"/>
    </xf>
    <xf numFmtId="49" fontId="0" fillId="0" borderId="0" xfId="0" applyNumberFormat="1"/>
    <xf numFmtId="44" fontId="0" fillId="0" borderId="0" xfId="1" applyFont="1"/>
    <xf numFmtId="0" fontId="6" fillId="7" borderId="4" xfId="0" applyFont="1" applyFill="1" applyBorder="1" applyAlignment="1">
      <alignment horizontal="center" vertical="center" wrapText="1"/>
    </xf>
    <xf numFmtId="0" fontId="6" fillId="7" borderId="4" xfId="0" applyNumberFormat="1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4" fontId="0" fillId="0" borderId="2" xfId="0" applyNumberFormat="1" applyBorder="1"/>
    <xf numFmtId="0" fontId="0" fillId="0" borderId="2" xfId="0" applyNumberFormat="1" applyBorder="1" applyAlignment="1">
      <alignment horizontal="center"/>
    </xf>
    <xf numFmtId="0" fontId="0" fillId="0" borderId="2" xfId="0" applyNumberFormat="1" applyBorder="1"/>
    <xf numFmtId="164" fontId="0" fillId="0" borderId="2" xfId="0" applyNumberFormat="1" applyBorder="1"/>
    <xf numFmtId="14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4" fontId="0" fillId="0" borderId="2" xfId="0" applyNumberFormat="1" applyBorder="1" applyAlignment="1">
      <alignment horizontal="left"/>
    </xf>
    <xf numFmtId="164" fontId="3" fillId="0" borderId="2" xfId="0" applyNumberFormat="1" applyFont="1" applyBorder="1"/>
    <xf numFmtId="14" fontId="3" fillId="0" borderId="0" xfId="0" applyNumberFormat="1" applyFont="1"/>
    <xf numFmtId="0" fontId="3" fillId="0" borderId="0" xfId="0" applyNumberFormat="1" applyFont="1"/>
    <xf numFmtId="9" fontId="3" fillId="0" borderId="0" xfId="0" applyNumberFormat="1" applyFont="1"/>
    <xf numFmtId="1" fontId="5" fillId="4" borderId="1" xfId="0" applyNumberFormat="1" applyFont="1" applyFill="1" applyBorder="1" applyAlignment="1">
      <alignment horizontal="center" vertical="center" wrapText="1"/>
    </xf>
    <xf numFmtId="14" fontId="5" fillId="4" borderId="2" xfId="0" applyNumberFormat="1" applyFont="1" applyFill="1" applyBorder="1" applyAlignment="1">
      <alignment horizontal="left"/>
    </xf>
    <xf numFmtId="14" fontId="5" fillId="4" borderId="2" xfId="0" applyNumberFormat="1" applyFont="1" applyFill="1" applyBorder="1" applyAlignment="1">
      <alignment horizontal="center" vertical="center" wrapText="1"/>
    </xf>
    <xf numFmtId="0" fontId="5" fillId="4" borderId="2" xfId="0" applyNumberFormat="1" applyFont="1" applyFill="1" applyBorder="1" applyAlignment="1">
      <alignment horizontal="center"/>
    </xf>
    <xf numFmtId="14" fontId="5" fillId="4" borderId="2" xfId="0" applyNumberFormat="1" applyFont="1" applyFill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164" fontId="9" fillId="4" borderId="2" xfId="0" applyNumberFormat="1" applyFont="1" applyFill="1" applyBorder="1" applyAlignment="1">
      <alignment horizontal="center" vertical="center"/>
    </xf>
    <xf numFmtId="164" fontId="5" fillId="4" borderId="2" xfId="1" applyNumberFormat="1" applyFont="1" applyFill="1" applyBorder="1" applyAlignment="1">
      <alignment horizontal="center" vertical="center" wrapText="1"/>
    </xf>
    <xf numFmtId="14" fontId="6" fillId="4" borderId="0" xfId="0" applyNumberFormat="1" applyFont="1" applyFill="1" applyBorder="1" applyAlignment="1">
      <alignment horizontal="center" vertical="center"/>
    </xf>
    <xf numFmtId="14" fontId="14" fillId="4" borderId="0" xfId="0" applyNumberFormat="1" applyFont="1" applyFill="1" applyBorder="1" applyAlignment="1">
      <alignment horizontal="center" vertical="top" wrapText="1"/>
    </xf>
    <xf numFmtId="14" fontId="6" fillId="4" borderId="0" xfId="0" applyNumberFormat="1" applyFont="1" applyFill="1" applyBorder="1" applyAlignment="1">
      <alignment horizontal="center" vertical="center" wrapText="1"/>
    </xf>
    <xf numFmtId="14" fontId="6" fillId="4" borderId="0" xfId="2" applyNumberFormat="1" applyFont="1" applyFill="1" applyBorder="1" applyAlignment="1">
      <alignment horizontal="center" vertical="center" wrapText="1"/>
    </xf>
    <xf numFmtId="0" fontId="6" fillId="4" borderId="0" xfId="2" applyNumberFormat="1" applyFont="1" applyFill="1" applyBorder="1" applyAlignment="1">
      <alignment horizontal="center" vertical="center" wrapText="1"/>
    </xf>
    <xf numFmtId="14" fontId="6" fillId="4" borderId="0" xfId="0" applyNumberFormat="1" applyFont="1" applyFill="1" applyBorder="1" applyAlignment="1">
      <alignment horizontal="center" vertical="top" wrapText="1"/>
    </xf>
    <xf numFmtId="9" fontId="6" fillId="4" borderId="0" xfId="2" applyNumberFormat="1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left"/>
    </xf>
    <xf numFmtId="0" fontId="0" fillId="4" borderId="2" xfId="0" applyNumberFormat="1" applyFill="1" applyBorder="1" applyAlignment="1">
      <alignment horizontal="center"/>
    </xf>
    <xf numFmtId="164" fontId="0" fillId="4" borderId="2" xfId="0" applyNumberFormat="1" applyFill="1" applyBorder="1"/>
    <xf numFmtId="164" fontId="0" fillId="4" borderId="2" xfId="1" applyNumberFormat="1" applyFont="1" applyFill="1" applyBorder="1"/>
    <xf numFmtId="14" fontId="0" fillId="4" borderId="0" xfId="0" applyNumberFormat="1" applyFill="1" applyAlignment="1">
      <alignment horizontal="center" vertical="center"/>
    </xf>
    <xf numFmtId="14" fontId="0" fillId="4" borderId="0" xfId="0" applyNumberFormat="1" applyFill="1"/>
    <xf numFmtId="14" fontId="0" fillId="4" borderId="0" xfId="2" applyNumberFormat="1" applyFont="1" applyFill="1"/>
    <xf numFmtId="0" fontId="0" fillId="4" borderId="0" xfId="2" applyNumberFormat="1" applyFont="1" applyFill="1"/>
    <xf numFmtId="9" fontId="0" fillId="4" borderId="0" xfId="2" applyNumberFormat="1" applyFont="1" applyFill="1"/>
    <xf numFmtId="14" fontId="0" fillId="4" borderId="2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0" fillId="9" borderId="0" xfId="0" applyFill="1"/>
    <xf numFmtId="14" fontId="0" fillId="9" borderId="0" xfId="0" applyNumberFormat="1" applyFill="1" applyAlignment="1">
      <alignment horizontal="center"/>
    </xf>
    <xf numFmtId="14" fontId="0" fillId="9" borderId="0" xfId="0" applyNumberFormat="1" applyFill="1"/>
    <xf numFmtId="0" fontId="0" fillId="9" borderId="0" xfId="0" applyFill="1" applyAlignment="1">
      <alignment horizontal="left"/>
    </xf>
    <xf numFmtId="0" fontId="0" fillId="9" borderId="0" xfId="0" applyNumberFormat="1" applyFill="1"/>
    <xf numFmtId="0" fontId="0" fillId="9" borderId="0" xfId="0" applyFill="1" applyAlignment="1">
      <alignment horizontal="center"/>
    </xf>
  </cellXfs>
  <cellStyles count="4">
    <cellStyle name="Monétaire" xfId="1" builtinId="4"/>
    <cellStyle name="Normal" xfId="0" builtinId="0"/>
    <cellStyle name="Normal 2" xfId="3"/>
    <cellStyle name="Pourcentage" xfId="2" builtinId="5"/>
  </cellStyles>
  <dxfs count="138">
    <dxf>
      <alignment horizontal="center" readingOrder="0"/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fill>
        <patternFill patternType="solid">
          <bgColor rgb="FFFCE4F7"/>
        </patternFill>
      </fill>
    </dxf>
    <dxf>
      <alignment horizontal="center" readingOrder="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64" formatCode="_-* #,##0.00\ [$€-40C]_-;\-* #,##0.00\ [$€-40C]_-;_-* &quot;-&quot;??\ [$€-40C]_-;_-@_-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4" formatCode="_-* #,##0.00\ [$€-40C]_-;\-* #,##0.00\ [$€-40C]_-;_-* &quot;-&quot;??\ [$€-40C]_-;_-@_-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numFmt numFmtId="1" formatCode="0"/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numFmt numFmtId="19" formatCode="dd/mm/yyyy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64" formatCode="_-* #,##0.00\ [$€-40C]_-;\-* #,##0.00\ [$€-40C]_-;_-* &quot;-&quot;??\ [$€-40C]_-;_-@_-"/>
      <fill>
        <patternFill>
          <fgColor indexed="64"/>
          <bgColor theme="0"/>
        </patternFill>
      </fill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9" formatCode="dd/mm/yyyy"/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9" formatCode="dd/mm/yyyy"/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3" formatCode="0%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0" formatCode="General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</dxf>
    <dxf>
      <numFmt numFmtId="19" formatCode="dd/mm/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fill>
        <patternFill>
          <fgColor indexed="64"/>
          <bgColor theme="0"/>
        </patternFill>
      </fill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F1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numFmt numFmtId="34" formatCode="_-* #,##0.00\ &quot;€&quot;_-;\-* #,##0.00\ &quot;€&quot;_-;_-* &quot;-&quot;??\ &quot;€&quot;_-;_-@_-"/>
    </dxf>
    <dxf>
      <numFmt numFmtId="164" formatCode="_-* #,##0.00\ [$€-40C]_-;\-* #,##0.00\ [$€-40C]_-;_-* &quot;-&quot;??\ [$€-40C]_-;_-@_-"/>
    </dxf>
    <dxf>
      <alignment horizontal="center" vertical="bottom" textRotation="0" wrapText="0" indent="0" justifyLastLine="0" shrinkToFit="0" readingOrder="0"/>
      <border outline="0">
        <left style="thin">
          <color indexed="64"/>
        </left>
      </border>
    </dxf>
    <dxf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  <border outline="0">
        <right style="thin">
          <color indexed="64"/>
        </right>
      </border>
    </dxf>
    <dxf>
      <alignment horizont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B979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>
          <bgColor rgb="FFFF66CC"/>
        </patternFill>
      </fill>
    </dxf>
    <dxf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top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top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EFED4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B7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.00\ [$€-40C]_-;\-* #,##0.00\ [$€-40C]_-;_-* &quot;-&quot;??\ [$€-40C]_-;_-@_-"/>
    </dxf>
    <dxf>
      <font>
        <b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B7FF"/>
        </patternFill>
      </fill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font>
        <b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B7FF"/>
        </patternFill>
      </fill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B7FF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croisé dynamique 1" table="0" count="1">
      <tableStyleElement type="wholeTable" dxfId="106"/>
    </tableStyle>
  </tableStyles>
  <colors>
    <mruColors>
      <color rgb="FFFCE4F7"/>
      <color rgb="FFFF66CC"/>
      <color rgb="FFFFB7FF"/>
      <color rgb="FFFF9FFF"/>
      <color rgb="FFFB979E"/>
      <color rgb="FFC0F1F6"/>
      <color rgb="FFFEDDDA"/>
      <color rgb="FFFEFED4"/>
      <color rgb="FFF08F88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4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rgane" refreshedDate="42501.746754861109" createdVersion="5" refreshedVersion="5" minRefreshableVersion="3" recordCount="3">
  <cacheSource type="worksheet">
    <worksheetSource name="T_epicerie[[Nom de l''épicerie]:[Quantité]]"/>
  </cacheSource>
  <cacheFields count="8">
    <cacheField name="Nom de l'épicerie" numFmtId="14">
      <sharedItems/>
    </cacheField>
    <cacheField name="Référence" numFmtId="14">
      <sharedItems/>
    </cacheField>
    <cacheField name="Nom commercial" numFmtId="0">
      <sharedItems count="3">
        <s v="Agrume"/>
        <s v="Ananas"/>
        <s v="Mangue "/>
      </sharedItems>
    </cacheField>
    <cacheField name="Catégorie" numFmtId="0">
      <sharedItems/>
    </cacheField>
    <cacheField name="Gamme" numFmtId="0">
      <sharedItems/>
    </cacheField>
    <cacheField name="Numéro de commande" numFmtId="0">
      <sharedItems containsBlank="1" count="4">
        <s v="1725c"/>
        <s v="2569c"/>
        <s v="2548c"/>
        <m u="1"/>
      </sharedItems>
    </cacheField>
    <cacheField name="Date de la commande" numFmtId="14">
      <sharedItems containsSemiMixedTypes="0" containsNonDate="0" containsDate="1" containsString="0" minDate="2015-02-14T00:00:00" maxDate="2016-02-21T00:00:00" count="3">
        <d v="2015-02-14T00:00:00"/>
        <d v="2015-05-14T00:00:00"/>
        <d v="2016-02-20T00:00:00"/>
      </sharedItems>
    </cacheField>
    <cacheField name="Quantité" numFmtId="0">
      <sharedItems containsSemiMixedTypes="0" containsString="0" containsNumber="1" containsInteger="1" minValue="20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organe" refreshedDate="42501.746808101852" createdVersion="5" refreshedVersion="5" minRefreshableVersion="3" recordCount="1">
  <cacheSource type="worksheet">
    <worksheetSource name="T_Marchés[[Marché]:[Quantité]]"/>
  </cacheSource>
  <cacheFields count="8">
    <cacheField name="Marché" numFmtId="0">
      <sharedItems/>
    </cacheField>
    <cacheField name="Référence" numFmtId="0">
      <sharedItems/>
    </cacheField>
    <cacheField name="Nom commercial" numFmtId="0">
      <sharedItems count="1">
        <s v="Agrume"/>
      </sharedItems>
    </cacheField>
    <cacheField name="Catégorie" numFmtId="0">
      <sharedItems/>
    </cacheField>
    <cacheField name="Gamme" numFmtId="0">
      <sharedItems/>
    </cacheField>
    <cacheField name="Numéro de commande" numFmtId="0">
      <sharedItems containsBlank="1" count="2">
        <s v="Gouss"/>
        <m u="1"/>
      </sharedItems>
    </cacheField>
    <cacheField name="Date de commande" numFmtId="14">
      <sharedItems containsSemiMixedTypes="0" containsNonDate="0" containsDate="1" containsString="0" minDate="2016-07-20T00:00:00" maxDate="2016-07-21T00:00:00" count="1">
        <d v="2016-07-20T00:00:00"/>
      </sharedItems>
    </cacheField>
    <cacheField name="Quantité" numFmtId="0">
      <sharedItems containsSemiMixedTypes="0" containsString="0" containsNumber="1" containsInteger="1" minValue="200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organe" refreshedDate="42501.746833564815" createdVersion="5" refreshedVersion="5" minRefreshableVersion="3" recordCount="1">
  <cacheSource type="worksheet">
    <worksheetSource name="T_GMS[[GMS]:[Quantité]]"/>
  </cacheSource>
  <cacheFields count="8">
    <cacheField name="GMS" numFmtId="0">
      <sharedItems/>
    </cacheField>
    <cacheField name="Référence" numFmtId="0">
      <sharedItems/>
    </cacheField>
    <cacheField name="Nom commercial" numFmtId="0">
      <sharedItems count="1">
        <s v="Agrume"/>
      </sharedItems>
    </cacheField>
    <cacheField name="Catégorie" numFmtId="0">
      <sharedItems/>
    </cacheField>
    <cacheField name="Gamme" numFmtId="0">
      <sharedItems/>
    </cacheField>
    <cacheField name="Numéro de commande" numFmtId="0">
      <sharedItems count="1">
        <s v="555m"/>
      </sharedItems>
    </cacheField>
    <cacheField name="Date de commande" numFmtId="14">
      <sharedItems containsSemiMixedTypes="0" containsNonDate="0" containsDate="1" containsString="0" minDate="2015-04-20T00:00:00" maxDate="2015-04-21T00:00:00" count="1">
        <d v="2015-04-20T00:00:00"/>
      </sharedItems>
    </cacheField>
    <cacheField name="Quantité" numFmtId="0">
      <sharedItems containsSemiMixedTypes="0" containsString="0" containsNumber="1" containsInteger="1" minValue="10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morgane" refreshedDate="42501.747187962967" createdVersion="5" refreshedVersion="5" minRefreshableVersion="3" recordCount="4">
  <cacheSource type="worksheet">
    <worksheetSource ref="C3:I7" sheet="Production"/>
  </cacheSource>
  <cacheFields count="7">
    <cacheField name="Référence" numFmtId="14">
      <sharedItems/>
    </cacheField>
    <cacheField name="Nom commercial" numFmtId="14">
      <sharedItems count="3">
        <s v="Agrume"/>
        <s v="Ananas"/>
        <s v="Mangue "/>
      </sharedItems>
    </cacheField>
    <cacheField name="Catégorie" numFmtId="14">
      <sharedItems/>
    </cacheField>
    <cacheField name="Gamme" numFmtId="14">
      <sharedItems/>
    </cacheField>
    <cacheField name="Lot" numFmtId="0">
      <sharedItems containsNonDate="0" containsString="0" containsBlank="1" count="1">
        <m/>
      </sharedItems>
    </cacheField>
    <cacheField name="DLUO" numFmtId="14">
      <sharedItems containsSemiMixedTypes="0" containsNonDate="0" containsDate="1" containsString="0" minDate="2012-10-10T00:00:00" maxDate="2016-10-11T00:00:00" count="4">
        <d v="2012-10-10T00:00:00"/>
        <d v="2013-02-20T00:00:00"/>
        <d v="2015-04-20T00:00:00"/>
        <d v="2016-10-10T00:00:00"/>
      </sharedItems>
    </cacheField>
    <cacheField name="Quantité" numFmtId="0">
      <sharedItems containsSemiMixedTypes="0" containsString="0" containsNumber="1" containsInteger="1" minValue="10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s v="Epicerie 2"/>
    <s v="CL0"/>
    <x v="0"/>
    <s v="Classique"/>
    <s v="Permanent"/>
    <x v="0"/>
    <x v="0"/>
    <n v="200"/>
  </r>
  <r>
    <s v="Epicerie 3"/>
    <s v="cl2"/>
    <x v="1"/>
    <s v="Classique"/>
    <s v="Permanent"/>
    <x v="1"/>
    <x v="1"/>
    <n v="250"/>
  </r>
  <r>
    <s v="Epicerie 4"/>
    <s v="cl24"/>
    <x v="2"/>
    <s v="Classique"/>
    <s v="Permanent"/>
    <x v="2"/>
    <x v="2"/>
    <n v="1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">
  <r>
    <s v="Goussainville"/>
    <s v="cl0"/>
    <x v="0"/>
    <s v="Classique"/>
    <s v="Permanent"/>
    <x v="0"/>
    <x v="0"/>
    <n v="2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">
  <r>
    <s v="Monoprix 3"/>
    <s v="cl0"/>
    <x v="0"/>
    <s v="Classique"/>
    <s v="Permanent"/>
    <x v="0"/>
    <x v="0"/>
    <n v="1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4">
  <r>
    <s v="CL0"/>
    <x v="0"/>
    <s v="Classique"/>
    <s v="Permanent"/>
    <x v="0"/>
    <x v="0"/>
    <n v="100"/>
  </r>
  <r>
    <s v="CL2"/>
    <x v="1"/>
    <s v="Classique"/>
    <s v="Permanent"/>
    <x v="0"/>
    <x v="1"/>
    <n v="100"/>
  </r>
  <r>
    <s v="CL24"/>
    <x v="2"/>
    <s v="Classique"/>
    <s v="Permanent"/>
    <x v="0"/>
    <x v="2"/>
    <n v="1000"/>
  </r>
  <r>
    <s v="CL24"/>
    <x v="2"/>
    <s v="Classique"/>
    <s v="Permanent"/>
    <x v="0"/>
    <x v="3"/>
    <n v="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5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12:L20" firstHeaderRow="1" firstDataRow="2" firstDataCol="1"/>
  <pivotFields count="7"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axis="axisRow" showAll="0">
      <items count="2">
        <item x="0"/>
        <item t="default"/>
      </items>
    </pivotField>
    <pivotField axis="axisCol" numFmtId="14" showAll="0">
      <items count="5">
        <item x="0"/>
        <item x="1"/>
        <item x="2"/>
        <item x="3"/>
        <item t="default"/>
      </items>
    </pivotField>
    <pivotField dataField="1" showAll="0"/>
  </pivotFields>
  <rowFields count="2">
    <field x="1"/>
    <field x="4"/>
  </rowFields>
  <rowItems count="7">
    <i>
      <x/>
    </i>
    <i r="1">
      <x/>
    </i>
    <i>
      <x v="1"/>
    </i>
    <i r="1">
      <x/>
    </i>
    <i>
      <x v="2"/>
    </i>
    <i r="1">
      <x/>
    </i>
    <i t="grand">
      <x/>
    </i>
  </rowItems>
  <colFields count="1">
    <field x="5"/>
  </colFields>
  <colItems count="5">
    <i>
      <x/>
    </i>
    <i>
      <x v="1"/>
    </i>
    <i>
      <x v="2"/>
    </i>
    <i>
      <x v="3"/>
    </i>
    <i t="grand">
      <x/>
    </i>
  </colItems>
  <dataFields count="1">
    <dataField name="Production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4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3:C17" firstHeaderRow="1" firstDataRow="2" firstDataCol="1"/>
  <pivotFields count="8"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axis="axisRow" showAll="0">
      <items count="3">
        <item m="1" x="1"/>
        <item x="0"/>
        <item t="default"/>
      </items>
    </pivotField>
    <pivotField axis="axisCol" numFmtId="14" showAll="0">
      <items count="2">
        <item x="0"/>
        <item t="default"/>
      </items>
    </pivotField>
    <pivotField dataField="1" showAll="0"/>
  </pivotFields>
  <rowFields count="2">
    <field x="2"/>
    <field x="5"/>
  </rowFields>
  <rowItems count="3">
    <i>
      <x/>
    </i>
    <i r="1">
      <x v="1"/>
    </i>
    <i t="grand">
      <x/>
    </i>
  </rowItems>
  <colFields count="1">
    <field x="6"/>
  </colFields>
  <colItems count="2">
    <i>
      <x/>
    </i>
    <i t="grand">
      <x/>
    </i>
  </colItems>
  <dataFields count="1">
    <dataField name="Marchés" fld="7" baseField="0" baseItem="0"/>
  </dataFields>
  <formats count="4">
    <format dxfId="12">
      <pivotArea dataOnly="0" labelOnly="1" fieldPosition="0">
        <references count="1">
          <reference field="6" count="0"/>
        </references>
      </pivotArea>
    </format>
    <format dxfId="11">
      <pivotArea dataOnly="0" labelOnly="1" grandCol="1" outline="0" fieldPosition="0"/>
    </format>
    <format dxfId="10">
      <pivotArea grandRow="1" outline="0" collapsedLevelsAreSubtotals="1" fieldPosition="0"/>
    </format>
    <format dxfId="9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5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éférences">
  <location ref="G3:I7" firstHeaderRow="1" firstDataRow="2" firstDataCol="1"/>
  <pivotFields count="8"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axis="axisRow" showAll="0">
      <items count="2">
        <item x="0"/>
        <item t="default"/>
      </items>
    </pivotField>
    <pivotField axis="axisCol" numFmtId="14" showAll="0">
      <items count="2">
        <item x="0"/>
        <item t="default"/>
      </items>
    </pivotField>
    <pivotField dataField="1" showAll="0"/>
  </pivotFields>
  <rowFields count="2">
    <field x="2"/>
    <field x="5"/>
  </rowFields>
  <rowItems count="3">
    <i>
      <x/>
    </i>
    <i r="1">
      <x/>
    </i>
    <i t="grand">
      <x/>
    </i>
  </rowItems>
  <colFields count="1">
    <field x="6"/>
  </colFields>
  <colItems count="2">
    <i>
      <x/>
    </i>
    <i t="grand">
      <x/>
    </i>
  </colItems>
  <dataFields count="1">
    <dataField name="Monoprix" fld="7" baseField="0" baseItem="0"/>
  </dataFields>
  <formats count="4">
    <format dxfId="8">
      <pivotArea grandRow="1" outline="0" collapsedLevelsAreSubtotals="1" fieldPosition="0"/>
    </format>
    <format dxfId="7">
      <pivotArea dataOnly="0" labelOnly="1" grandRow="1" outline="0" fieldPosition="0"/>
    </format>
    <format dxfId="6">
      <pivotArea dataOnly="0" labelOnly="1" fieldPosition="0">
        <references count="1">
          <reference field="6" count="0"/>
        </references>
      </pivotArea>
    </format>
    <format dxfId="5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7" cacheId="4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éférences">
  <location ref="A3:E11" firstHeaderRow="1" firstDataRow="2" firstDataCol="1"/>
  <pivotFields count="8"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axis="axisRow" showAll="0">
      <items count="5">
        <item m="1" x="3"/>
        <item x="0"/>
        <item x="1"/>
        <item x="2"/>
        <item t="default"/>
      </items>
    </pivotField>
    <pivotField axis="axisCol" numFmtId="14" showAll="0">
      <items count="4">
        <item x="0"/>
        <item x="1"/>
        <item x="2"/>
        <item t="default"/>
      </items>
    </pivotField>
    <pivotField dataField="1" showAll="0"/>
  </pivotFields>
  <rowFields count="2">
    <field x="2"/>
    <field x="5"/>
  </rowFields>
  <rowItems count="7">
    <i>
      <x/>
    </i>
    <i r="1">
      <x v="1"/>
    </i>
    <i>
      <x v="1"/>
    </i>
    <i r="1">
      <x v="2"/>
    </i>
    <i>
      <x v="2"/>
    </i>
    <i r="1">
      <x v="3"/>
    </i>
    <i t="grand">
      <x/>
    </i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Epiceries" fld="7" baseField="0" baseItem="0"/>
  </dataFields>
  <formats count="6">
    <format dxfId="13">
      <pivotArea dataOnly="0" labelOnly="1" fieldPosition="0">
        <references count="1">
          <reference field="6" count="0"/>
        </references>
      </pivotArea>
    </format>
    <format dxfId="4">
      <pivotArea dataOnly="0" labelOnly="1" fieldPosition="0">
        <references count="1">
          <reference field="6" count="0"/>
        </references>
      </pivotArea>
    </format>
    <format dxfId="3">
      <pivotArea dataOnly="0" labelOnly="1" grandCol="1" outline="0" fieldPosition="0"/>
    </format>
    <format dxfId="2">
      <pivotArea grandRow="1" outline="0" collapsedLevelsAreSubtotals="1" fieldPosition="0"/>
    </format>
    <format dxfId="1">
      <pivotArea dataOnly="0" labelOnly="1" grandRow="1" outline="0" fieldPosition="0"/>
    </format>
    <format dxfId="0">
      <pivotArea type="origin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entrée" displayName="T_entrée" ref="A3:AB8" totalsRowCount="1" headerRowDxfId="83" dataDxfId="62" headerRowBorderDxfId="81" tableBorderDxfId="82">
  <autoFilter ref="A3:AB4"/>
  <tableColumns count="28">
    <tableColumn id="9" name="Numéro de tournées" dataDxfId="52" totalsRowDxfId="50">
      <calculatedColumnFormula>IF(ISNUMBER(A3),A3+1,1)</calculatedColumnFormula>
    </tableColumn>
    <tableColumn id="1" name="Date de production" totalsRowLabel="Total" dataDxfId="53" totalsRowDxfId="49"/>
    <tableColumn id="10" name="Référence" dataDxfId="61" totalsRowDxfId="48"/>
    <tableColumn id="11" name="Nom commercial" dataDxfId="60" totalsRowDxfId="47">
      <calculatedColumnFormula>IF($C4&lt;&gt;"",VLOOKUP($C4, T_base,COLUMN()-2,FALSE),"")</calculatedColumnFormula>
    </tableColumn>
    <tableColumn id="12" name="Catégorie" dataDxfId="59" totalsRowDxfId="46">
      <calculatedColumnFormula>IF($C4&lt;&gt;"",VLOOKUP($C4, T_base,COLUMN()-2,FALSE),"")</calculatedColumnFormula>
    </tableColumn>
    <tableColumn id="13" name="Gamme" dataDxfId="58" totalsRowDxfId="45">
      <calculatedColumnFormula>IF($C4&lt;&gt;"",VLOOKUP($C4, T_base,COLUMN()-2,FALSE),"")</calculatedColumnFormula>
    </tableColumn>
    <tableColumn id="2" name="Lot" dataDxfId="57" totalsRowDxfId="44"/>
    <tableColumn id="3" name="DLUO" dataDxfId="56" totalsRowDxfId="43">
      <calculatedColumnFormula>IF(B4&lt;&gt;"",EDATE(B4,24),"")</calculatedColumnFormula>
    </tableColumn>
    <tableColumn id="7" name="Quantité" totalsRowFunction="sum" dataDxfId="54" totalsRowDxfId="42"/>
    <tableColumn id="32" name="Prix unitaire" dataDxfId="55" totalsRowDxfId="41">
      <calculatedColumnFormula>IF($C4&lt;&gt;"",VLOOKUP($C4,T_base,COLUMN()-5,FALSE),"")</calculatedColumnFormula>
    </tableColumn>
    <tableColumn id="31" name="Prix total de la production" totalsRowFunction="sum" dataDxfId="80" totalsRowDxfId="40" dataCellStyle="Monétaire">
      <calculatedColumnFormula>IF(J4&lt;&gt;"",I4*J4,"")</calculatedColumnFormula>
    </tableColumn>
    <tableColumn id="30" name="POIDS TOTAL (en kg)" dataDxfId="79" totalsRowDxfId="39">
      <calculatedColumnFormula>IF(N4&lt;&gt;"",SUM(V4+W4),"")</calculatedColumnFormula>
    </tableColumn>
    <tableColumn id="29" name="Fruits 1" dataDxfId="78" totalsRowDxfId="38"/>
    <tableColumn id="28" name="Poids (Kg) " dataDxfId="77" totalsRowDxfId="37"/>
    <tableColumn id="27" name="% " dataDxfId="76" totalsRowDxfId="36" dataCellStyle="Pourcentage">
      <calculatedColumnFormula>IF(N4&lt;&gt;"",N4/$L$4,"")</calculatedColumnFormula>
    </tableColumn>
    <tableColumn id="26" name="Fruits 2" dataDxfId="75" totalsRowDxfId="35"/>
    <tableColumn id="25" name="Poids (kg)" dataDxfId="74" totalsRowDxfId="34"/>
    <tableColumn id="24" name="%" dataDxfId="73" totalsRowDxfId="33" dataCellStyle="Pourcentage">
      <calculatedColumnFormula>IF(Q4&lt;&gt;"",Q4/$L4,"")</calculatedColumnFormula>
    </tableColumn>
    <tableColumn id="23" name="Fruits 3" dataDxfId="72" totalsRowDxfId="32"/>
    <tableColumn id="22" name="Poids (kg" dataDxfId="71" totalsRowDxfId="31"/>
    <tableColumn id="21" name="%2" dataDxfId="70" totalsRowDxfId="30" dataCellStyle="Pourcentage">
      <calculatedColumnFormula>IF(T4&lt;&gt;"",T4/$L4,"")</calculatedColumnFormula>
    </tableColumn>
    <tableColumn id="20" name="Poids total fruit (en kg)" dataDxfId="69" totalsRowDxfId="29" dataCellStyle="Pourcentage">
      <calculatedColumnFormula>IF(N4&lt;&gt;"",SUM(N4+Q4+N4),"")</calculatedColumnFormula>
    </tableColumn>
    <tableColumn id="19" name="Sucre (Kg)" dataDxfId="68" totalsRowDxfId="28"/>
    <tableColumn id="18" name="% 3" dataDxfId="67" totalsRowDxfId="27" dataCellStyle="Pourcentage">
      <calculatedColumnFormula>IF(W4&lt;&gt;"",W4/$L4,"")</calculatedColumnFormula>
    </tableColumn>
    <tableColumn id="17" name="Epices" dataDxfId="66" totalsRowDxfId="26"/>
    <tableColumn id="16" name="Contrôle Refracto Brix" dataDxfId="65" totalsRowDxfId="25"/>
    <tableColumn id="15" name="Contrôlée dernier pot (°C)" dataDxfId="64" totalsRowDxfId="24"/>
    <tableColumn id="14" name="Poids net par pot " dataDxfId="63" totalsRowDxfId="2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_stock" displayName="T_stock" ref="A3:L55" totalsRowCount="1" headerRowDxfId="97" headerRowBorderDxfId="95" tableBorderDxfId="96">
  <autoFilter ref="A3:L54"/>
  <sortState ref="A4:K51">
    <sortCondition ref="B3:B51"/>
  </sortState>
  <tableColumns count="12">
    <tableColumn id="10" name="N°" dataDxfId="94" totalsRowDxfId="22">
      <calculatedColumnFormula>IF(ISNUMBER(A3),A3+1,1)</calculatedColumnFormula>
    </tableColumn>
    <tableColumn id="1" name="Référence " totalsRowLabel="Total" dataDxfId="93" totalsRowDxfId="21"/>
    <tableColumn id="2" name="Nom commercial" dataDxfId="92" totalsRowDxfId="20">
      <calculatedColumnFormula>IF($B4&lt;&gt;"",VLOOKUP($B4,T_base,COLUMN()-1,FALSE),"")</calculatedColumnFormula>
    </tableColumn>
    <tableColumn id="3" name="Catégorie" dataDxfId="91" totalsRowDxfId="19">
      <calculatedColumnFormula>IF($B4&lt;&gt;"",VLOOKUP($B4,T_base,COLUMN()-1,FALSE),"")</calculatedColumnFormula>
    </tableColumn>
    <tableColumn id="4" name="Gamme" dataDxfId="90" totalsRowDxfId="18">
      <calculatedColumnFormula>IF($B4&lt;&gt;"",VLOOKUP($B4,T_base,COLUMN()-1,FALSE),"")</calculatedColumnFormula>
    </tableColumn>
    <tableColumn id="11" name="Inventaire modifié" dataDxfId="89" totalsRowDxfId="17"/>
    <tableColumn id="5" name="STOCK" totalsRowFunction="sum" dataDxfId="85" totalsRowDxfId="16">
      <calculatedColumnFormula>IF($B4&lt;&gt;0,F4+SUMPRODUCT((T_entrée[DLUO]=$B4)*(T_entrée[Quantité]))-SUMPRODUCT((T_epicerie[Référence]=$B4)*T_epicerie[Quantité])-SUMPRODUCT((T_GMS[Date de commande]=$B4)*T_GMS[Quantité])-SUMPRODUCT((T_Marchés[Date de commande]=$B4)*T_Marchés[Quantité]),0)</calculatedColumnFormula>
    </tableColumn>
    <tableColumn id="6" name="Stock de couverture" totalsRowFunction="sum" dataDxfId="88"/>
    <tableColumn id="7" name="Etat">
      <calculatedColumnFormula>IF(G4&lt;H4,"ALERTE","")</calculatedColumnFormula>
    </tableColumn>
    <tableColumn id="8" name="Valeur unitaire de vente" totalsRowFunction="sum" dataDxfId="87" totalsRowDxfId="15">
      <calculatedColumnFormula>IF($B4&lt;&gt;"",VLOOKUP($B4,T_base,COLUMN()-4,FALSE),"")</calculatedColumnFormula>
    </tableColumn>
    <tableColumn id="9" name="Valeur de vente du stock" totalsRowFunction="sum" dataDxfId="86" totalsRowDxfId="14">
      <calculatedColumnFormula>IF(B4&lt;&gt;"",J4*G4,"")</calculatedColumnFormula>
    </tableColumn>
    <tableColumn id="13" name="DLUO la plus ancienne" dataDxfId="84">
      <calculatedColumnFormula>IFERROR(SUMPRODUCT(SMALL((T_entrée[Référence]=T_stock[[#This Row],[Référence ]])*(T_entrée[DLUO]),COUNTA(T_entrée[DLUO])-COUNTIF(T_entrée[Référence],T_stock[[#This Row],[Référence ]])+1)),"")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epicerie" displayName="T_epicerie" ref="A3:J7" totalsRowCount="1" headerRowDxfId="137">
  <autoFilter ref="A3:J6"/>
  <tableColumns count="10">
    <tableColumn id="13" name="Nom de l'épicerie" dataDxfId="102"/>
    <tableColumn id="9" name="Référence" dataDxfId="105"/>
    <tableColumn id="10" name="Nom commercial" dataDxfId="101">
      <calculatedColumnFormula>IF($B4&lt;&gt;0,VLOOKUP($B4,T_base,COLUMN()-1,FALSE),"")</calculatedColumnFormula>
    </tableColumn>
    <tableColumn id="11" name="Catégorie" dataDxfId="104">
      <calculatedColumnFormula>IF($B4&lt;&gt;0,VLOOKUP($B4,T_base,COLUMN()-1,FALSE),"")</calculatedColumnFormula>
    </tableColumn>
    <tableColumn id="12" name="Gamme" dataDxfId="103">
      <calculatedColumnFormula>IF($B4&lt;&gt;0,VLOOKUP($B4,T_base,COLUMN()-1,FALSE),"")</calculatedColumnFormula>
    </tableColumn>
    <tableColumn id="3" name="Numéro de commande"/>
    <tableColumn id="14" name="Date de la commande"/>
    <tableColumn id="6" name="Quantité" totalsRowFunction="count"/>
    <tableColumn id="7" name="Prix unitaire de vente" dataDxfId="136">
      <calculatedColumnFormula>IF($B4&lt;&gt;0,VLOOKUP($B4,T_base,COLUMN()-4,FALSE),"")</calculatedColumnFormula>
    </tableColumn>
    <tableColumn id="8" name="Prix " dataDxfId="100">
      <calculatedColumnFormula>IF(T_epicerie[[#This Row],[Référence]]&lt;&gt;"",T_epicerie[Prix unitaire de vente]*T_epicerie[Quantité],"")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_GMS" displayName="T_GMS" ref="A3:J5" totalsRowCount="1" headerRowDxfId="135">
  <autoFilter ref="A3:J4"/>
  <tableColumns count="10">
    <tableColumn id="2" name="GMS"/>
    <tableColumn id="11" name="Référence"/>
    <tableColumn id="10" name="Nom commercial">
      <calculatedColumnFormula>IF($B4&lt;&gt;0,VLOOKUP($B4,T_base,COLUMN()-1,FALSE),"")</calculatedColumnFormula>
    </tableColumn>
    <tableColumn id="9" name="Catégorie">
      <calculatedColumnFormula>IF($B4&lt;&gt;0,VLOOKUP($B4,T_base,COLUMN()-1,FALSE),"")</calculatedColumnFormula>
    </tableColumn>
    <tableColumn id="1" name="Gamme">
      <calculatedColumnFormula>IF($B4&lt;&gt;0,VLOOKUP($B4,T_base,COLUMN()-1,FALSE),"")</calculatedColumnFormula>
    </tableColumn>
    <tableColumn id="3" name="Numéro de commande"/>
    <tableColumn id="4" name="Date de commande"/>
    <tableColumn id="6" name="Quantité" totalsRowFunction="count"/>
    <tableColumn id="7" name="Prix unitaire de vente" dataDxfId="134">
      <calculatedColumnFormula>IF($B4&lt;&gt;0,VLOOKUP($B4,T_base,COLUMN()-4,FALSE),"")</calculatedColumnFormula>
    </tableColumn>
    <tableColumn id="8" name="Prix " totalsRowFunction="sum" dataDxfId="133" totalsRowDxfId="99">
      <calculatedColumnFormula>I4*H4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_Marchés" displayName="T_Marchés" ref="A3:J5" totalsRowCount="1" headerRowDxfId="132">
  <autoFilter ref="A3:J4"/>
  <tableColumns count="10">
    <tableColumn id="2" name="Marché"/>
    <tableColumn id="11" name="Référence"/>
    <tableColumn id="10" name="Nom commercial">
      <calculatedColumnFormula>IF($B4&lt;&gt;0,VLOOKUP($B4,T_base,COLUMN()-1,FALSE),"")</calculatedColumnFormula>
    </tableColumn>
    <tableColumn id="9" name="Catégorie">
      <calculatedColumnFormula>IF($B4&lt;&gt;0,VLOOKUP($B4,T_base,COLUMN()-1,FALSE),"")</calculatedColumnFormula>
    </tableColumn>
    <tableColumn id="1" name="Gamme">
      <calculatedColumnFormula>IF($B4&lt;&gt;0,VLOOKUP($B4,T_base,COLUMN()-1,FALSE),"")</calculatedColumnFormula>
    </tableColumn>
    <tableColumn id="3" name="Numéro de commande"/>
    <tableColumn id="4" name="Date de commande"/>
    <tableColumn id="6" name="Quantité" totalsRowFunction="count"/>
    <tableColumn id="7" name="Prix unitaire de vente" dataDxfId="131">
      <calculatedColumnFormula>IF($B4&lt;&gt;0,VLOOKUP($B4,T_base,COLUMN()-4,FALSE),"")</calculatedColumnFormula>
    </tableColumn>
    <tableColumn id="8" name="Prix " totalsRowFunction="sum" dataDxfId="130" totalsRowDxfId="98">
      <calculatedColumnFormula>I4*H4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2" name="Tableau12" displayName="Tableau12" ref="A3:L5" totalsRowCount="1" headerRowDxfId="129" headerRowBorderDxfId="128" tableBorderDxfId="127">
  <autoFilter ref="A3:L4"/>
  <tableColumns count="12">
    <tableColumn id="1" name="n°de production" totalsRowLabel="Total"/>
    <tableColumn id="2" name="Date de production" dataDxfId="126"/>
    <tableColumn id="3" name="Lot"/>
    <tableColumn id="4" name="Référence"/>
    <tableColumn id="5" name="Nom commercial">
      <calculatedColumnFormula>IF($D4&lt;&gt;"",VLOOKUP($D4, T_base,COLUMN()-3,FALSE),"")</calculatedColumnFormula>
    </tableColumn>
    <tableColumn id="6" name="Catégorie">
      <calculatedColumnFormula>IF($D4&lt;&gt;"",VLOOKUP($D4, T_base,COLUMN()-3,FALSE),"")</calculatedColumnFormula>
    </tableColumn>
    <tableColumn id="7" name="Gamme">
      <calculatedColumnFormula>IF($D4&lt;&gt;"",VLOOKUP($D4, T_base,COLUMN()-3,FALSE),"")</calculatedColumnFormula>
    </tableColumn>
    <tableColumn id="8" name="Quantité"/>
    <tableColumn id="9" name="DLUO"/>
    <tableColumn id="10" name="Prix unitaire de vente" dataCellStyle="Monétaire">
      <calculatedColumnFormula>IF($D4&lt;&gt;"",VLOOKUP($D4,T_base,COLUMN()-5,FALSE),"")</calculatedColumnFormula>
    </tableColumn>
    <tableColumn id="11" name="Prix total " dataCellStyle="Monétaire">
      <calculatedColumnFormula>IF(H4&lt;&gt;"",H4*J4,"")</calculatedColumnFormula>
    </tableColumn>
    <tableColumn id="12" name="Date de livraison" totalsRowFunction="coun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Tableau3" displayName="Tableau3" ref="A1:G52" totalsRowCount="1" headerRowDxfId="125" headerRowBorderDxfId="124" tableBorderDxfId="123">
  <autoFilter ref="A1:G51"/>
  <sortState ref="A2:I53">
    <sortCondition ref="B1:B53"/>
  </sortState>
  <tableColumns count="7">
    <tableColumn id="7" name="N°de référence" dataDxfId="122">
      <calculatedColumnFormula>IF(ISNUMBER(A1),A1+1,1)</calculatedColumnFormula>
    </tableColumn>
    <tableColumn id="1" name="Référence" totalsRowLabel="Total" dataDxfId="121" totalsRowDxfId="120"/>
    <tableColumn id="2" name="Nom commercial"/>
    <tableColumn id="3" name="Catégories"/>
    <tableColumn id="4" name="Gamme" dataDxfId="119" totalsRowDxfId="118"/>
    <tableColumn id="5" name="Prix unitaire" dataDxfId="117"/>
    <tableColumn id="6" name="Prix de vente" totalsRowFunction="sum" dataDxfId="116" totalsRowDxfId="115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6" name="T_épiceries" displayName="T_épiceries" ref="I1:I6" totalsRowCount="1" headerRowDxfId="114" headerRowBorderDxfId="113">
  <autoFilter ref="I1:I5"/>
  <tableColumns count="1">
    <tableColumn id="1" name="Epicerie" totalsRowFunction="count" dataDxfId="1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7" name="T_Monoprix" displayName="T_Monoprix" ref="J1:J7" totalsRowCount="1" headerRowDxfId="111" headerRowBorderDxfId="110">
  <autoFilter ref="J1:J6"/>
  <tableColumns count="1">
    <tableColumn id="1" name="GMS" totalsRowFunction="count" dataDxfId="10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_marché" displayName="T_marché" ref="I9:I14" totalsRowCount="1" headerRowDxfId="108">
  <autoFilter ref="I9:I13"/>
  <tableColumns count="1">
    <tableColumn id="1" name="Marchés" totalsRowFunction="count" dataDxfId="10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table" Target="../tables/table5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7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AF8"/>
  <sheetViews>
    <sheetView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6" sqref="C6"/>
    </sheetView>
  </sheetViews>
  <sheetFormatPr baseColWidth="10" defaultRowHeight="15" x14ac:dyDescent="0.25"/>
  <cols>
    <col min="1" max="1" width="10.5703125" customWidth="1"/>
    <col min="2" max="6" width="17.7109375" customWidth="1"/>
    <col min="7" max="7" width="15" style="9" customWidth="1"/>
    <col min="8" max="8" width="15.140625" style="47" customWidth="1"/>
    <col min="9" max="9" width="23.7109375" customWidth="1"/>
    <col min="10" max="10" width="16.85546875" customWidth="1"/>
    <col min="11" max="11" width="20.5703125" customWidth="1"/>
    <col min="12" max="12" width="16.7109375" style="9" customWidth="1"/>
    <col min="13" max="13" width="13.28515625" customWidth="1"/>
    <col min="15" max="15" width="19.85546875" bestFit="1" customWidth="1"/>
  </cols>
  <sheetData>
    <row r="1" spans="1:32" ht="23.25" x14ac:dyDescent="0.35">
      <c r="A1" s="65" t="s">
        <v>163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7"/>
    </row>
    <row r="2" spans="1:32" ht="18.75" x14ac:dyDescent="0.3">
      <c r="A2" s="62" t="s">
        <v>112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4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9"/>
    </row>
    <row r="3" spans="1:32" ht="50.25" customHeight="1" x14ac:dyDescent="0.25">
      <c r="A3" s="35" t="s">
        <v>170</v>
      </c>
      <c r="B3" s="35" t="s">
        <v>165</v>
      </c>
      <c r="C3" s="35" t="s">
        <v>6</v>
      </c>
      <c r="D3" s="35" t="s">
        <v>2</v>
      </c>
      <c r="E3" s="35" t="s">
        <v>113</v>
      </c>
      <c r="F3" s="35" t="s">
        <v>4</v>
      </c>
      <c r="G3" s="42" t="s">
        <v>111</v>
      </c>
      <c r="H3" s="52" t="s">
        <v>130</v>
      </c>
      <c r="I3" s="42" t="s">
        <v>110</v>
      </c>
      <c r="J3" s="34" t="s">
        <v>107</v>
      </c>
      <c r="K3" s="35" t="s">
        <v>167</v>
      </c>
      <c r="L3" s="51" t="s">
        <v>157</v>
      </c>
      <c r="M3" s="43" t="s">
        <v>146</v>
      </c>
      <c r="N3" s="40" t="s">
        <v>147</v>
      </c>
      <c r="O3" s="40" t="s">
        <v>148</v>
      </c>
      <c r="P3" s="43" t="s">
        <v>149</v>
      </c>
      <c r="Q3" s="40" t="s">
        <v>161</v>
      </c>
      <c r="R3" s="44" t="s">
        <v>158</v>
      </c>
      <c r="S3" s="43" t="s">
        <v>150</v>
      </c>
      <c r="T3" s="40" t="s">
        <v>162</v>
      </c>
      <c r="U3" s="45" t="s">
        <v>159</v>
      </c>
      <c r="V3" s="41" t="s">
        <v>160</v>
      </c>
      <c r="W3" s="46" t="s">
        <v>151</v>
      </c>
      <c r="X3" s="40" t="s">
        <v>156</v>
      </c>
      <c r="Y3" s="46" t="s">
        <v>152</v>
      </c>
      <c r="Z3" s="40" t="s">
        <v>153</v>
      </c>
      <c r="AA3" s="40" t="s">
        <v>154</v>
      </c>
      <c r="AB3" s="40" t="s">
        <v>155</v>
      </c>
    </row>
    <row r="4" spans="1:32" s="24" customFormat="1" ht="15.75" x14ac:dyDescent="0.25">
      <c r="A4" s="81">
        <f>IF(ISNUMBER(A3),A3+1,1)</f>
        <v>1</v>
      </c>
      <c r="B4" s="82">
        <v>40461</v>
      </c>
      <c r="C4" s="83" t="s">
        <v>69</v>
      </c>
      <c r="D4" s="83" t="str">
        <f>IF($C4&lt;&gt;"",VLOOKUP($C4, T_base,COLUMN()-2,FALSE),"")</f>
        <v>Agrume</v>
      </c>
      <c r="E4" s="83" t="str">
        <f>IF($C4&lt;&gt;"",VLOOKUP($C4, T_base,COLUMN()-2,FALSE),"")</f>
        <v>Classique</v>
      </c>
      <c r="F4" s="83" t="str">
        <f>IF($C4&lt;&gt;"",VLOOKUP($C4, T_base,COLUMN()-2,FALSE),"")</f>
        <v>Permanent</v>
      </c>
      <c r="G4" s="84"/>
      <c r="H4" s="85">
        <f>IF(B4&lt;&gt;"",EDATE(B4,24),"")</f>
        <v>41192</v>
      </c>
      <c r="I4" s="86">
        <v>100</v>
      </c>
      <c r="J4" s="87">
        <f>IF($C4&lt;&gt;"",VLOOKUP($C4,T_base,COLUMN()-5,FALSE),"")</f>
        <v>2</v>
      </c>
      <c r="K4" s="88">
        <f>IF(J4&lt;&gt;"",I4*J4,"")</f>
        <v>200</v>
      </c>
      <c r="L4" s="89" t="str">
        <f>IF(N4&lt;&gt;"",SUM(V4+W4),"")</f>
        <v/>
      </c>
      <c r="M4" s="90"/>
      <c r="N4" s="91"/>
      <c r="O4" s="92" t="str">
        <f>IF(N4&lt;&gt;"",N4/$L$4,"")</f>
        <v/>
      </c>
      <c r="P4" s="90"/>
      <c r="Q4" s="91"/>
      <c r="R4" s="92" t="str">
        <f>IF(Q4&lt;&gt;"",Q4/$L4,"")</f>
        <v/>
      </c>
      <c r="S4" s="90"/>
      <c r="T4" s="91"/>
      <c r="U4" s="92" t="str">
        <f>IF(T4&lt;&gt;"",T4/$L4,"")</f>
        <v/>
      </c>
      <c r="V4" s="93" t="str">
        <f>IF(N4&lt;&gt;"",SUM(N4+Q4+N4),"")</f>
        <v/>
      </c>
      <c r="W4" s="94"/>
      <c r="X4" s="95" t="str">
        <f>IF(W4&lt;&gt;"",W4/$L4,"")</f>
        <v/>
      </c>
      <c r="Y4" s="94"/>
      <c r="Z4" s="91"/>
      <c r="AA4" s="91"/>
      <c r="AB4" s="91"/>
    </row>
    <row r="5" spans="1:32" x14ac:dyDescent="0.25">
      <c r="A5" s="106">
        <f>IF(ISNUMBER(A4),A4+1,1)</f>
        <v>2</v>
      </c>
      <c r="B5" s="96">
        <v>40594</v>
      </c>
      <c r="C5" s="105" t="s">
        <v>63</v>
      </c>
      <c r="D5" s="105" t="str">
        <f>IF($C5&lt;&gt;"",VLOOKUP($C5, T_base,COLUMN()-2,FALSE),"")</f>
        <v>Ananas</v>
      </c>
      <c r="E5" s="105" t="str">
        <f>IF($C5&lt;&gt;"",VLOOKUP($C5, T_base,COLUMN()-2,FALSE),"")</f>
        <v>Classique</v>
      </c>
      <c r="F5" s="105" t="str">
        <f>IF($C5&lt;&gt;"",VLOOKUP($C5, T_base,COLUMN()-2,FALSE),"")</f>
        <v>Permanent</v>
      </c>
      <c r="G5" s="97"/>
      <c r="H5" s="105">
        <f>IF(B5&lt;&gt;"",EDATE(B5,24),"")</f>
        <v>41325</v>
      </c>
      <c r="I5" s="97">
        <v>100</v>
      </c>
      <c r="J5" s="98">
        <f>IF($C5&lt;&gt;"",VLOOKUP($C5,T_base,COLUMN()-5,FALSE),"")</f>
        <v>2</v>
      </c>
      <c r="K5" s="99">
        <f>IF(J5&lt;&gt;"",I5*J5,"")</f>
        <v>200</v>
      </c>
      <c r="L5" s="100" t="str">
        <f>IF(N5&lt;&gt;"",SUM(V5+W5),"")</f>
        <v/>
      </c>
      <c r="M5" s="101"/>
      <c r="N5" s="101"/>
      <c r="O5" s="102" t="str">
        <f>IF(N5&lt;&gt;"",N5/$L$4,"")</f>
        <v/>
      </c>
      <c r="P5" s="101"/>
      <c r="Q5" s="101"/>
      <c r="R5" s="102" t="str">
        <f>IF(Q5&lt;&gt;"",Q5/$L5,"")</f>
        <v/>
      </c>
      <c r="S5" s="101"/>
      <c r="T5" s="101"/>
      <c r="U5" s="102" t="str">
        <f>IF(T5&lt;&gt;"",T5/$L5,"")</f>
        <v/>
      </c>
      <c r="V5" s="103" t="str">
        <f>IF(N5&lt;&gt;"",SUM(N5+Q5+N5),"")</f>
        <v/>
      </c>
      <c r="W5" s="101"/>
      <c r="X5" s="104" t="str">
        <f>IF(W5&lt;&gt;"",W5/$L5,"")</f>
        <v/>
      </c>
      <c r="Y5" s="101"/>
      <c r="Z5" s="101"/>
      <c r="AA5" s="101"/>
      <c r="AB5" s="101"/>
    </row>
    <row r="6" spans="1:32" x14ac:dyDescent="0.25">
      <c r="A6" s="106">
        <f>IF(ISNUMBER(A5),A5+1,1)</f>
        <v>3</v>
      </c>
      <c r="B6" s="96">
        <v>41384</v>
      </c>
      <c r="C6" s="105" t="s">
        <v>77</v>
      </c>
      <c r="D6" s="105" t="str">
        <f>IF($C6&lt;&gt;"",VLOOKUP($C6, T_base,COLUMN()-2,FALSE),"")</f>
        <v xml:space="preserve">Mangue </v>
      </c>
      <c r="E6" s="105" t="str">
        <f>IF($C6&lt;&gt;"",VLOOKUP($C6, T_base,COLUMN()-2,FALSE),"")</f>
        <v>Classique</v>
      </c>
      <c r="F6" s="105" t="str">
        <f>IF($C6&lt;&gt;"",VLOOKUP($C6, T_base,COLUMN()-2,FALSE),"")</f>
        <v>Permanent</v>
      </c>
      <c r="G6" s="97"/>
      <c r="H6" s="105">
        <f>IF(B6&lt;&gt;"",EDATE(B6,24),"")</f>
        <v>42114</v>
      </c>
      <c r="I6" s="97">
        <v>1000</v>
      </c>
      <c r="J6" s="98">
        <f>IF($C6&lt;&gt;"",VLOOKUP($C6,T_base,COLUMN()-5,FALSE),"")</f>
        <v>2</v>
      </c>
      <c r="K6" s="99">
        <f>IF(J6&lt;&gt;"",I6*J6,"")</f>
        <v>2000</v>
      </c>
      <c r="L6" s="100" t="str">
        <f>IF(N6&lt;&gt;"",SUM(V6+W6),"")</f>
        <v/>
      </c>
      <c r="M6" s="101"/>
      <c r="N6" s="101"/>
      <c r="O6" s="102" t="str">
        <f>IF(N6&lt;&gt;"",N6/$L$4,"")</f>
        <v/>
      </c>
      <c r="P6" s="101"/>
      <c r="Q6" s="101"/>
      <c r="R6" s="102" t="str">
        <f>IF(Q6&lt;&gt;"",Q6/$L6,"")</f>
        <v/>
      </c>
      <c r="S6" s="101"/>
      <c r="T6" s="101"/>
      <c r="U6" s="102" t="str">
        <f>IF(T6&lt;&gt;"",T6/$L6,"")</f>
        <v/>
      </c>
      <c r="V6" s="103" t="str">
        <f>IF(N6&lt;&gt;"",SUM(N6+Q6+N6),"")</f>
        <v/>
      </c>
      <c r="W6" s="101"/>
      <c r="X6" s="104" t="str">
        <f>IF(W6&lt;&gt;"",W6/$L6,"")</f>
        <v/>
      </c>
      <c r="Y6" s="101"/>
      <c r="Z6" s="101"/>
      <c r="AA6" s="101"/>
      <c r="AB6" s="101"/>
    </row>
    <row r="7" spans="1:32" x14ac:dyDescent="0.25">
      <c r="A7" s="106">
        <f>IF(ISNUMBER(A6),A6+1,1)</f>
        <v>4</v>
      </c>
      <c r="B7" s="96">
        <v>41922</v>
      </c>
      <c r="C7" s="105" t="s">
        <v>77</v>
      </c>
      <c r="D7" s="105" t="str">
        <f>IF($C7&lt;&gt;"",VLOOKUP($C7, T_base,COLUMN()-2,FALSE),"")</f>
        <v xml:space="preserve">Mangue </v>
      </c>
      <c r="E7" s="105" t="str">
        <f>IF($C7&lt;&gt;"",VLOOKUP($C7, T_base,COLUMN()-2,FALSE),"")</f>
        <v>Classique</v>
      </c>
      <c r="F7" s="105" t="str">
        <f>IF($C7&lt;&gt;"",VLOOKUP($C7, T_base,COLUMN()-2,FALSE),"")</f>
        <v>Permanent</v>
      </c>
      <c r="G7" s="97"/>
      <c r="H7" s="105">
        <f>IF(B7&lt;&gt;"",EDATE(B7,24),"")</f>
        <v>42653</v>
      </c>
      <c r="I7" s="97">
        <v>1000</v>
      </c>
      <c r="J7" s="98">
        <f>IF($C7&lt;&gt;"",VLOOKUP($C7,T_base,COLUMN()-5,FALSE),"")</f>
        <v>2</v>
      </c>
      <c r="K7" s="99">
        <f>IF(J7&lt;&gt;"",I7*J7,"")</f>
        <v>2000</v>
      </c>
      <c r="L7" s="100" t="str">
        <f>IF(N7&lt;&gt;"",SUM(V7+W7),"")</f>
        <v/>
      </c>
      <c r="M7" s="101"/>
      <c r="N7" s="101"/>
      <c r="O7" s="102" t="str">
        <f>IF(N7&lt;&gt;"",N7/$L$4,"")</f>
        <v/>
      </c>
      <c r="P7" s="101"/>
      <c r="Q7" s="101"/>
      <c r="R7" s="102" t="str">
        <f>IF(Q7&lt;&gt;"",Q7/$L7,"")</f>
        <v/>
      </c>
      <c r="S7" s="101"/>
      <c r="T7" s="101"/>
      <c r="U7" s="102" t="str">
        <f>IF(T7&lt;&gt;"",T7/$L7,"")</f>
        <v/>
      </c>
      <c r="V7" s="103" t="str">
        <f>IF(N7&lt;&gt;"",SUM(N7+Q7+N7),"")</f>
        <v/>
      </c>
      <c r="W7" s="101"/>
      <c r="X7" s="104" t="str">
        <f>IF(W7&lt;&gt;"",W7/$L7,"")</f>
        <v/>
      </c>
      <c r="Y7" s="101"/>
      <c r="Z7" s="101"/>
      <c r="AA7" s="101"/>
      <c r="AB7" s="101"/>
    </row>
    <row r="8" spans="1:32" x14ac:dyDescent="0.25">
      <c r="A8" s="53"/>
      <c r="B8" s="76" t="s">
        <v>115</v>
      </c>
      <c r="C8" s="54"/>
      <c r="D8" s="54"/>
      <c r="E8" s="54"/>
      <c r="F8" s="54"/>
      <c r="G8" s="55"/>
      <c r="H8" s="54"/>
      <c r="I8" s="56">
        <f>SUBTOTAL(109,T_entrée[Quantité])</f>
        <v>2200</v>
      </c>
      <c r="J8" s="57"/>
      <c r="K8" s="77">
        <f>SUBTOTAL(109,T_entrée[Prix total de la production])</f>
        <v>4400</v>
      </c>
      <c r="L8" s="58"/>
      <c r="M8" s="8"/>
      <c r="N8" s="8"/>
      <c r="O8" s="78"/>
      <c r="P8" s="8"/>
      <c r="Q8" s="8"/>
      <c r="R8" s="78"/>
      <c r="S8" s="8"/>
      <c r="T8" s="8"/>
      <c r="U8" s="78"/>
      <c r="V8" s="79"/>
      <c r="W8" s="8"/>
      <c r="X8" s="80"/>
      <c r="Y8" s="8"/>
      <c r="Z8" s="8"/>
      <c r="AA8" s="8"/>
      <c r="AB8" s="8"/>
    </row>
  </sheetData>
  <mergeCells count="3">
    <mergeCell ref="A2:O2"/>
    <mergeCell ref="A1:AF1"/>
    <mergeCell ref="P2:AF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L56"/>
  <sheetViews>
    <sheetView zoomScale="90" zoomScaleNormal="90" workbookViewId="0">
      <pane xSplit="1" ySplit="3" topLeftCell="B39" activePane="bottomRight" state="frozen"/>
      <selection pane="topRight" activeCell="B1" sqref="B1"/>
      <selection pane="bottomLeft" activeCell="A4" sqref="A4"/>
      <selection pane="bottomRight" activeCell="J55" sqref="J55"/>
    </sheetView>
  </sheetViews>
  <sheetFormatPr baseColWidth="10" defaultRowHeight="15" x14ac:dyDescent="0.25"/>
  <cols>
    <col min="1" max="1" width="17" style="7" customWidth="1"/>
    <col min="2" max="2" width="18.140625" style="7" customWidth="1"/>
    <col min="3" max="3" width="31.85546875" style="7" customWidth="1"/>
    <col min="4" max="4" width="20.42578125" style="7" hidden="1" customWidth="1"/>
    <col min="5" max="5" width="18" style="7" hidden="1" customWidth="1"/>
    <col min="6" max="6" width="21" customWidth="1"/>
    <col min="7" max="7" width="19" customWidth="1"/>
    <col min="8" max="8" width="17.85546875" customWidth="1"/>
    <col min="9" max="9" width="16.7109375" customWidth="1"/>
    <col min="10" max="10" width="16.42578125" customWidth="1"/>
    <col min="11" max="11" width="18.7109375" customWidth="1"/>
    <col min="12" max="12" width="15.140625" customWidth="1"/>
  </cols>
  <sheetData>
    <row r="1" spans="1:12" ht="21" x14ac:dyDescent="0.25">
      <c r="A1" s="70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2"/>
      <c r="L1" s="25"/>
    </row>
    <row r="2" spans="1:12" ht="12" customHeight="1" x14ac:dyDescent="0.25"/>
    <row r="3" spans="1:12" s="1" customFormat="1" ht="45.75" customHeight="1" x14ac:dyDescent="0.25">
      <c r="A3" s="33" t="s">
        <v>116</v>
      </c>
      <c r="B3" s="33" t="s">
        <v>1</v>
      </c>
      <c r="C3" s="33" t="s">
        <v>2</v>
      </c>
      <c r="D3" s="33" t="s">
        <v>113</v>
      </c>
      <c r="E3" s="33" t="s">
        <v>4</v>
      </c>
      <c r="F3" s="33" t="s">
        <v>122</v>
      </c>
      <c r="G3" s="33" t="s">
        <v>112</v>
      </c>
      <c r="H3" s="36" t="s">
        <v>144</v>
      </c>
      <c r="I3" s="33" t="s">
        <v>3</v>
      </c>
      <c r="J3" s="36" t="s">
        <v>142</v>
      </c>
      <c r="K3" s="36" t="s">
        <v>143</v>
      </c>
      <c r="L3" s="36" t="s">
        <v>169</v>
      </c>
    </row>
    <row r="4" spans="1:12" x14ac:dyDescent="0.25">
      <c r="A4" s="6">
        <f t="shared" ref="A4:A30" si="0">IF(ISNUMBER(A3),A3+1,1)</f>
        <v>1</v>
      </c>
      <c r="B4" s="19" t="s">
        <v>69</v>
      </c>
      <c r="C4" s="20" t="str">
        <f t="shared" ref="C4:E23" si="1">IF($B4&lt;&gt;"",VLOOKUP($B4,T_base,COLUMN()-1,FALSE),"")</f>
        <v>Agrume</v>
      </c>
      <c r="D4" s="6" t="str">
        <f t="shared" si="1"/>
        <v>Classique</v>
      </c>
      <c r="E4" s="15" t="str">
        <f t="shared" si="1"/>
        <v>Permanent</v>
      </c>
      <c r="F4" s="14">
        <v>0</v>
      </c>
      <c r="G4" s="28">
        <f>IF($B4&lt;&gt;0,F4+SUMPRODUCT((T_entrée[DLUO]=$B4)*(T_entrée[Quantité]))-SUMPRODUCT((T_epicerie[Référence]=$B4)*T_epicerie[Quantité])-SUMPRODUCT((T_GMS[Date de commande]=$B4)*T_GMS[Quantité])-SUMPRODUCT((T_Marchés[Date de commande]=$B4)*T_Marchés[Quantité]),0)</f>
        <v>-200</v>
      </c>
      <c r="H4" s="7">
        <v>10</v>
      </c>
      <c r="I4" s="1" t="str">
        <f t="shared" ref="I4:I35" si="2">IF(G4&lt;H4,"ALERTE","")</f>
        <v>ALERTE</v>
      </c>
      <c r="J4" s="21">
        <f t="shared" ref="J4:J35" si="3">IF($B4&lt;&gt;"",VLOOKUP($B4,T_base,COLUMN()-4,FALSE),"")</f>
        <v>4</v>
      </c>
      <c r="K4" s="16">
        <f t="shared" ref="K4:K35" si="4">IF(B4&lt;&gt;"",J4*G4,"")</f>
        <v>-800</v>
      </c>
      <c r="L4" s="8">
        <f>IFERROR(SUMPRODUCT(SMALL((T_entrée[Référence]=T_stock[[#This Row],[Référence ]])*(T_entrée[DLUO]),COUNTA(T_entrée[DLUO])-COUNTIF(T_entrée[Référence],T_stock[[#This Row],[Référence ]])+1)),"")</f>
        <v>41192</v>
      </c>
    </row>
    <row r="5" spans="1:12" x14ac:dyDescent="0.25">
      <c r="A5" s="6">
        <f t="shared" si="0"/>
        <v>2</v>
      </c>
      <c r="B5" s="19" t="s">
        <v>71</v>
      </c>
      <c r="C5" s="20" t="str">
        <f t="shared" si="1"/>
        <v xml:space="preserve">Fraise </v>
      </c>
      <c r="D5" s="6" t="str">
        <f t="shared" si="1"/>
        <v>Classique</v>
      </c>
      <c r="E5" s="15" t="str">
        <f t="shared" si="1"/>
        <v>Permanent</v>
      </c>
      <c r="F5" s="14">
        <v>50</v>
      </c>
      <c r="G5" s="29">
        <f>IF($B5&lt;&gt;0,F5+SUMPRODUCT((T_entrée[DLUO]=$B5)*(T_entrée[Quantité]))-SUMPRODUCT((T_epicerie[Référence]=$B5)*T_epicerie[Quantité])-SUMPRODUCT((T_GMS[Date de commande]=$B5)*T_GMS[Quantité])-SUMPRODUCT((T_Marchés[Date de commande]=$B5)*T_Marchés[Quantité]),0)</f>
        <v>50</v>
      </c>
      <c r="H5" s="7">
        <v>10</v>
      </c>
      <c r="I5" s="1" t="str">
        <f t="shared" si="2"/>
        <v/>
      </c>
      <c r="J5" s="21">
        <f t="shared" si="3"/>
        <v>4</v>
      </c>
      <c r="K5" s="16">
        <f t="shared" si="4"/>
        <v>200</v>
      </c>
      <c r="L5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6" spans="1:12" x14ac:dyDescent="0.25">
      <c r="A6" s="6">
        <f t="shared" si="0"/>
        <v>3</v>
      </c>
      <c r="B6" s="19" t="s">
        <v>73</v>
      </c>
      <c r="C6" s="20" t="str">
        <f t="shared" si="1"/>
        <v>Fraise Clémentine</v>
      </c>
      <c r="D6" s="6" t="str">
        <f t="shared" si="1"/>
        <v>Classique</v>
      </c>
      <c r="E6" s="15" t="str">
        <f t="shared" si="1"/>
        <v>Permanent</v>
      </c>
      <c r="F6" s="14">
        <v>151</v>
      </c>
      <c r="G6" s="29">
        <f>IF($B6&lt;&gt;0,F6+SUMPRODUCT((T_entrée[DLUO]=$B6)*(T_entrée[Quantité]))-SUMPRODUCT((T_epicerie[Référence]=$B6)*T_epicerie[Quantité])-SUMPRODUCT((T_GMS[Date de commande]=$B6)*T_GMS[Quantité])-SUMPRODUCT((T_Marchés[Date de commande]=$B6)*T_Marchés[Quantité]),0)</f>
        <v>151</v>
      </c>
      <c r="H6" s="7">
        <v>10</v>
      </c>
      <c r="I6" s="1" t="str">
        <f t="shared" si="2"/>
        <v/>
      </c>
      <c r="J6" s="21">
        <f t="shared" si="3"/>
        <v>4</v>
      </c>
      <c r="K6" s="16">
        <f t="shared" si="4"/>
        <v>604</v>
      </c>
      <c r="L6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7" spans="1:12" x14ac:dyDescent="0.25">
      <c r="A7" s="6">
        <f t="shared" si="0"/>
        <v>4</v>
      </c>
      <c r="B7" s="19" t="s">
        <v>13</v>
      </c>
      <c r="C7" s="20" t="str">
        <f t="shared" si="1"/>
        <v xml:space="preserve">Fraise Mangue </v>
      </c>
      <c r="D7" s="6" t="str">
        <f t="shared" si="1"/>
        <v>Classique</v>
      </c>
      <c r="E7" s="6" t="str">
        <f t="shared" si="1"/>
        <v>Edition limitée</v>
      </c>
      <c r="F7" s="6"/>
      <c r="G7" s="29">
        <f>IF($B7&lt;&gt;0,F7+SUMPRODUCT((T_entrée[DLUO]=$B7)*(T_entrée[Quantité]))-SUMPRODUCT((T_epicerie[Référence]=$B7)*T_epicerie[Quantité])-SUMPRODUCT((T_GMS[Date de commande]=$B7)*T_GMS[Quantité])-SUMPRODUCT((T_Marchés[Date de commande]=$B7)*T_Marchés[Quantité]),0)</f>
        <v>0</v>
      </c>
      <c r="H7" s="7">
        <v>10</v>
      </c>
      <c r="I7" s="1" t="str">
        <f t="shared" si="2"/>
        <v>ALERTE</v>
      </c>
      <c r="J7" s="21">
        <f t="shared" si="3"/>
        <v>4</v>
      </c>
      <c r="K7" s="16">
        <f t="shared" si="4"/>
        <v>0</v>
      </c>
      <c r="L7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8" spans="1:12" x14ac:dyDescent="0.25">
      <c r="A8" s="6">
        <f t="shared" si="0"/>
        <v>5</v>
      </c>
      <c r="B8" s="19" t="s">
        <v>15</v>
      </c>
      <c r="C8" s="20" t="str">
        <f t="shared" si="1"/>
        <v xml:space="preserve">Fraise Papaye </v>
      </c>
      <c r="D8" s="6" t="str">
        <f t="shared" si="1"/>
        <v>Classique</v>
      </c>
      <c r="E8" s="6" t="str">
        <f t="shared" si="1"/>
        <v>Edition limitée</v>
      </c>
      <c r="F8" s="6">
        <v>34</v>
      </c>
      <c r="G8" s="29">
        <f>IF($B8&lt;&gt;0,F8+SUMPRODUCT((T_entrée[DLUO]=$B8)*(T_entrée[Quantité]))-SUMPRODUCT((T_epicerie[Référence]=$B8)*T_epicerie[Quantité])-SUMPRODUCT((T_GMS[Date de commande]=$B8)*T_GMS[Quantité])-SUMPRODUCT((T_Marchés[Date de commande]=$B8)*T_Marchés[Quantité]),0)</f>
        <v>34</v>
      </c>
      <c r="H8" s="7">
        <v>10</v>
      </c>
      <c r="I8" s="1" t="str">
        <f t="shared" si="2"/>
        <v/>
      </c>
      <c r="J8" s="21">
        <f t="shared" si="3"/>
        <v>4</v>
      </c>
      <c r="K8" s="16">
        <f t="shared" si="4"/>
        <v>136</v>
      </c>
      <c r="L8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9" spans="1:12" x14ac:dyDescent="0.25">
      <c r="A9" s="6">
        <f t="shared" si="0"/>
        <v>6</v>
      </c>
      <c r="B9" s="19" t="s">
        <v>17</v>
      </c>
      <c r="C9" s="20" t="str">
        <f t="shared" si="1"/>
        <v>Fraise Poire</v>
      </c>
      <c r="D9" s="6" t="str">
        <f t="shared" si="1"/>
        <v>Classique</v>
      </c>
      <c r="E9" s="6" t="str">
        <f t="shared" si="1"/>
        <v>Edition limitée</v>
      </c>
      <c r="F9" s="6">
        <v>0</v>
      </c>
      <c r="G9" s="29">
        <f>IF($B9&lt;&gt;0,F9+SUMPRODUCT((T_entrée[DLUO]=$B9)*(T_entrée[Quantité]))-SUMPRODUCT((T_epicerie[Référence]=$B9)*T_epicerie[Quantité])-SUMPRODUCT((T_GMS[Date de commande]=$B9)*T_GMS[Quantité])-SUMPRODUCT((T_Marchés[Date de commande]=$B9)*T_Marchés[Quantité]),0)</f>
        <v>0</v>
      </c>
      <c r="H9" s="7">
        <v>10</v>
      </c>
      <c r="I9" s="1" t="str">
        <f t="shared" si="2"/>
        <v>ALERTE</v>
      </c>
      <c r="J9" s="21">
        <f t="shared" si="3"/>
        <v>4</v>
      </c>
      <c r="K9" s="16">
        <f t="shared" si="4"/>
        <v>0</v>
      </c>
      <c r="L9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10" spans="1:12" x14ac:dyDescent="0.25">
      <c r="A10" s="10">
        <f t="shared" si="0"/>
        <v>7</v>
      </c>
      <c r="B10" s="19" t="s">
        <v>19</v>
      </c>
      <c r="C10" s="27" t="str">
        <f t="shared" si="1"/>
        <v>Framboise groseille</v>
      </c>
      <c r="D10" s="10" t="str">
        <f t="shared" si="1"/>
        <v>Classique</v>
      </c>
      <c r="E10" s="7" t="str">
        <f t="shared" si="1"/>
        <v>Edition limitée</v>
      </c>
      <c r="F10" s="7">
        <v>8</v>
      </c>
      <c r="G10" s="29">
        <f>IF($B10&lt;&gt;0,F10+SUMPRODUCT((T_entrée[DLUO]=$B10)*(T_entrée[Quantité]))-SUMPRODUCT((T_epicerie[Référence]=$B10)*T_epicerie[Quantité])-SUMPRODUCT((T_GMS[Date de commande]=$B10)*T_GMS[Quantité])-SUMPRODUCT((T_Marchés[Date de commande]=$B10)*T_Marchés[Quantité]),0)</f>
        <v>8</v>
      </c>
      <c r="H10" s="7">
        <v>10</v>
      </c>
      <c r="I10" s="1" t="str">
        <f t="shared" si="2"/>
        <v>ALERTE</v>
      </c>
      <c r="J10" s="21">
        <f t="shared" si="3"/>
        <v>4</v>
      </c>
      <c r="K10" s="16">
        <f t="shared" si="4"/>
        <v>32</v>
      </c>
      <c r="L10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11" spans="1:12" x14ac:dyDescent="0.25">
      <c r="A11" s="6">
        <f t="shared" si="0"/>
        <v>8</v>
      </c>
      <c r="B11" s="19" t="s">
        <v>21</v>
      </c>
      <c r="C11" s="20" t="str">
        <f t="shared" si="1"/>
        <v>Framboise Pitaya</v>
      </c>
      <c r="D11" s="6" t="str">
        <f t="shared" si="1"/>
        <v>Classique</v>
      </c>
      <c r="E11" s="14" t="str">
        <f t="shared" si="1"/>
        <v>Edition limitée</v>
      </c>
      <c r="F11" s="14">
        <v>73</v>
      </c>
      <c r="G11" s="29">
        <f>IF($B11&lt;&gt;0,F11+SUMPRODUCT((T_entrée[DLUO]=$B11)*(T_entrée[Quantité]))-SUMPRODUCT((T_epicerie[Référence]=$B11)*T_epicerie[Quantité])-SUMPRODUCT((T_GMS[Date de commande]=$B11)*T_GMS[Quantité])-SUMPRODUCT((T_Marchés[Date de commande]=$B11)*T_Marchés[Quantité]),0)</f>
        <v>73</v>
      </c>
      <c r="H11" s="7">
        <v>10</v>
      </c>
      <c r="I11" s="1" t="str">
        <f t="shared" si="2"/>
        <v/>
      </c>
      <c r="J11" s="21">
        <f t="shared" si="3"/>
        <v>4</v>
      </c>
      <c r="K11" s="16">
        <f t="shared" si="4"/>
        <v>292</v>
      </c>
      <c r="L11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12" spans="1:12" x14ac:dyDescent="0.25">
      <c r="A12" s="6">
        <f t="shared" si="0"/>
        <v>9</v>
      </c>
      <c r="B12" s="19" t="s">
        <v>63</v>
      </c>
      <c r="C12" s="20" t="str">
        <f t="shared" si="1"/>
        <v>Ananas</v>
      </c>
      <c r="D12" s="6" t="str">
        <f t="shared" si="1"/>
        <v>Classique</v>
      </c>
      <c r="E12" s="15" t="str">
        <f t="shared" si="1"/>
        <v>Permanent</v>
      </c>
      <c r="F12" s="14">
        <v>215</v>
      </c>
      <c r="G12" s="29">
        <f>IF($B12&lt;&gt;0,F12+SUMPRODUCT((T_entrée[DLUO]=$B12)*(T_entrée[Quantité]))-SUMPRODUCT((T_epicerie[Référence]=$B12)*T_epicerie[Quantité])-SUMPRODUCT((T_GMS[Date de commande]=$B12)*T_GMS[Quantité])-SUMPRODUCT((T_Marchés[Date de commande]=$B12)*T_Marchés[Quantité]),0)</f>
        <v>-35</v>
      </c>
      <c r="H12" s="7">
        <v>10</v>
      </c>
      <c r="I12" s="1" t="str">
        <f t="shared" si="2"/>
        <v>ALERTE</v>
      </c>
      <c r="J12" s="21">
        <f t="shared" si="3"/>
        <v>4</v>
      </c>
      <c r="K12" s="16">
        <f t="shared" si="4"/>
        <v>-140</v>
      </c>
      <c r="L12" s="8">
        <f>IFERROR(SUMPRODUCT(SMALL((T_entrée[Référence]=T_stock[[#This Row],[Référence ]])*(T_entrée[DLUO]),COUNTA(T_entrée[DLUO])-COUNTIF(T_entrée[Référence],T_stock[[#This Row],[Référence ]])+1)),"")</f>
        <v>41325</v>
      </c>
    </row>
    <row r="13" spans="1:12" x14ac:dyDescent="0.25">
      <c r="A13" s="6">
        <f t="shared" si="0"/>
        <v>10</v>
      </c>
      <c r="B13" s="19" t="s">
        <v>25</v>
      </c>
      <c r="C13" s="20" t="str">
        <f t="shared" si="1"/>
        <v>Kiwi Ananas</v>
      </c>
      <c r="D13" s="6" t="str">
        <f t="shared" si="1"/>
        <v>Classique</v>
      </c>
      <c r="E13" s="14" t="str">
        <f t="shared" si="1"/>
        <v>Edition limitée</v>
      </c>
      <c r="F13" s="14"/>
      <c r="G13" s="29">
        <f>IF($B13&lt;&gt;0,F13+SUMPRODUCT((T_entrée[DLUO]=$B13)*(T_entrée[Quantité]))-SUMPRODUCT((T_epicerie[Référence]=$B13)*T_epicerie[Quantité])-SUMPRODUCT((T_GMS[Date de commande]=$B13)*T_GMS[Quantité])-SUMPRODUCT((T_Marchés[Date de commande]=$B13)*T_Marchés[Quantité]),0)</f>
        <v>0</v>
      </c>
      <c r="H13" s="7">
        <v>10</v>
      </c>
      <c r="I13" s="1" t="str">
        <f t="shared" si="2"/>
        <v>ALERTE</v>
      </c>
      <c r="J13" s="21">
        <f t="shared" si="3"/>
        <v>4</v>
      </c>
      <c r="K13" s="16">
        <f t="shared" si="4"/>
        <v>0</v>
      </c>
      <c r="L13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14" spans="1:12" x14ac:dyDescent="0.25">
      <c r="A14" s="6">
        <f t="shared" si="0"/>
        <v>11</v>
      </c>
      <c r="B14" s="19" t="s">
        <v>100</v>
      </c>
      <c r="C14" s="20" t="str">
        <f t="shared" si="1"/>
        <v>Ananas Pomme</v>
      </c>
      <c r="D14" s="6" t="str">
        <f t="shared" si="1"/>
        <v>Classique</v>
      </c>
      <c r="E14" s="15" t="str">
        <f t="shared" si="1"/>
        <v>RIP</v>
      </c>
      <c r="F14" s="14"/>
      <c r="G14" s="29">
        <f>IF($B14&lt;&gt;0,F14+SUMPRODUCT((T_entrée[DLUO]=$B14)*(T_entrée[Quantité]))-SUMPRODUCT((T_epicerie[Référence]=$B14)*T_epicerie[Quantité])-SUMPRODUCT((T_GMS[Date de commande]=$B14)*T_GMS[Quantité])-SUMPRODUCT((T_Marchés[Date de commande]=$B14)*T_Marchés[Quantité]),0)</f>
        <v>0</v>
      </c>
      <c r="H14" s="7">
        <v>10</v>
      </c>
      <c r="I14" s="1" t="str">
        <f t="shared" si="2"/>
        <v>ALERTE</v>
      </c>
      <c r="J14" s="21">
        <f t="shared" si="3"/>
        <v>4</v>
      </c>
      <c r="K14" s="16">
        <f t="shared" si="4"/>
        <v>0</v>
      </c>
      <c r="L14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15" spans="1:12" x14ac:dyDescent="0.25">
      <c r="A15" s="6">
        <f t="shared" si="0"/>
        <v>12</v>
      </c>
      <c r="B15" s="19" t="s">
        <v>11</v>
      </c>
      <c r="C15" s="20" t="str">
        <f t="shared" si="1"/>
        <v xml:space="preserve">Ananas Raisin </v>
      </c>
      <c r="D15" s="6" t="str">
        <f t="shared" si="1"/>
        <v>Classique</v>
      </c>
      <c r="E15" s="6" t="str">
        <f t="shared" si="1"/>
        <v>Edition limitée</v>
      </c>
      <c r="F15" s="6"/>
      <c r="G15" s="29">
        <f>IF($B15&lt;&gt;0,F15+SUMPRODUCT((T_entrée[DLUO]=$B15)*(T_entrée[Quantité]))-SUMPRODUCT((T_epicerie[Référence]=$B15)*T_epicerie[Quantité])-SUMPRODUCT((T_GMS[Date de commande]=$B15)*T_GMS[Quantité])-SUMPRODUCT((T_Marchés[Date de commande]=$B15)*T_Marchés[Quantité]),0)</f>
        <v>0</v>
      </c>
      <c r="H15" s="7">
        <v>10</v>
      </c>
      <c r="I15" s="1" t="str">
        <f t="shared" si="2"/>
        <v>ALERTE</v>
      </c>
      <c r="J15" s="21">
        <f t="shared" si="3"/>
        <v>4</v>
      </c>
      <c r="K15" s="16">
        <f t="shared" si="4"/>
        <v>0</v>
      </c>
      <c r="L15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16" spans="1:12" x14ac:dyDescent="0.25">
      <c r="A16" s="6">
        <f t="shared" si="0"/>
        <v>13</v>
      </c>
      <c r="B16" s="19" t="s">
        <v>37</v>
      </c>
      <c r="C16" s="20" t="str">
        <f t="shared" si="1"/>
        <v>Ananas Tomate</v>
      </c>
      <c r="D16" s="6" t="str">
        <f t="shared" si="1"/>
        <v>Classique</v>
      </c>
      <c r="E16" s="15" t="str">
        <f t="shared" si="1"/>
        <v>Edition limitée</v>
      </c>
      <c r="F16" s="15"/>
      <c r="G16" s="29">
        <f>IF($B16&lt;&gt;0,F16+SUMPRODUCT((T_entrée[DLUO]=$B16)*(T_entrée[Quantité]))-SUMPRODUCT((T_epicerie[Référence]=$B16)*T_epicerie[Quantité])-SUMPRODUCT((T_GMS[Date de commande]=$B16)*T_GMS[Quantité])-SUMPRODUCT((T_Marchés[Date de commande]=$B16)*T_Marchés[Quantité]),0)</f>
        <v>0</v>
      </c>
      <c r="H16" s="7">
        <v>10</v>
      </c>
      <c r="I16" s="1" t="str">
        <f t="shared" si="2"/>
        <v>ALERTE</v>
      </c>
      <c r="J16" s="21">
        <f t="shared" si="3"/>
        <v>4</v>
      </c>
      <c r="K16" s="16">
        <f t="shared" si="4"/>
        <v>0</v>
      </c>
      <c r="L16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17" spans="1:12" x14ac:dyDescent="0.25">
      <c r="A17" s="6">
        <f t="shared" si="0"/>
        <v>14</v>
      </c>
      <c r="B17" s="19" t="s">
        <v>75</v>
      </c>
      <c r="C17" s="20" t="str">
        <f t="shared" si="1"/>
        <v>Kiwi Pomme</v>
      </c>
      <c r="D17" s="6" t="str">
        <f t="shared" si="1"/>
        <v>Classique</v>
      </c>
      <c r="E17" s="15" t="str">
        <f t="shared" si="1"/>
        <v>Permanent</v>
      </c>
      <c r="F17" s="14">
        <v>13</v>
      </c>
      <c r="G17" s="29">
        <f>IF($B17&lt;&gt;0,F17+SUMPRODUCT((T_entrée[DLUO]=$B17)*(T_entrée[Quantité]))-SUMPRODUCT((T_epicerie[Référence]=$B17)*T_epicerie[Quantité])-SUMPRODUCT((T_GMS[Date de commande]=$B17)*T_GMS[Quantité])-SUMPRODUCT((T_Marchés[Date de commande]=$B17)*T_Marchés[Quantité]),0)</f>
        <v>13</v>
      </c>
      <c r="H17" s="7">
        <v>10</v>
      </c>
      <c r="I17" s="1" t="str">
        <f t="shared" si="2"/>
        <v/>
      </c>
      <c r="J17" s="21">
        <f t="shared" si="3"/>
        <v>4</v>
      </c>
      <c r="K17" s="16">
        <f t="shared" si="4"/>
        <v>52</v>
      </c>
      <c r="L17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18" spans="1:12" x14ac:dyDescent="0.25">
      <c r="A18" s="6">
        <f t="shared" si="0"/>
        <v>15</v>
      </c>
      <c r="B18" s="19" t="s">
        <v>102</v>
      </c>
      <c r="C18" s="20" t="str">
        <f t="shared" si="1"/>
        <v>Litchi</v>
      </c>
      <c r="D18" s="6" t="str">
        <f t="shared" si="1"/>
        <v>Classique</v>
      </c>
      <c r="E18" s="15" t="str">
        <f t="shared" si="1"/>
        <v>RIP</v>
      </c>
      <c r="F18" s="14">
        <v>16</v>
      </c>
      <c r="G18" s="29">
        <f>IF($B18&lt;&gt;0,F18+SUMPRODUCT((T_entrée[DLUO]=$B18)*(T_entrée[Quantité]))-SUMPRODUCT((T_epicerie[Référence]=$B18)*T_epicerie[Quantité])-SUMPRODUCT((T_GMS[Date de commande]=$B18)*T_GMS[Quantité])-SUMPRODUCT((T_Marchés[Date de commande]=$B18)*T_Marchés[Quantité]),0)</f>
        <v>16</v>
      </c>
      <c r="H18" s="7">
        <v>10</v>
      </c>
      <c r="I18" s="1" t="str">
        <f t="shared" si="2"/>
        <v/>
      </c>
      <c r="J18" s="21">
        <f t="shared" si="3"/>
        <v>4</v>
      </c>
      <c r="K18" s="16">
        <f t="shared" si="4"/>
        <v>64</v>
      </c>
      <c r="L18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19" spans="1:12" x14ac:dyDescent="0.25">
      <c r="A19" s="6">
        <f t="shared" si="0"/>
        <v>16</v>
      </c>
      <c r="B19" s="19" t="s">
        <v>77</v>
      </c>
      <c r="C19" s="20" t="str">
        <f t="shared" si="1"/>
        <v xml:space="preserve">Mangue </v>
      </c>
      <c r="D19" s="6" t="str">
        <f t="shared" si="1"/>
        <v>Classique</v>
      </c>
      <c r="E19" s="15" t="str">
        <f t="shared" si="1"/>
        <v>Permanent</v>
      </c>
      <c r="F19" s="14">
        <v>47</v>
      </c>
      <c r="G19" s="29">
        <f>IF($B19&lt;&gt;0,F19+SUMPRODUCT((T_entrée[DLUO]=$B19)*(T_entrée[Quantité]))-SUMPRODUCT((T_epicerie[Référence]=$B19)*T_epicerie[Quantité])-SUMPRODUCT((T_GMS[Date de commande]=$B19)*T_GMS[Quantité])-SUMPRODUCT((T_Marchés[Date de commande]=$B19)*T_Marchés[Quantité]),0)</f>
        <v>-953</v>
      </c>
      <c r="H19" s="7">
        <v>10</v>
      </c>
      <c r="I19" s="1" t="str">
        <f t="shared" si="2"/>
        <v>ALERTE</v>
      </c>
      <c r="J19" s="21">
        <f t="shared" si="3"/>
        <v>4</v>
      </c>
      <c r="K19" s="16">
        <f t="shared" si="4"/>
        <v>-3812</v>
      </c>
      <c r="L19" s="8">
        <f>IFERROR(SUMPRODUCT(SMALL((T_entrée[Référence]=T_stock[[#This Row],[Référence ]])*(T_entrée[DLUO]),COUNTA(T_entrée[DLUO])-COUNTIF(T_entrée[Référence],T_stock[[#This Row],[Référence ]])+1)),"")</f>
        <v>42114</v>
      </c>
    </row>
    <row r="20" spans="1:12" x14ac:dyDescent="0.25">
      <c r="A20" s="6">
        <f t="shared" si="0"/>
        <v>17</v>
      </c>
      <c r="B20" s="19" t="s">
        <v>27</v>
      </c>
      <c r="C20" s="20" t="str">
        <f t="shared" si="1"/>
        <v>Mangue Orange</v>
      </c>
      <c r="D20" s="6" t="str">
        <f t="shared" si="1"/>
        <v>Classique</v>
      </c>
      <c r="E20" s="15" t="str">
        <f t="shared" si="1"/>
        <v>Edition limitée</v>
      </c>
      <c r="F20" s="15"/>
      <c r="G20" s="29">
        <f>IF($B20&lt;&gt;0,F20+SUMPRODUCT((T_entrée[DLUO]=$B20)*(T_entrée[Quantité]))-SUMPRODUCT((T_epicerie[Référence]=$B20)*T_epicerie[Quantité])-SUMPRODUCT((T_GMS[Date de commande]=$B20)*T_GMS[Quantité])-SUMPRODUCT((T_Marchés[Date de commande]=$B20)*T_Marchés[Quantité]),0)</f>
        <v>0</v>
      </c>
      <c r="H20" s="7">
        <v>10</v>
      </c>
      <c r="I20" s="1" t="str">
        <f t="shared" si="2"/>
        <v>ALERTE</v>
      </c>
      <c r="J20" s="21">
        <f t="shared" si="3"/>
        <v>4</v>
      </c>
      <c r="K20" s="16">
        <f t="shared" si="4"/>
        <v>0</v>
      </c>
      <c r="L20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21" spans="1:12" ht="14.25" customHeight="1" x14ac:dyDescent="0.25">
      <c r="A21" s="6">
        <f t="shared" si="0"/>
        <v>18</v>
      </c>
      <c r="B21" s="19" t="s">
        <v>29</v>
      </c>
      <c r="C21" s="20" t="str">
        <f t="shared" si="1"/>
        <v>Papaye Mandarine</v>
      </c>
      <c r="D21" s="6" t="str">
        <f t="shared" si="1"/>
        <v>Classique</v>
      </c>
      <c r="E21" s="15" t="str">
        <f t="shared" si="1"/>
        <v>Edition limitée</v>
      </c>
      <c r="F21" s="15"/>
      <c r="G21" s="29">
        <f>IF($B21&lt;&gt;0,F21+SUMPRODUCT((T_entrée[DLUO]=$B21)*(T_entrée[Quantité]))-SUMPRODUCT((T_epicerie[Référence]=$B21)*T_epicerie[Quantité])-SUMPRODUCT((T_GMS[Date de commande]=$B21)*T_GMS[Quantité])-SUMPRODUCT((T_Marchés[Date de commande]=$B21)*T_Marchés[Quantité]),0)</f>
        <v>0</v>
      </c>
      <c r="H21" s="7">
        <v>10</v>
      </c>
      <c r="I21" s="1" t="str">
        <f t="shared" si="2"/>
        <v>ALERTE</v>
      </c>
      <c r="J21" s="21">
        <f t="shared" si="3"/>
        <v>4</v>
      </c>
      <c r="K21" s="16">
        <f t="shared" si="4"/>
        <v>0</v>
      </c>
      <c r="L21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22" spans="1:12" x14ac:dyDescent="0.25">
      <c r="A22" s="6">
        <f t="shared" si="0"/>
        <v>19</v>
      </c>
      <c r="B22" s="19" t="s">
        <v>106</v>
      </c>
      <c r="C22" s="20" t="str">
        <f t="shared" si="1"/>
        <v>Papaye Pomme</v>
      </c>
      <c r="D22" s="6" t="str">
        <f t="shared" si="1"/>
        <v>Classique</v>
      </c>
      <c r="E22" s="15" t="str">
        <f t="shared" si="1"/>
        <v>RIP</v>
      </c>
      <c r="F22" s="14">
        <v>13</v>
      </c>
      <c r="G22" s="29">
        <f>IF($B22&lt;&gt;0,F22+SUMPRODUCT((T_entrée[DLUO]=$B22)*(T_entrée[Quantité]))-SUMPRODUCT((T_epicerie[Référence]=$B22)*T_epicerie[Quantité])-SUMPRODUCT((T_GMS[Date de commande]=$B22)*T_GMS[Quantité])-SUMPRODUCT((T_Marchés[Date de commande]=$B22)*T_Marchés[Quantité]),0)</f>
        <v>13</v>
      </c>
      <c r="H22" s="7">
        <v>10</v>
      </c>
      <c r="I22" s="1" t="str">
        <f t="shared" si="2"/>
        <v/>
      </c>
      <c r="J22" s="21">
        <f t="shared" si="3"/>
        <v>4</v>
      </c>
      <c r="K22" s="16">
        <f t="shared" si="4"/>
        <v>52</v>
      </c>
      <c r="L22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23" spans="1:12" x14ac:dyDescent="0.25">
      <c r="A23" s="6">
        <f t="shared" si="0"/>
        <v>20</v>
      </c>
      <c r="B23" s="19" t="s">
        <v>23</v>
      </c>
      <c r="C23" s="20" t="str">
        <f t="shared" si="1"/>
        <v xml:space="preserve">Pitaya Clémentine </v>
      </c>
      <c r="D23" s="6" t="str">
        <f t="shared" si="1"/>
        <v>Classique</v>
      </c>
      <c r="E23" s="14" t="str">
        <f t="shared" si="1"/>
        <v>Edition limitée</v>
      </c>
      <c r="F23" s="14">
        <v>80</v>
      </c>
      <c r="G23" s="29">
        <f>IF($B23&lt;&gt;0,F23+SUMPRODUCT((T_entrée[DLUO]=$B23)*(T_entrée[Quantité]))-SUMPRODUCT((T_epicerie[Référence]=$B23)*T_epicerie[Quantité])-SUMPRODUCT((T_GMS[Date de commande]=$B23)*T_GMS[Quantité])-SUMPRODUCT((T_Marchés[Date de commande]=$B23)*T_Marchés[Quantité]),0)</f>
        <v>80</v>
      </c>
      <c r="H23" s="7">
        <v>10</v>
      </c>
      <c r="I23" s="1" t="str">
        <f t="shared" si="2"/>
        <v/>
      </c>
      <c r="J23" s="21">
        <f t="shared" si="3"/>
        <v>4</v>
      </c>
      <c r="K23" s="16">
        <f t="shared" si="4"/>
        <v>320</v>
      </c>
      <c r="L23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24" spans="1:12" x14ac:dyDescent="0.25">
      <c r="A24" s="6">
        <f t="shared" si="0"/>
        <v>21</v>
      </c>
      <c r="B24" s="19" t="s">
        <v>79</v>
      </c>
      <c r="C24" s="20" t="str">
        <f t="shared" ref="C24:E43" si="5">IF($B24&lt;&gt;"",VLOOKUP($B24,T_base,COLUMN()-1,FALSE),"")</f>
        <v xml:space="preserve">Poire </v>
      </c>
      <c r="D24" s="6" t="str">
        <f t="shared" si="5"/>
        <v>Classique</v>
      </c>
      <c r="E24" s="15" t="str">
        <f t="shared" si="5"/>
        <v>Permanent</v>
      </c>
      <c r="F24" s="14">
        <v>53</v>
      </c>
      <c r="G24" s="29">
        <f>IF($B24&lt;&gt;0,F24+SUMPRODUCT((T_entrée[DLUO]=$B24)*(T_entrée[Quantité]))-SUMPRODUCT((T_epicerie[Référence]=$B24)*T_epicerie[Quantité])-SUMPRODUCT((T_GMS[Date de commande]=$B24)*T_GMS[Quantité])-SUMPRODUCT((T_Marchés[Date de commande]=$B24)*T_Marchés[Quantité]),0)</f>
        <v>53</v>
      </c>
      <c r="H24" s="7">
        <v>10</v>
      </c>
      <c r="I24" s="1" t="str">
        <f t="shared" si="2"/>
        <v/>
      </c>
      <c r="J24" s="21">
        <f t="shared" si="3"/>
        <v>4</v>
      </c>
      <c r="K24" s="16">
        <f t="shared" si="4"/>
        <v>212</v>
      </c>
      <c r="L24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25" spans="1:12" x14ac:dyDescent="0.25">
      <c r="A25" s="6">
        <f t="shared" si="0"/>
        <v>22</v>
      </c>
      <c r="B25" s="19" t="s">
        <v>31</v>
      </c>
      <c r="C25" s="20" t="str">
        <f t="shared" si="5"/>
        <v>Poire Pamplemousse</v>
      </c>
      <c r="D25" s="6" t="str">
        <f t="shared" si="5"/>
        <v>Classique</v>
      </c>
      <c r="E25" s="15" t="str">
        <f t="shared" si="5"/>
        <v>Edition limitée</v>
      </c>
      <c r="F25" s="14">
        <v>65</v>
      </c>
      <c r="G25" s="29">
        <f>IF($B25&lt;&gt;0,F25+SUMPRODUCT((T_entrée[DLUO]=$B25)*(T_entrée[Quantité]))-SUMPRODUCT((T_epicerie[Référence]=$B25)*T_epicerie[Quantité])-SUMPRODUCT((T_GMS[Date de commande]=$B25)*T_GMS[Quantité])-SUMPRODUCT((T_Marchés[Date de commande]=$B25)*T_Marchés[Quantité]),0)</f>
        <v>65</v>
      </c>
      <c r="H25" s="7">
        <v>10</v>
      </c>
      <c r="I25" s="1" t="str">
        <f t="shared" si="2"/>
        <v/>
      </c>
      <c r="J25" s="21">
        <f t="shared" si="3"/>
        <v>4</v>
      </c>
      <c r="K25" s="16">
        <f t="shared" si="4"/>
        <v>260</v>
      </c>
      <c r="L25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26" spans="1:12" x14ac:dyDescent="0.25">
      <c r="A26" s="6">
        <f t="shared" si="0"/>
        <v>23</v>
      </c>
      <c r="B26" s="19" t="s">
        <v>33</v>
      </c>
      <c r="C26" s="20" t="str">
        <f t="shared" si="5"/>
        <v>Pomme Orange Date</v>
      </c>
      <c r="D26" s="6" t="str">
        <f t="shared" si="5"/>
        <v>Classique</v>
      </c>
      <c r="E26" s="15" t="str">
        <f t="shared" si="5"/>
        <v>Edition limitée</v>
      </c>
      <c r="F26" s="14"/>
      <c r="G26" s="29">
        <f>IF($B26&lt;&gt;0,F26+SUMPRODUCT((T_entrée[DLUO]=$B26)*(T_entrée[Quantité]))-SUMPRODUCT((T_epicerie[Référence]=$B26)*T_epicerie[Quantité])-SUMPRODUCT((T_GMS[Date de commande]=$B26)*T_GMS[Quantité])-SUMPRODUCT((T_Marchés[Date de commande]=$B26)*T_Marchés[Quantité]),0)</f>
        <v>0</v>
      </c>
      <c r="H26" s="7">
        <v>10</v>
      </c>
      <c r="I26" s="1" t="str">
        <f t="shared" si="2"/>
        <v>ALERTE</v>
      </c>
      <c r="J26" s="21">
        <f t="shared" si="3"/>
        <v>4</v>
      </c>
      <c r="K26" s="16">
        <f t="shared" si="4"/>
        <v>0</v>
      </c>
      <c r="L26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27" spans="1:12" x14ac:dyDescent="0.25">
      <c r="A27" s="6">
        <f t="shared" si="0"/>
        <v>24</v>
      </c>
      <c r="B27" s="19" t="s">
        <v>35</v>
      </c>
      <c r="C27" s="20" t="str">
        <f t="shared" si="5"/>
        <v xml:space="preserve">Pomme Pamplemousse Raisin sec </v>
      </c>
      <c r="D27" s="6" t="str">
        <f t="shared" si="5"/>
        <v>Classique</v>
      </c>
      <c r="E27" s="15" t="str">
        <f t="shared" si="5"/>
        <v>Edition limitée</v>
      </c>
      <c r="F27" s="14">
        <v>36</v>
      </c>
      <c r="G27" s="29">
        <f>IF($B27&lt;&gt;0,F27+SUMPRODUCT((T_entrée[DLUO]=$B27)*(T_entrée[Quantité]))-SUMPRODUCT((T_epicerie[Référence]=$B27)*T_epicerie[Quantité])-SUMPRODUCT((T_GMS[Date de commande]=$B27)*T_GMS[Quantité])-SUMPRODUCT((T_Marchés[Date de commande]=$B27)*T_Marchés[Quantité]),0)</f>
        <v>36</v>
      </c>
      <c r="H27" s="7">
        <v>10</v>
      </c>
      <c r="I27" s="1" t="str">
        <f t="shared" si="2"/>
        <v/>
      </c>
      <c r="J27" s="21">
        <f t="shared" si="3"/>
        <v>4</v>
      </c>
      <c r="K27" s="16">
        <f t="shared" si="4"/>
        <v>144</v>
      </c>
      <c r="L27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28" spans="1:12" x14ac:dyDescent="0.25">
      <c r="A28" s="6">
        <f t="shared" si="0"/>
        <v>25</v>
      </c>
      <c r="B28" s="19" t="s">
        <v>39</v>
      </c>
      <c r="C28" s="20" t="str">
        <f t="shared" si="5"/>
        <v>Pomme fruits rouges</v>
      </c>
      <c r="D28" s="6" t="str">
        <f t="shared" si="5"/>
        <v>Classique</v>
      </c>
      <c r="E28" s="15" t="str">
        <f t="shared" si="5"/>
        <v>Edition limitée</v>
      </c>
      <c r="F28" s="14"/>
      <c r="G28" s="29">
        <f>IF($B28&lt;&gt;0,F28+SUMPRODUCT((T_entrée[DLUO]=$B28)*(T_entrée[Quantité]))-SUMPRODUCT((T_epicerie[Référence]=$B28)*T_epicerie[Quantité])-SUMPRODUCT((T_GMS[Date de commande]=$B28)*T_GMS[Quantité])-SUMPRODUCT((T_Marchés[Date de commande]=$B28)*T_Marchés[Quantité]),0)</f>
        <v>0</v>
      </c>
      <c r="H28" s="7">
        <v>10</v>
      </c>
      <c r="I28" s="1" t="str">
        <f t="shared" si="2"/>
        <v>ALERTE</v>
      </c>
      <c r="J28" s="21">
        <f t="shared" si="3"/>
        <v>4</v>
      </c>
      <c r="K28" s="16">
        <f t="shared" si="4"/>
        <v>0</v>
      </c>
      <c r="L28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29" spans="1:12" x14ac:dyDescent="0.25">
      <c r="A29" s="6">
        <f t="shared" si="0"/>
        <v>26</v>
      </c>
      <c r="B29" s="19" t="s">
        <v>81</v>
      </c>
      <c r="C29" s="20" t="str">
        <f t="shared" si="5"/>
        <v xml:space="preserve">Prune </v>
      </c>
      <c r="D29" s="6" t="str">
        <f t="shared" si="5"/>
        <v>Classique</v>
      </c>
      <c r="E29" s="15" t="str">
        <f t="shared" si="5"/>
        <v>Permanent</v>
      </c>
      <c r="F29" s="14">
        <v>123</v>
      </c>
      <c r="G29" s="29">
        <f>IF($B29&lt;&gt;0,F29+SUMPRODUCT((T_entrée[DLUO]=$B29)*(T_entrée[Quantité]))-SUMPRODUCT((T_epicerie[Référence]=$B29)*T_epicerie[Quantité])-SUMPRODUCT((T_GMS[Date de commande]=$B29)*T_GMS[Quantité])-SUMPRODUCT((T_Marchés[Date de commande]=$B29)*T_Marchés[Quantité]),0)</f>
        <v>123</v>
      </c>
      <c r="H29" s="7">
        <v>10</v>
      </c>
      <c r="I29" s="1" t="str">
        <f t="shared" si="2"/>
        <v/>
      </c>
      <c r="J29" s="21">
        <f t="shared" si="3"/>
        <v>4</v>
      </c>
      <c r="K29" s="16">
        <f t="shared" si="4"/>
        <v>492</v>
      </c>
      <c r="L29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30" spans="1:12" x14ac:dyDescent="0.25">
      <c r="A30" s="6">
        <f t="shared" si="0"/>
        <v>27</v>
      </c>
      <c r="B30" s="19" t="s">
        <v>65</v>
      </c>
      <c r="C30" s="20" t="str">
        <f t="shared" si="5"/>
        <v>Banane Agrume</v>
      </c>
      <c r="D30" s="6" t="str">
        <f t="shared" si="5"/>
        <v>Classique</v>
      </c>
      <c r="E30" s="15" t="str">
        <f t="shared" si="5"/>
        <v>Permanent</v>
      </c>
      <c r="F30" s="14">
        <v>258</v>
      </c>
      <c r="G30" s="29">
        <f>IF($B30&lt;&gt;0,F30+SUMPRODUCT((T_entrée[DLUO]=$B30)*(T_entrée[Quantité]))-SUMPRODUCT((T_epicerie[Référence]=$B30)*T_epicerie[Quantité])-SUMPRODUCT((T_GMS[Date de commande]=$B30)*T_GMS[Quantité])-SUMPRODUCT((T_Marchés[Date de commande]=$B30)*T_Marchés[Quantité]),0)</f>
        <v>258</v>
      </c>
      <c r="H30" s="7">
        <v>10</v>
      </c>
      <c r="I30" s="1" t="str">
        <f t="shared" si="2"/>
        <v/>
      </c>
      <c r="J30" s="21">
        <f t="shared" si="3"/>
        <v>4</v>
      </c>
      <c r="K30" s="16">
        <f t="shared" si="4"/>
        <v>1032</v>
      </c>
      <c r="L30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31" spans="1:12" x14ac:dyDescent="0.25">
      <c r="A31" s="6">
        <f t="shared" ref="A31:A50" si="6">IF(ISNUMBER(A30),A30+1,1)</f>
        <v>28</v>
      </c>
      <c r="B31" s="19" t="s">
        <v>67</v>
      </c>
      <c r="C31" s="20" t="str">
        <f t="shared" si="5"/>
        <v xml:space="preserve">Banane Raisin </v>
      </c>
      <c r="D31" s="6" t="str">
        <f t="shared" si="5"/>
        <v>Classique</v>
      </c>
      <c r="E31" s="15" t="str">
        <f t="shared" si="5"/>
        <v>Permanent</v>
      </c>
      <c r="F31" s="14">
        <v>66</v>
      </c>
      <c r="G31" s="29">
        <f>IF($B31&lt;&gt;0,F31+SUMPRODUCT((T_entrée[DLUO]=$B31)*(T_entrée[Quantité]))-SUMPRODUCT((T_epicerie[Référence]=$B31)*T_epicerie[Quantité])-SUMPRODUCT((T_GMS[Date de commande]=$B31)*T_GMS[Quantité])-SUMPRODUCT((T_Marchés[Date de commande]=$B31)*T_Marchés[Quantité]),0)</f>
        <v>66</v>
      </c>
      <c r="H31" s="7">
        <v>10</v>
      </c>
      <c r="I31" s="1" t="str">
        <f t="shared" si="2"/>
        <v/>
      </c>
      <c r="J31" s="21">
        <f t="shared" si="3"/>
        <v>4</v>
      </c>
      <c r="K31" s="16">
        <f t="shared" si="4"/>
        <v>264</v>
      </c>
      <c r="L31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32" spans="1:12" x14ac:dyDescent="0.25">
      <c r="A32" s="6">
        <f t="shared" si="6"/>
        <v>29</v>
      </c>
      <c r="B32" s="19" t="s">
        <v>42</v>
      </c>
      <c r="C32" s="20" t="str">
        <f t="shared" si="5"/>
        <v xml:space="preserve">Fraise Pomme Musade </v>
      </c>
      <c r="D32" s="6" t="str">
        <f t="shared" si="5"/>
        <v>Epice</v>
      </c>
      <c r="E32" s="15" t="str">
        <f t="shared" si="5"/>
        <v>Edition limitée</v>
      </c>
      <c r="F32" s="14">
        <v>19</v>
      </c>
      <c r="G32" s="29">
        <f>IF($B32&lt;&gt;0,F32+SUMPRODUCT((T_entrée[DLUO]=$B32)*(T_entrée[Quantité]))-SUMPRODUCT((T_epicerie[Référence]=$B32)*T_epicerie[Quantité])-SUMPRODUCT((T_GMS[Date de commande]=$B32)*T_GMS[Quantité])-SUMPRODUCT((T_Marchés[Date de commande]=$B32)*T_Marchés[Quantité]),0)</f>
        <v>19</v>
      </c>
      <c r="H32" s="7">
        <v>10</v>
      </c>
      <c r="I32" s="1" t="str">
        <f t="shared" si="2"/>
        <v/>
      </c>
      <c r="J32" s="21">
        <f t="shared" si="3"/>
        <v>4</v>
      </c>
      <c r="K32" s="16">
        <f t="shared" si="4"/>
        <v>76</v>
      </c>
      <c r="L32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33" spans="1:12" x14ac:dyDescent="0.25">
      <c r="A33" s="6">
        <f t="shared" si="6"/>
        <v>30</v>
      </c>
      <c r="B33" s="19" t="s">
        <v>83</v>
      </c>
      <c r="C33" s="20" t="str">
        <f t="shared" si="5"/>
        <v>Pomme agrume épicée</v>
      </c>
      <c r="D33" s="6" t="str">
        <f t="shared" si="5"/>
        <v>Epice</v>
      </c>
      <c r="E33" s="15" t="str">
        <f t="shared" si="5"/>
        <v>Permanent</v>
      </c>
      <c r="F33" s="14">
        <v>86</v>
      </c>
      <c r="G33" s="29">
        <f>IF($B33&lt;&gt;0,F33+SUMPRODUCT((T_entrée[DLUO]=$B33)*(T_entrée[Quantité]))-SUMPRODUCT((T_epicerie[Référence]=$B33)*T_epicerie[Quantité])-SUMPRODUCT((T_GMS[Date de commande]=$B33)*T_GMS[Quantité])-SUMPRODUCT((T_Marchés[Date de commande]=$B33)*T_Marchés[Quantité]),0)</f>
        <v>86</v>
      </c>
      <c r="H33" s="7">
        <v>10</v>
      </c>
      <c r="I33" s="1" t="str">
        <f t="shared" si="2"/>
        <v/>
      </c>
      <c r="J33" s="21">
        <f t="shared" si="3"/>
        <v>4</v>
      </c>
      <c r="K33" s="16">
        <f t="shared" si="4"/>
        <v>344</v>
      </c>
      <c r="L33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34" spans="1:12" x14ac:dyDescent="0.25">
      <c r="A34" s="6">
        <f t="shared" si="6"/>
        <v>31</v>
      </c>
      <c r="B34" s="19" t="s">
        <v>85</v>
      </c>
      <c r="C34" s="20" t="str">
        <f t="shared" si="5"/>
        <v xml:space="preserve">Ananas Gingembre </v>
      </c>
      <c r="D34" s="6" t="str">
        <f t="shared" si="5"/>
        <v>Epice</v>
      </c>
      <c r="E34" s="15" t="str">
        <f t="shared" si="5"/>
        <v>Permanent</v>
      </c>
      <c r="F34" s="14"/>
      <c r="G34" s="29">
        <f>IF($B34&lt;&gt;0,F34+SUMPRODUCT((T_entrée[DLUO]=$B34)*(T_entrée[Quantité]))-SUMPRODUCT((T_epicerie[Référence]=$B34)*T_epicerie[Quantité])-SUMPRODUCT((T_GMS[Date de commande]=$B34)*T_GMS[Quantité])-SUMPRODUCT((T_Marchés[Date de commande]=$B34)*T_Marchés[Quantité]),0)</f>
        <v>0</v>
      </c>
      <c r="H34" s="7">
        <v>10</v>
      </c>
      <c r="I34" s="1" t="str">
        <f t="shared" si="2"/>
        <v>ALERTE</v>
      </c>
      <c r="J34" s="21">
        <f t="shared" si="3"/>
        <v>4</v>
      </c>
      <c r="K34" s="16">
        <f t="shared" si="4"/>
        <v>0</v>
      </c>
      <c r="L34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35" spans="1:12" x14ac:dyDescent="0.25">
      <c r="A35" s="6">
        <f t="shared" si="6"/>
        <v>32</v>
      </c>
      <c r="B35" s="19" t="s">
        <v>45</v>
      </c>
      <c r="C35" s="20" t="str">
        <f t="shared" si="5"/>
        <v xml:space="preserve">Carotte Poire Cardamome </v>
      </c>
      <c r="D35" s="6" t="str">
        <f t="shared" si="5"/>
        <v>Legumes</v>
      </c>
      <c r="E35" s="15" t="str">
        <f t="shared" si="5"/>
        <v>Edition limitée</v>
      </c>
      <c r="F35" s="14">
        <v>22</v>
      </c>
      <c r="G35" s="29">
        <f>IF($B35&lt;&gt;0,F35+SUMPRODUCT((T_entrée[DLUO]=$B35)*(T_entrée[Quantité]))-SUMPRODUCT((T_epicerie[Référence]=$B35)*T_epicerie[Quantité])-SUMPRODUCT((T_GMS[Date de commande]=$B35)*T_GMS[Quantité])-SUMPRODUCT((T_Marchés[Date de commande]=$B35)*T_Marchés[Quantité]),0)</f>
        <v>22</v>
      </c>
      <c r="H35" s="7">
        <v>10</v>
      </c>
      <c r="I35" s="1" t="str">
        <f t="shared" si="2"/>
        <v/>
      </c>
      <c r="J35" s="21">
        <f t="shared" si="3"/>
        <v>4</v>
      </c>
      <c r="K35" s="16">
        <f t="shared" si="4"/>
        <v>88</v>
      </c>
      <c r="L35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36" spans="1:12" x14ac:dyDescent="0.25">
      <c r="A36" s="6">
        <f t="shared" si="6"/>
        <v>33</v>
      </c>
      <c r="B36" s="19" t="s">
        <v>89</v>
      </c>
      <c r="C36" s="20" t="str">
        <f t="shared" si="5"/>
        <v xml:space="preserve">Pomme Raisin Epices </v>
      </c>
      <c r="D36" s="6" t="str">
        <f t="shared" si="5"/>
        <v>Epice</v>
      </c>
      <c r="E36" s="15" t="str">
        <f t="shared" si="5"/>
        <v>Permanent</v>
      </c>
      <c r="F36" s="14">
        <v>164</v>
      </c>
      <c r="G36" s="29">
        <f>IF($B36&lt;&gt;0,F36+SUMPRODUCT((T_entrée[DLUO]=$B36)*(T_entrée[Quantité]))-SUMPRODUCT((T_epicerie[Référence]=$B36)*T_epicerie[Quantité])-SUMPRODUCT((T_GMS[Date de commande]=$B36)*T_GMS[Quantité])-SUMPRODUCT((T_Marchés[Date de commande]=$B36)*T_Marchés[Quantité]),0)</f>
        <v>164</v>
      </c>
      <c r="H36" s="7">
        <v>10</v>
      </c>
      <c r="I36" s="1" t="str">
        <f t="shared" ref="I36:I54" si="7">IF(G36&lt;H36,"ALERTE","")</f>
        <v/>
      </c>
      <c r="J36" s="21">
        <f t="shared" ref="J36:J54" si="8">IF($B36&lt;&gt;"",VLOOKUP($B36,T_base,COLUMN()-4,FALSE),"")</f>
        <v>4</v>
      </c>
      <c r="K36" s="16">
        <f t="shared" ref="K36:K54" si="9">IF(B36&lt;&gt;"",J36*G36,"")</f>
        <v>656</v>
      </c>
      <c r="L36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37" spans="1:12" x14ac:dyDescent="0.25">
      <c r="A37" s="6">
        <f t="shared" si="6"/>
        <v>34</v>
      </c>
      <c r="B37" s="19" t="s">
        <v>104</v>
      </c>
      <c r="C37" s="20" t="str">
        <f t="shared" si="5"/>
        <v>Pomme Vanille</v>
      </c>
      <c r="D37" s="6" t="str">
        <f t="shared" si="5"/>
        <v>Epice</v>
      </c>
      <c r="E37" s="15" t="str">
        <f t="shared" si="5"/>
        <v>RIP</v>
      </c>
      <c r="F37" s="14">
        <v>44</v>
      </c>
      <c r="G37" s="29">
        <f>IF($B37&lt;&gt;0,F37+SUMPRODUCT((T_entrée[DLUO]=$B37)*(T_entrée[Quantité]))-SUMPRODUCT((T_epicerie[Référence]=$B37)*T_epicerie[Quantité])-SUMPRODUCT((T_GMS[Date de commande]=$B37)*T_GMS[Quantité])-SUMPRODUCT((T_Marchés[Date de commande]=$B37)*T_Marchés[Quantité]),0)</f>
        <v>44</v>
      </c>
      <c r="H37" s="7">
        <v>10</v>
      </c>
      <c r="I37" s="1" t="str">
        <f t="shared" si="7"/>
        <v/>
      </c>
      <c r="J37" s="21">
        <f t="shared" si="8"/>
        <v>4</v>
      </c>
      <c r="K37" s="16">
        <f t="shared" si="9"/>
        <v>176</v>
      </c>
      <c r="L37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38" spans="1:12" x14ac:dyDescent="0.25">
      <c r="A38" s="6">
        <f t="shared" si="6"/>
        <v>35</v>
      </c>
      <c r="B38" s="19" t="s">
        <v>87</v>
      </c>
      <c r="C38" s="20" t="str">
        <f t="shared" si="5"/>
        <v>Banane Gingembre</v>
      </c>
      <c r="D38" s="6" t="str">
        <f t="shared" si="5"/>
        <v>Epice</v>
      </c>
      <c r="E38" s="15" t="str">
        <f t="shared" si="5"/>
        <v>Permanent</v>
      </c>
      <c r="F38" s="14">
        <v>27</v>
      </c>
      <c r="G38" s="29">
        <f>IF($B38&lt;&gt;0,F38+SUMPRODUCT((T_entrée[DLUO]=$B38)*(T_entrée[Quantité]))-SUMPRODUCT((T_epicerie[Référence]=$B38)*T_epicerie[Quantité])-SUMPRODUCT((T_GMS[Date de commande]=$B38)*T_GMS[Quantité])-SUMPRODUCT((T_Marchés[Date de commande]=$B38)*T_Marchés[Quantité]),0)</f>
        <v>27</v>
      </c>
      <c r="H38" s="7">
        <v>10</v>
      </c>
      <c r="I38" s="1" t="str">
        <f t="shared" si="7"/>
        <v/>
      </c>
      <c r="J38" s="21">
        <f t="shared" si="8"/>
        <v>4</v>
      </c>
      <c r="K38" s="16">
        <f t="shared" si="9"/>
        <v>108</v>
      </c>
      <c r="L38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39" spans="1:12" x14ac:dyDescent="0.25">
      <c r="A39" s="6">
        <f t="shared" si="6"/>
        <v>36</v>
      </c>
      <c r="B39" s="19" t="s">
        <v>49</v>
      </c>
      <c r="C39" s="20" t="str">
        <f t="shared" si="5"/>
        <v>Courge Spaghetti</v>
      </c>
      <c r="D39" s="6" t="str">
        <f t="shared" si="5"/>
        <v>Legumes</v>
      </c>
      <c r="E39" s="15" t="str">
        <f t="shared" si="5"/>
        <v>Edition limitée</v>
      </c>
      <c r="F39" s="14">
        <v>0</v>
      </c>
      <c r="G39" s="29">
        <f>IF($B39&lt;&gt;0,F39+SUMPRODUCT((T_entrée[DLUO]=$B39)*(T_entrée[Quantité]))-SUMPRODUCT((T_epicerie[Référence]=$B39)*T_epicerie[Quantité])-SUMPRODUCT((T_GMS[Date de commande]=$B39)*T_GMS[Quantité])-SUMPRODUCT((T_Marchés[Date de commande]=$B39)*T_Marchés[Quantité]),0)</f>
        <v>0</v>
      </c>
      <c r="H39" s="7">
        <v>10</v>
      </c>
      <c r="I39" s="1" t="str">
        <f t="shared" si="7"/>
        <v>ALERTE</v>
      </c>
      <c r="J39" s="21">
        <f t="shared" si="8"/>
        <v>4</v>
      </c>
      <c r="K39" s="16">
        <f t="shared" si="9"/>
        <v>0</v>
      </c>
      <c r="L39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40" spans="1:12" x14ac:dyDescent="0.25">
      <c r="A40" s="6">
        <f t="shared" si="6"/>
        <v>37</v>
      </c>
      <c r="B40" s="19" t="s">
        <v>93</v>
      </c>
      <c r="C40" s="20" t="str">
        <f t="shared" si="5"/>
        <v>Courge Agrume</v>
      </c>
      <c r="D40" s="6" t="str">
        <f t="shared" si="5"/>
        <v>Legumes</v>
      </c>
      <c r="E40" s="15" t="str">
        <f t="shared" si="5"/>
        <v>Permanent</v>
      </c>
      <c r="F40" s="14">
        <v>33</v>
      </c>
      <c r="G40" s="29">
        <f>IF($B40&lt;&gt;0,F40+SUMPRODUCT((T_entrée[DLUO]=$B40)*(T_entrée[Quantité]))-SUMPRODUCT((T_epicerie[Référence]=$B40)*T_epicerie[Quantité])-SUMPRODUCT((T_GMS[Date de commande]=$B40)*T_GMS[Quantité])-SUMPRODUCT((T_Marchés[Date de commande]=$B40)*T_Marchés[Quantité]),0)</f>
        <v>33</v>
      </c>
      <c r="H40" s="7">
        <v>10</v>
      </c>
      <c r="I40" s="1" t="str">
        <f t="shared" si="7"/>
        <v/>
      </c>
      <c r="J40" s="21">
        <f t="shared" si="8"/>
        <v>4</v>
      </c>
      <c r="K40" s="16">
        <f t="shared" si="9"/>
        <v>132</v>
      </c>
      <c r="L40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41" spans="1:12" x14ac:dyDescent="0.25">
      <c r="A41" s="6">
        <f t="shared" si="6"/>
        <v>38</v>
      </c>
      <c r="B41" s="19" t="s">
        <v>51</v>
      </c>
      <c r="C41" s="20" t="str">
        <f t="shared" si="5"/>
        <v xml:space="preserve">Courgette Raisin </v>
      </c>
      <c r="D41" s="6" t="str">
        <f t="shared" si="5"/>
        <v>Legumes</v>
      </c>
      <c r="E41" s="15" t="str">
        <f t="shared" si="5"/>
        <v>Edition limitée</v>
      </c>
      <c r="F41" s="14">
        <v>40</v>
      </c>
      <c r="G41" s="29">
        <f>IF($B41&lt;&gt;0,F41+SUMPRODUCT((T_entrée[DLUO]=$B41)*(T_entrée[Quantité]))-SUMPRODUCT((T_epicerie[Référence]=$B41)*T_epicerie[Quantité])-SUMPRODUCT((T_GMS[Date de commande]=$B41)*T_GMS[Quantité])-SUMPRODUCT((T_Marchés[Date de commande]=$B41)*T_Marchés[Quantité]),0)</f>
        <v>40</v>
      </c>
      <c r="H41" s="7">
        <v>10</v>
      </c>
      <c r="I41" s="1" t="str">
        <f t="shared" si="7"/>
        <v/>
      </c>
      <c r="J41" s="21">
        <f t="shared" si="8"/>
        <v>4</v>
      </c>
      <c r="K41" s="16">
        <f t="shared" si="9"/>
        <v>160</v>
      </c>
      <c r="L41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42" spans="1:12" x14ac:dyDescent="0.25">
      <c r="A42" s="6">
        <f t="shared" si="6"/>
        <v>39</v>
      </c>
      <c r="B42" s="19" t="s">
        <v>53</v>
      </c>
      <c r="C42" s="20" t="str">
        <f t="shared" si="5"/>
        <v xml:space="preserve">Endive </v>
      </c>
      <c r="D42" s="6" t="str">
        <f t="shared" si="5"/>
        <v>Legumes</v>
      </c>
      <c r="E42" s="15" t="str">
        <f t="shared" si="5"/>
        <v>Edition limitée</v>
      </c>
      <c r="F42" s="14">
        <v>37</v>
      </c>
      <c r="G42" s="29">
        <f>IF($B42&lt;&gt;0,F42+SUMPRODUCT((T_entrée[DLUO]=$B42)*(T_entrée[Quantité]))-SUMPRODUCT((T_epicerie[Référence]=$B42)*T_epicerie[Quantité])-SUMPRODUCT((T_GMS[Date de commande]=$B42)*T_GMS[Quantité])-SUMPRODUCT((T_Marchés[Date de commande]=$B42)*T_Marchés[Quantité]),0)</f>
        <v>37</v>
      </c>
      <c r="H42" s="7">
        <v>10</v>
      </c>
      <c r="I42" s="1" t="str">
        <f t="shared" si="7"/>
        <v/>
      </c>
      <c r="J42" s="21">
        <f t="shared" si="8"/>
        <v>4</v>
      </c>
      <c r="K42" s="16">
        <f t="shared" si="9"/>
        <v>148</v>
      </c>
      <c r="L42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43" spans="1:12" x14ac:dyDescent="0.25">
      <c r="A43" s="6">
        <f t="shared" si="6"/>
        <v>40</v>
      </c>
      <c r="B43" s="19" t="s">
        <v>91</v>
      </c>
      <c r="C43" s="20" t="str">
        <f t="shared" si="5"/>
        <v>Aubergine Pomme Agrume</v>
      </c>
      <c r="D43" s="6" t="str">
        <f t="shared" si="5"/>
        <v>Legumes</v>
      </c>
      <c r="E43" s="15" t="str">
        <f t="shared" si="5"/>
        <v>Permanent</v>
      </c>
      <c r="F43" s="14">
        <v>29</v>
      </c>
      <c r="G43" s="29">
        <f>IF($B43&lt;&gt;0,F43+SUMPRODUCT((T_entrée[DLUO]=$B43)*(T_entrée[Quantité]))-SUMPRODUCT((T_epicerie[Référence]=$B43)*T_epicerie[Quantité])-SUMPRODUCT((T_GMS[Date de commande]=$B43)*T_GMS[Quantité])-SUMPRODUCT((T_Marchés[Date de commande]=$B43)*T_Marchés[Quantité]),0)</f>
        <v>29</v>
      </c>
      <c r="H43" s="7">
        <v>10</v>
      </c>
      <c r="I43" s="1" t="str">
        <f t="shared" si="7"/>
        <v/>
      </c>
      <c r="J43" s="21">
        <f t="shared" si="8"/>
        <v>4</v>
      </c>
      <c r="K43" s="16">
        <f t="shared" si="9"/>
        <v>116</v>
      </c>
      <c r="L43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44" spans="1:12" x14ac:dyDescent="0.25">
      <c r="A44" s="6">
        <f t="shared" si="6"/>
        <v>41</v>
      </c>
      <c r="B44" s="19" t="s">
        <v>95</v>
      </c>
      <c r="C44" s="20" t="str">
        <f t="shared" ref="C44:E54" si="10">IF($B44&lt;&gt;"",VLOOKUP($B44,T_base,COLUMN()-1,FALSE),"")</f>
        <v>Poivron Pomme</v>
      </c>
      <c r="D44" s="6" t="str">
        <f t="shared" si="10"/>
        <v>Legumes</v>
      </c>
      <c r="E44" s="15" t="str">
        <f t="shared" si="10"/>
        <v>Permanent</v>
      </c>
      <c r="F44" s="14">
        <v>40</v>
      </c>
      <c r="G44" s="29">
        <f>IF($B44&lt;&gt;0,F44+SUMPRODUCT((T_entrée[DLUO]=$B44)*(T_entrée[Quantité]))-SUMPRODUCT((T_epicerie[Référence]=$B44)*T_epicerie[Quantité])-SUMPRODUCT((T_GMS[Date de commande]=$B44)*T_GMS[Quantité])-SUMPRODUCT((T_Marchés[Date de commande]=$B44)*T_Marchés[Quantité]),0)</f>
        <v>40</v>
      </c>
      <c r="H44" s="7">
        <v>10</v>
      </c>
      <c r="I44" s="1" t="str">
        <f t="shared" si="7"/>
        <v/>
      </c>
      <c r="J44" s="21">
        <f t="shared" si="8"/>
        <v>4</v>
      </c>
      <c r="K44" s="16">
        <f t="shared" si="9"/>
        <v>160</v>
      </c>
      <c r="L44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45" spans="1:12" x14ac:dyDescent="0.25">
      <c r="A45" s="6">
        <f t="shared" si="6"/>
        <v>42</v>
      </c>
      <c r="B45" s="19" t="s">
        <v>55</v>
      </c>
      <c r="C45" s="20" t="str">
        <f t="shared" si="10"/>
        <v>Tomate Poivron</v>
      </c>
      <c r="D45" s="6" t="str">
        <f t="shared" si="10"/>
        <v>Legumes</v>
      </c>
      <c r="E45" s="15" t="str">
        <f t="shared" si="10"/>
        <v>Edition limitée</v>
      </c>
      <c r="F45" s="14">
        <v>79</v>
      </c>
      <c r="G45" s="29">
        <f>IF($B45&lt;&gt;0,F45+SUMPRODUCT((T_entrée[DLUO]=$B45)*(T_entrée[Quantité]))-SUMPRODUCT((T_epicerie[Référence]=$B45)*T_epicerie[Quantité])-SUMPRODUCT((T_GMS[Date de commande]=$B45)*T_GMS[Quantité])-SUMPRODUCT((T_Marchés[Date de commande]=$B45)*T_Marchés[Quantité]),0)</f>
        <v>79</v>
      </c>
      <c r="H45" s="7">
        <v>10</v>
      </c>
      <c r="I45" s="1" t="str">
        <f t="shared" si="7"/>
        <v/>
      </c>
      <c r="J45" s="21">
        <f t="shared" si="8"/>
        <v>4</v>
      </c>
      <c r="K45" s="16">
        <f t="shared" si="9"/>
        <v>316</v>
      </c>
      <c r="L45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46" spans="1:12" x14ac:dyDescent="0.25">
      <c r="A46" s="6">
        <f t="shared" si="6"/>
        <v>43</v>
      </c>
      <c r="B46" s="19" t="s">
        <v>57</v>
      </c>
      <c r="C46" s="20" t="str">
        <f t="shared" si="10"/>
        <v xml:space="preserve">Tomate Pomme Céleri </v>
      </c>
      <c r="D46" s="6" t="str">
        <f t="shared" si="10"/>
        <v>Legumes</v>
      </c>
      <c r="E46" s="15" t="str">
        <f t="shared" si="10"/>
        <v>Edition limitée</v>
      </c>
      <c r="F46" s="14">
        <v>25</v>
      </c>
      <c r="G46" s="29">
        <f>IF($B46&lt;&gt;0,F46+SUMPRODUCT((T_entrée[DLUO]=$B46)*(T_entrée[Quantité]))-SUMPRODUCT((T_epicerie[Référence]=$B46)*T_epicerie[Quantité])-SUMPRODUCT((T_GMS[Date de commande]=$B46)*T_GMS[Quantité])-SUMPRODUCT((T_Marchés[Date de commande]=$B46)*T_Marchés[Quantité]),0)</f>
        <v>25</v>
      </c>
      <c r="H46" s="7">
        <v>10</v>
      </c>
      <c r="I46" s="1" t="str">
        <f t="shared" si="7"/>
        <v/>
      </c>
      <c r="J46" s="21">
        <f t="shared" si="8"/>
        <v>4</v>
      </c>
      <c r="K46" s="16">
        <f t="shared" si="9"/>
        <v>100</v>
      </c>
      <c r="L46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47" spans="1:12" x14ac:dyDescent="0.25">
      <c r="A47" s="6">
        <f t="shared" si="6"/>
        <v>44</v>
      </c>
      <c r="B47" s="19" t="s">
        <v>59</v>
      </c>
      <c r="C47" s="20" t="str">
        <f t="shared" si="10"/>
        <v xml:space="preserve">Tomate Raisin </v>
      </c>
      <c r="D47" s="6" t="str">
        <f t="shared" si="10"/>
        <v>Legumes</v>
      </c>
      <c r="E47" s="15" t="str">
        <f t="shared" si="10"/>
        <v>Edition limitée</v>
      </c>
      <c r="F47" s="14">
        <v>0</v>
      </c>
      <c r="G47" s="29">
        <f>IF($B47&lt;&gt;0,F47+SUMPRODUCT((T_entrée[DLUO]=$B47)*(T_entrée[Quantité]))-SUMPRODUCT((T_epicerie[Référence]=$B47)*T_epicerie[Quantité])-SUMPRODUCT((T_GMS[Date de commande]=$B47)*T_GMS[Quantité])-SUMPRODUCT((T_Marchés[Date de commande]=$B47)*T_Marchés[Quantité]),0)</f>
        <v>0</v>
      </c>
      <c r="H47" s="7">
        <v>10</v>
      </c>
      <c r="I47" s="1" t="str">
        <f t="shared" si="7"/>
        <v>ALERTE</v>
      </c>
      <c r="J47" s="21">
        <f t="shared" si="8"/>
        <v>4</v>
      </c>
      <c r="K47" s="16">
        <f t="shared" si="9"/>
        <v>0</v>
      </c>
      <c r="L47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48" spans="1:12" x14ac:dyDescent="0.25">
      <c r="A48" s="6">
        <f t="shared" si="6"/>
        <v>45</v>
      </c>
      <c r="B48" s="19" t="s">
        <v>97</v>
      </c>
      <c r="C48" s="20" t="str">
        <f t="shared" si="10"/>
        <v>Tomate Poivre</v>
      </c>
      <c r="D48" s="6" t="str">
        <f t="shared" si="10"/>
        <v>Legumes</v>
      </c>
      <c r="E48" s="15" t="str">
        <f t="shared" si="10"/>
        <v>Permanent</v>
      </c>
      <c r="F48" s="14">
        <v>217</v>
      </c>
      <c r="G48" s="29">
        <f>IF($B48&lt;&gt;0,F48+SUMPRODUCT((T_entrée[DLUO]=$B48)*(T_entrée[Quantité]))-SUMPRODUCT((T_epicerie[Référence]=$B48)*T_epicerie[Quantité])-SUMPRODUCT((T_GMS[Date de commande]=$B48)*T_GMS[Quantité])-SUMPRODUCT((T_Marchés[Date de commande]=$B48)*T_Marchés[Quantité]),0)</f>
        <v>217</v>
      </c>
      <c r="H48" s="7">
        <v>10</v>
      </c>
      <c r="I48" s="1" t="str">
        <f t="shared" si="7"/>
        <v/>
      </c>
      <c r="J48" s="21">
        <f t="shared" si="8"/>
        <v>4</v>
      </c>
      <c r="K48" s="16">
        <f t="shared" si="9"/>
        <v>868</v>
      </c>
      <c r="L48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49" spans="1:12" x14ac:dyDescent="0.25">
      <c r="A49" s="6">
        <f t="shared" si="6"/>
        <v>46</v>
      </c>
      <c r="B49" s="19" t="s">
        <v>61</v>
      </c>
      <c r="C49" s="20" t="str">
        <f t="shared" si="10"/>
        <v xml:space="preserve">Topinambourg Clémentine </v>
      </c>
      <c r="D49" s="6" t="str">
        <f t="shared" si="10"/>
        <v>Legumes</v>
      </c>
      <c r="E49" s="15" t="str">
        <f t="shared" si="10"/>
        <v>Edition limitée</v>
      </c>
      <c r="F49" s="14">
        <v>16</v>
      </c>
      <c r="G49" s="29">
        <f>IF($B49&lt;&gt;0,F49+SUMPRODUCT((T_entrée[DLUO]=$B49)*(T_entrée[Quantité]))-SUMPRODUCT((T_epicerie[Référence]=$B49)*T_epicerie[Quantité])-SUMPRODUCT((T_GMS[Date de commande]=$B49)*T_GMS[Quantité])-SUMPRODUCT((T_Marchés[Date de commande]=$B49)*T_Marchés[Quantité]),0)</f>
        <v>16</v>
      </c>
      <c r="H49" s="7">
        <v>10</v>
      </c>
      <c r="I49" s="1" t="str">
        <f t="shared" si="7"/>
        <v/>
      </c>
      <c r="J49" s="21">
        <f t="shared" si="8"/>
        <v>4</v>
      </c>
      <c r="K49" s="16">
        <f t="shared" si="9"/>
        <v>64</v>
      </c>
      <c r="L49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50" spans="1:12" x14ac:dyDescent="0.25">
      <c r="A50" s="6">
        <f t="shared" si="6"/>
        <v>47</v>
      </c>
      <c r="B50" s="19" t="s">
        <v>47</v>
      </c>
      <c r="C50" s="20" t="str">
        <f t="shared" si="10"/>
        <v>Carotte agrume</v>
      </c>
      <c r="D50" s="6" t="str">
        <f t="shared" si="10"/>
        <v>Legumes</v>
      </c>
      <c r="E50" s="15" t="str">
        <f t="shared" si="10"/>
        <v>Edition limitée</v>
      </c>
      <c r="F50" s="14">
        <v>40</v>
      </c>
      <c r="G50" s="29">
        <f>IF($B50&lt;&gt;0,F50+SUMPRODUCT((T_entrée[DLUO]=$B50)*(T_entrée[Quantité]))-SUMPRODUCT((T_epicerie[Référence]=$B50)*T_epicerie[Quantité])-SUMPRODUCT((T_GMS[Date de commande]=$B50)*T_GMS[Quantité])-SUMPRODUCT((T_Marchés[Date de commande]=$B50)*T_Marchés[Quantité]),0)</f>
        <v>40</v>
      </c>
      <c r="H50" s="7">
        <v>10</v>
      </c>
      <c r="I50" s="1" t="str">
        <f t="shared" si="7"/>
        <v/>
      </c>
      <c r="J50" s="21">
        <f t="shared" si="8"/>
        <v>4</v>
      </c>
      <c r="K50" s="16">
        <f t="shared" si="9"/>
        <v>160</v>
      </c>
      <c r="L50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51" spans="1:12" x14ac:dyDescent="0.25">
      <c r="A51" s="6">
        <f>IF(ISNUMBER(A50),A50+1,1)</f>
        <v>48</v>
      </c>
      <c r="B51" s="20" t="s">
        <v>131</v>
      </c>
      <c r="C51" s="20" t="str">
        <f t="shared" si="10"/>
        <v>Fruits rouges Pomme</v>
      </c>
      <c r="D51" s="6" t="str">
        <f t="shared" si="10"/>
        <v>Classique</v>
      </c>
      <c r="E51" s="15" t="str">
        <f t="shared" si="10"/>
        <v>Edition limitée</v>
      </c>
      <c r="F51" s="14">
        <v>0</v>
      </c>
      <c r="G51" s="29">
        <f>IF($B51&lt;&gt;0,F51+SUMPRODUCT((T_entrée[DLUO]=$B51)*(T_entrée[Quantité]))-SUMPRODUCT((T_epicerie[Référence]=$B51)*T_epicerie[Quantité])-SUMPRODUCT((T_GMS[Date de commande]=$B51)*T_GMS[Quantité])-SUMPRODUCT((T_Marchés[Date de commande]=$B51)*T_Marchés[Quantité]),0)</f>
        <v>0</v>
      </c>
      <c r="H51" s="7">
        <v>10</v>
      </c>
      <c r="I51" s="1" t="str">
        <f t="shared" si="7"/>
        <v>ALERTE</v>
      </c>
      <c r="J51" s="21">
        <f t="shared" si="8"/>
        <v>4</v>
      </c>
      <c r="K51" s="16">
        <f t="shared" si="9"/>
        <v>0</v>
      </c>
      <c r="L51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52" spans="1:12" x14ac:dyDescent="0.25">
      <c r="A52" s="6">
        <f>IF(ISNUMBER(A51),A51+1,1)</f>
        <v>49</v>
      </c>
      <c r="B52" s="20" t="s">
        <v>133</v>
      </c>
      <c r="C52" s="20" t="str">
        <f t="shared" si="10"/>
        <v>Pomme citron vert</v>
      </c>
      <c r="D52" s="6" t="str">
        <f t="shared" si="10"/>
        <v>Classique</v>
      </c>
      <c r="E52" s="15" t="str">
        <f t="shared" si="10"/>
        <v>Edition limitée</v>
      </c>
      <c r="F52" s="14">
        <v>0</v>
      </c>
      <c r="G52" s="29">
        <f>IF($B52&lt;&gt;0,F52+SUMPRODUCT((T_entrée[DLUO]=$B52)*(T_entrée[Quantité]))-SUMPRODUCT((T_epicerie[Référence]=$B52)*T_epicerie[Quantité])-SUMPRODUCT((T_GMS[Date de commande]=$B52)*T_GMS[Quantité])-SUMPRODUCT((T_Marchés[Date de commande]=$B52)*T_Marchés[Quantité]),0)</f>
        <v>0</v>
      </c>
      <c r="H52" s="7">
        <v>10</v>
      </c>
      <c r="I52" s="1" t="str">
        <f t="shared" si="7"/>
        <v>ALERTE</v>
      </c>
      <c r="J52" s="21">
        <f t="shared" si="8"/>
        <v>4</v>
      </c>
      <c r="K52" s="16">
        <f t="shared" si="9"/>
        <v>0</v>
      </c>
      <c r="L52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53" spans="1:12" x14ac:dyDescent="0.25">
      <c r="A53" s="6">
        <f>IF(ISNUMBER(A52),A52+1,1)</f>
        <v>50</v>
      </c>
      <c r="B53" s="20" t="s">
        <v>135</v>
      </c>
      <c r="C53" s="20" t="str">
        <f t="shared" si="10"/>
        <v>Fenouil Pomme Orange</v>
      </c>
      <c r="D53" s="6" t="str">
        <f t="shared" si="10"/>
        <v>Legumes</v>
      </c>
      <c r="E53" s="15" t="str">
        <f t="shared" si="10"/>
        <v>Edition limitée</v>
      </c>
      <c r="F53" s="14">
        <v>0</v>
      </c>
      <c r="G53" s="29">
        <f>IF($B53&lt;&gt;0,F53+SUMPRODUCT((T_entrée[DLUO]=$B53)*(T_entrée[Quantité]))-SUMPRODUCT((T_epicerie[Référence]=$B53)*T_epicerie[Quantité])-SUMPRODUCT((T_GMS[Date de commande]=$B53)*T_GMS[Quantité])-SUMPRODUCT((T_Marchés[Date de commande]=$B53)*T_Marchés[Quantité]),0)</f>
        <v>0</v>
      </c>
      <c r="H53" s="7">
        <v>10</v>
      </c>
      <c r="I53" s="1" t="str">
        <f t="shared" si="7"/>
        <v>ALERTE</v>
      </c>
      <c r="J53" s="21">
        <f t="shared" si="8"/>
        <v>4</v>
      </c>
      <c r="K53" s="16">
        <f t="shared" si="9"/>
        <v>0</v>
      </c>
      <c r="L53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54" spans="1:12" x14ac:dyDescent="0.25">
      <c r="A54" s="6">
        <f>IF(ISNUMBER(A53),A53+1,1)</f>
        <v>51</v>
      </c>
      <c r="B54" s="6"/>
      <c r="C54" s="20" t="str">
        <f t="shared" si="10"/>
        <v/>
      </c>
      <c r="D54" s="6" t="str">
        <f t="shared" si="10"/>
        <v/>
      </c>
      <c r="E54" s="15" t="str">
        <f t="shared" si="10"/>
        <v/>
      </c>
      <c r="F54" s="15"/>
      <c r="G54" s="29">
        <f>IF($B54&lt;&gt;0,F54+SUMPRODUCT((T_entrée[DLUO]=$B54)*(T_entrée[Quantité]))-SUMPRODUCT((T_epicerie[Référence]=$B54)*T_epicerie[Quantité])-SUMPRODUCT((T_GMS[Date de commande]=$B54)*T_GMS[Quantité])-SUMPRODUCT((T_Marchés[Date de commande]=$B54)*T_Marchés[Quantité]),0)</f>
        <v>0</v>
      </c>
      <c r="H54" s="7">
        <v>10</v>
      </c>
      <c r="I54" s="1" t="str">
        <f t="shared" si="7"/>
        <v>ALERTE</v>
      </c>
      <c r="J54" s="21" t="str">
        <f t="shared" si="8"/>
        <v/>
      </c>
      <c r="K54" s="16" t="str">
        <f t="shared" si="9"/>
        <v/>
      </c>
      <c r="L54" s="8" t="str">
        <f>IFERROR(SUMPRODUCT(SMALL((T_entrée[Référence]=T_stock[[#This Row],[Référence ]])*(T_entrée[DLUO]),COUNTA(T_entrée[DLUO])-COUNTIF(T_entrée[Référence],T_stock[[#This Row],[Référence ]])+1)),"")</f>
        <v/>
      </c>
    </row>
    <row r="55" spans="1:12" x14ac:dyDescent="0.25">
      <c r="B55" s="10" t="s">
        <v>115</v>
      </c>
      <c r="C55" s="10"/>
      <c r="D55" s="10"/>
      <c r="F55" s="5"/>
      <c r="G55" s="26">
        <f>SUBTOTAL(109,T_stock[STOCK])</f>
        <v>769</v>
      </c>
      <c r="H55">
        <f>SUBTOTAL(109,T_stock[Stock de couverture])</f>
        <v>510</v>
      </c>
      <c r="J55" s="16">
        <f>SUBTOTAL(109,T_stock[Valeur unitaire de vente])</f>
        <v>200</v>
      </c>
      <c r="K55" s="16">
        <f>SUBTOTAL(109,T_stock[Valeur de vente du stock])</f>
        <v>3076</v>
      </c>
    </row>
    <row r="56" spans="1:12" x14ac:dyDescent="0.25">
      <c r="A56" s="6"/>
      <c r="B56" s="6"/>
      <c r="C56" s="6"/>
      <c r="D56" s="12"/>
      <c r="E56" s="15"/>
    </row>
  </sheetData>
  <mergeCells count="1">
    <mergeCell ref="A1:K1"/>
  </mergeCells>
  <conditionalFormatting sqref="I4:I54">
    <cfRule type="containsText" dxfId="51" priority="1" operator="containsText" text="ALERTE">
      <formula>NOT(ISERROR(SEARCH("ALERTE",I4)))</formula>
    </cfRule>
  </conditionalFormatting>
  <dataValidations count="1">
    <dataValidation type="list" allowBlank="1" showInputMessage="1" showErrorMessage="1" sqref="B4:B54">
      <formula1>Référence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9FFF"/>
  </sheetPr>
  <dimension ref="A1:L7"/>
  <sheetViews>
    <sheetView zoomScale="80" zoomScaleNormal="80" workbookViewId="0">
      <selection activeCell="F7" sqref="F7"/>
    </sheetView>
  </sheetViews>
  <sheetFormatPr baseColWidth="10" defaultRowHeight="15" x14ac:dyDescent="0.25"/>
  <cols>
    <col min="1" max="1" width="22.42578125" bestFit="1" customWidth="1"/>
    <col min="2" max="2" width="15.85546875" bestFit="1" customWidth="1"/>
    <col min="3" max="3" width="22.140625" bestFit="1" customWidth="1"/>
    <col min="4" max="4" width="15.28515625" bestFit="1" customWidth="1"/>
    <col min="5" max="5" width="14.140625" bestFit="1" customWidth="1"/>
    <col min="6" max="7" width="27.140625" customWidth="1"/>
    <col min="8" max="8" width="14.5703125" bestFit="1" customWidth="1"/>
    <col min="9" max="9" width="20.140625" customWidth="1"/>
    <col min="10" max="10" width="12.5703125" customWidth="1"/>
    <col min="11" max="11" width="24.85546875" customWidth="1"/>
  </cols>
  <sheetData>
    <row r="1" spans="1:12" ht="19.5" thickBot="1" x14ac:dyDescent="0.35">
      <c r="A1" s="73"/>
      <c r="B1" s="73"/>
      <c r="C1" s="73"/>
      <c r="D1" s="73"/>
      <c r="E1" s="73"/>
      <c r="F1" s="73"/>
      <c r="G1" s="73"/>
      <c r="H1" s="73"/>
      <c r="I1" s="73"/>
      <c r="J1" s="73"/>
      <c r="K1" s="74"/>
      <c r="L1" s="18"/>
    </row>
    <row r="3" spans="1:12" ht="30" x14ac:dyDescent="0.25">
      <c r="A3" s="37" t="s">
        <v>179</v>
      </c>
      <c r="B3" s="37" t="s">
        <v>6</v>
      </c>
      <c r="C3" s="37" t="s">
        <v>2</v>
      </c>
      <c r="D3" s="37" t="s">
        <v>113</v>
      </c>
      <c r="E3" s="37" t="s">
        <v>4</v>
      </c>
      <c r="F3" s="38" t="s">
        <v>109</v>
      </c>
      <c r="G3" s="38" t="s">
        <v>180</v>
      </c>
      <c r="H3" s="37" t="s">
        <v>110</v>
      </c>
      <c r="I3" s="38" t="s">
        <v>145</v>
      </c>
      <c r="J3" s="39" t="s">
        <v>129</v>
      </c>
    </row>
    <row r="4" spans="1:12" x14ac:dyDescent="0.25">
      <c r="A4" s="8" t="s">
        <v>123</v>
      </c>
      <c r="B4" s="8" t="s">
        <v>69</v>
      </c>
      <c r="C4" s="9" t="str">
        <f>IF($B4&lt;&gt;0,VLOOKUP($B4,T_base,COLUMN()-1,FALSE),"")</f>
        <v>Agrume</v>
      </c>
      <c r="D4" s="9" t="str">
        <f>IF($B4&lt;&gt;0,VLOOKUP($B4,T_base,COLUMN()-1,FALSE),"")</f>
        <v>Classique</v>
      </c>
      <c r="E4" s="9" t="str">
        <f>IF($B4&lt;&gt;0,VLOOKUP($B4,T_base,COLUMN()-1,FALSE),"")</f>
        <v>Permanent</v>
      </c>
      <c r="F4" t="s">
        <v>184</v>
      </c>
      <c r="G4" s="8">
        <v>42049</v>
      </c>
      <c r="H4">
        <v>200</v>
      </c>
      <c r="I4" s="5">
        <f>IF($B4&lt;&gt;0,VLOOKUP($B4,T_base,COLUMN()-4,FALSE),"")</f>
        <v>2</v>
      </c>
      <c r="J4" s="5">
        <f>IF(T_epicerie[[#This Row],[Référence]]&lt;&gt;"",T_epicerie[Prix unitaire de vente]*T_epicerie[Quantité],"")</f>
        <v>400</v>
      </c>
    </row>
    <row r="5" spans="1:12" x14ac:dyDescent="0.25">
      <c r="A5" s="8" t="s">
        <v>124</v>
      </c>
      <c r="B5" s="8" t="s">
        <v>177</v>
      </c>
      <c r="C5" s="9" t="str">
        <f>IF($B5&lt;&gt;0,VLOOKUP($B5,T_base,COLUMN()-1,FALSE),"")</f>
        <v>Ananas</v>
      </c>
      <c r="D5" s="9" t="str">
        <f>IF($B5&lt;&gt;0,VLOOKUP($B5,T_base,COLUMN()-1,FALSE),"")</f>
        <v>Classique</v>
      </c>
      <c r="E5" s="9" t="str">
        <f>IF($B5&lt;&gt;0,VLOOKUP($B5,T_base,COLUMN()-1,FALSE),"")</f>
        <v>Permanent</v>
      </c>
      <c r="F5" t="s">
        <v>185</v>
      </c>
      <c r="G5" s="8">
        <v>42138</v>
      </c>
      <c r="H5">
        <v>250</v>
      </c>
      <c r="I5" s="5">
        <f>IF($B5&lt;&gt;0,VLOOKUP($B5,T_base,COLUMN()-4,FALSE),"")</f>
        <v>2</v>
      </c>
      <c r="J5" s="5">
        <f>IF(T_epicerie[[#This Row],[Référence]]&lt;&gt;"",T_epicerie[Prix unitaire de vente]*T_epicerie[Quantité],"")</f>
        <v>500</v>
      </c>
    </row>
    <row r="6" spans="1:12" x14ac:dyDescent="0.25">
      <c r="A6" s="8" t="s">
        <v>183</v>
      </c>
      <c r="B6" s="8" t="s">
        <v>178</v>
      </c>
      <c r="C6" s="9" t="str">
        <f>IF($B6&lt;&gt;0,VLOOKUP($B6,T_base,COLUMN()-1,FALSE),"")</f>
        <v xml:space="preserve">Mangue </v>
      </c>
      <c r="D6" s="9" t="str">
        <f>IF($B6&lt;&gt;0,VLOOKUP($B6,T_base,COLUMN()-1,FALSE),"")</f>
        <v>Classique</v>
      </c>
      <c r="E6" s="9" t="str">
        <f>IF($B6&lt;&gt;0,VLOOKUP($B6,T_base,COLUMN()-1,FALSE),"")</f>
        <v>Permanent</v>
      </c>
      <c r="F6" t="s">
        <v>186</v>
      </c>
      <c r="G6" s="8">
        <v>42420</v>
      </c>
      <c r="H6">
        <v>1000</v>
      </c>
      <c r="I6" s="5">
        <f>IF($B6&lt;&gt;0,VLOOKUP($B6,T_base,COLUMN()-4,FALSE),"")</f>
        <v>2</v>
      </c>
      <c r="J6" s="5">
        <f>IF(T_epicerie[[#This Row],[Référence]]&lt;&gt;"",T_epicerie[Prix unitaire de vente]*T_epicerie[Quantité],"")</f>
        <v>2000</v>
      </c>
    </row>
    <row r="7" spans="1:12" x14ac:dyDescent="0.25">
      <c r="H7">
        <f>SUBTOTAL(103,T_epicerie[Quantité])</f>
        <v>3</v>
      </c>
    </row>
  </sheetData>
  <mergeCells count="1">
    <mergeCell ref="A1:K1"/>
  </mergeCell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données'!$I$2:$I$5</xm:f>
          </x14:formula1>
          <xm:sqref>A4:A6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9FFF"/>
  </sheetPr>
  <dimension ref="A1:K5"/>
  <sheetViews>
    <sheetView zoomScale="80" zoomScaleNormal="80" workbookViewId="0">
      <selection activeCell="F10" sqref="F10"/>
    </sheetView>
  </sheetViews>
  <sheetFormatPr baseColWidth="10" defaultRowHeight="15" x14ac:dyDescent="0.25"/>
  <cols>
    <col min="1" max="5" width="20.85546875" customWidth="1"/>
    <col min="6" max="6" width="25.140625" customWidth="1"/>
    <col min="7" max="7" width="22.85546875" customWidth="1"/>
    <col min="8" max="8" width="34" customWidth="1"/>
    <col min="9" max="9" width="15.42578125" customWidth="1"/>
    <col min="10" max="10" width="16.140625" customWidth="1"/>
  </cols>
  <sheetData>
    <row r="1" spans="1:11" ht="19.5" thickBot="1" x14ac:dyDescent="0.35">
      <c r="A1" s="73"/>
      <c r="B1" s="73"/>
      <c r="C1" s="73"/>
      <c r="D1" s="73"/>
      <c r="E1" s="73"/>
      <c r="F1" s="73"/>
      <c r="G1" s="73"/>
      <c r="H1" s="73"/>
      <c r="I1" s="73"/>
      <c r="J1" s="74"/>
      <c r="K1" s="18"/>
    </row>
    <row r="3" spans="1:11" ht="30" x14ac:dyDescent="0.25">
      <c r="A3" s="37" t="s">
        <v>137</v>
      </c>
      <c r="B3" s="37" t="s">
        <v>6</v>
      </c>
      <c r="C3" s="37" t="s">
        <v>2</v>
      </c>
      <c r="D3" s="37" t="s">
        <v>113</v>
      </c>
      <c r="E3" s="37" t="s">
        <v>4</v>
      </c>
      <c r="F3" s="37" t="s">
        <v>109</v>
      </c>
      <c r="G3" s="37" t="s">
        <v>181</v>
      </c>
      <c r="H3" s="37" t="s">
        <v>110</v>
      </c>
      <c r="I3" s="38" t="s">
        <v>145</v>
      </c>
      <c r="J3" s="39" t="s">
        <v>129</v>
      </c>
    </row>
    <row r="4" spans="1:11" x14ac:dyDescent="0.25">
      <c r="A4" t="s">
        <v>127</v>
      </c>
      <c r="B4" t="s">
        <v>171</v>
      </c>
      <c r="C4" t="str">
        <f>IF($B4&lt;&gt;0,VLOOKUP($B4,T_base,COLUMN()-1,FALSE),"")</f>
        <v>Agrume</v>
      </c>
      <c r="D4" t="str">
        <f>IF($B4&lt;&gt;0,VLOOKUP($B4,T_base,COLUMN()-1,FALSE),"")</f>
        <v>Classique</v>
      </c>
      <c r="E4" t="str">
        <f>IF($B4&lt;&gt;0,VLOOKUP($B4,T_base,COLUMN()-1,FALSE),"")</f>
        <v>Permanent</v>
      </c>
      <c r="F4" t="s">
        <v>187</v>
      </c>
      <c r="G4" s="8">
        <v>42114</v>
      </c>
      <c r="H4">
        <v>100</v>
      </c>
      <c r="I4" s="31">
        <f>IF($B4&lt;&gt;0,VLOOKUP($B4,T_base,COLUMN()-4,FALSE),"")</f>
        <v>2</v>
      </c>
      <c r="J4" s="5">
        <f>I4*H4</f>
        <v>200</v>
      </c>
    </row>
    <row r="5" spans="1:11" x14ac:dyDescent="0.25">
      <c r="H5">
        <f>SUBTOTAL(103,T_GMS[Quantité])</f>
        <v>1</v>
      </c>
      <c r="J5" s="5">
        <f>SUBTOTAL(109,T_GMS[[Prix ]])</f>
        <v>200</v>
      </c>
    </row>
  </sheetData>
  <mergeCells count="1">
    <mergeCell ref="A1:J1"/>
  </mergeCells>
  <dataValidations count="1">
    <dataValidation type="list" allowBlank="1" showInputMessage="1" showErrorMessage="1" sqref="A4">
      <formula1>GMS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9FFF"/>
  </sheetPr>
  <dimension ref="A1:K5"/>
  <sheetViews>
    <sheetView zoomScale="80" zoomScaleNormal="80" workbookViewId="0">
      <selection activeCell="F5" sqref="F5"/>
    </sheetView>
  </sheetViews>
  <sheetFormatPr baseColWidth="10" defaultRowHeight="15" x14ac:dyDescent="0.25"/>
  <cols>
    <col min="1" max="5" width="20.85546875" customWidth="1"/>
    <col min="6" max="6" width="25.140625" customWidth="1"/>
    <col min="7" max="7" width="22.85546875" customWidth="1"/>
    <col min="8" max="8" width="34" customWidth="1"/>
    <col min="9" max="9" width="15.42578125" customWidth="1"/>
    <col min="10" max="10" width="16.140625" customWidth="1"/>
  </cols>
  <sheetData>
    <row r="1" spans="1:11" ht="19.5" thickBot="1" x14ac:dyDescent="0.35">
      <c r="A1" s="73"/>
      <c r="B1" s="73"/>
      <c r="C1" s="73"/>
      <c r="D1" s="73"/>
      <c r="E1" s="73"/>
      <c r="F1" s="73"/>
      <c r="G1" s="73"/>
      <c r="H1" s="73"/>
      <c r="I1" s="73"/>
      <c r="J1" s="74"/>
      <c r="K1" s="18"/>
    </row>
    <row r="3" spans="1:11" ht="30" x14ac:dyDescent="0.25">
      <c r="A3" s="37" t="s">
        <v>182</v>
      </c>
      <c r="B3" s="37" t="s">
        <v>6</v>
      </c>
      <c r="C3" s="37" t="s">
        <v>2</v>
      </c>
      <c r="D3" s="37" t="s">
        <v>113</v>
      </c>
      <c r="E3" s="37" t="s">
        <v>4</v>
      </c>
      <c r="F3" s="37" t="s">
        <v>109</v>
      </c>
      <c r="G3" s="37" t="s">
        <v>181</v>
      </c>
      <c r="H3" s="37" t="s">
        <v>110</v>
      </c>
      <c r="I3" s="38" t="s">
        <v>145</v>
      </c>
      <c r="J3" s="39" t="s">
        <v>129</v>
      </c>
    </row>
    <row r="4" spans="1:11" x14ac:dyDescent="0.25">
      <c r="A4" t="s">
        <v>141</v>
      </c>
      <c r="B4" t="s">
        <v>171</v>
      </c>
      <c r="C4" t="str">
        <f>IF($B4&lt;&gt;0,VLOOKUP($B4,T_base,COLUMN()-1,FALSE),"")</f>
        <v>Agrume</v>
      </c>
      <c r="D4" t="str">
        <f>IF($B4&lt;&gt;0,VLOOKUP($B4,T_base,COLUMN()-1,FALSE),"")</f>
        <v>Classique</v>
      </c>
      <c r="E4" t="str">
        <f>IF($B4&lt;&gt;0,VLOOKUP($B4,T_base,COLUMN()-1,FALSE),"")</f>
        <v>Permanent</v>
      </c>
      <c r="F4" t="s">
        <v>188</v>
      </c>
      <c r="G4" s="8">
        <v>42571</v>
      </c>
      <c r="H4">
        <v>200</v>
      </c>
      <c r="I4" s="31">
        <f>IF($B4&lt;&gt;0,VLOOKUP($B4,T_base,COLUMN()-4,FALSE),"")</f>
        <v>2</v>
      </c>
      <c r="J4" s="5">
        <f>I4*H4</f>
        <v>400</v>
      </c>
    </row>
    <row r="5" spans="1:11" x14ac:dyDescent="0.25">
      <c r="H5">
        <f>SUBTOTAL(103,T_Marchés[Quantité])</f>
        <v>1</v>
      </c>
      <c r="J5" s="5">
        <f>SUBTOTAL(109,T_Marchés[[Prix ]])</f>
        <v>400</v>
      </c>
    </row>
  </sheetData>
  <mergeCells count="1">
    <mergeCell ref="A1:J1"/>
  </mergeCells>
  <dataValidations count="1">
    <dataValidation type="list" allowBlank="1" showInputMessage="1" showErrorMessage="1" sqref="A4">
      <formula1>Marché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FFF"/>
  </sheetPr>
  <dimension ref="A1:L5"/>
  <sheetViews>
    <sheetView workbookViewId="0">
      <selection activeCell="D18" sqref="D18"/>
    </sheetView>
  </sheetViews>
  <sheetFormatPr baseColWidth="10" defaultRowHeight="15" x14ac:dyDescent="0.25"/>
  <cols>
    <col min="1" max="2" width="13.7109375" customWidth="1"/>
    <col min="4" max="4" width="12.28515625" customWidth="1"/>
    <col min="5" max="5" width="18.140625" customWidth="1"/>
    <col min="6" max="6" width="11.7109375" customWidth="1"/>
    <col min="7" max="7" width="14.85546875" customWidth="1"/>
    <col min="10" max="10" width="14" customWidth="1"/>
    <col min="11" max="11" width="14.42578125" customWidth="1"/>
  </cols>
  <sheetData>
    <row r="1" spans="1:12" ht="18.75" x14ac:dyDescent="0.3">
      <c r="A1" s="75" t="s">
        <v>164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3" spans="1:12" ht="48" customHeight="1" x14ac:dyDescent="0.25">
      <c r="A3" s="49" t="s">
        <v>118</v>
      </c>
      <c r="B3" s="49" t="s">
        <v>165</v>
      </c>
      <c r="C3" s="50" t="s">
        <v>111</v>
      </c>
      <c r="D3" s="49" t="s">
        <v>6</v>
      </c>
      <c r="E3" s="49" t="s">
        <v>2</v>
      </c>
      <c r="F3" s="49" t="s">
        <v>113</v>
      </c>
      <c r="G3" s="49" t="s">
        <v>4</v>
      </c>
      <c r="H3" s="50" t="s">
        <v>110</v>
      </c>
      <c r="I3" s="49" t="s">
        <v>130</v>
      </c>
      <c r="J3" s="49" t="s">
        <v>145</v>
      </c>
      <c r="K3" s="49" t="s">
        <v>168</v>
      </c>
      <c r="L3" s="49" t="s">
        <v>166</v>
      </c>
    </row>
    <row r="4" spans="1:12" x14ac:dyDescent="0.25">
      <c r="B4" s="8"/>
      <c r="E4" t="str">
        <f>IF($D4&lt;&gt;"",VLOOKUP($D4, T_base,COLUMN()-3,FALSE),"")</f>
        <v/>
      </c>
      <c r="F4" t="str">
        <f>IF($D4&lt;&gt;"",VLOOKUP($D4, T_base,COLUMN()-3,FALSE),"")</f>
        <v/>
      </c>
      <c r="G4" t="str">
        <f>IF($D4&lt;&gt;"",VLOOKUP($D4, T_base,COLUMN()-3,FALSE),"")</f>
        <v/>
      </c>
      <c r="J4" s="48" t="str">
        <f>IF($D4&lt;&gt;"",VLOOKUP($D4,T_base,COLUMN()-5,FALSE),"")</f>
        <v/>
      </c>
      <c r="K4" s="48" t="str">
        <f>IF(H4&lt;&gt;"",H4*J4,"")</f>
        <v/>
      </c>
    </row>
    <row r="5" spans="1:12" x14ac:dyDescent="0.25">
      <c r="A5" t="s">
        <v>115</v>
      </c>
      <c r="L5">
        <f>SUBTOTAL(103,Tableau12[Date de livraison])</f>
        <v>0</v>
      </c>
    </row>
  </sheetData>
  <mergeCells count="1">
    <mergeCell ref="A1:L1"/>
  </mergeCells>
  <dataValidations count="1">
    <dataValidation type="list" showInputMessage="1" showErrorMessage="1" sqref="D4">
      <formula1>Référence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J97"/>
  <sheetViews>
    <sheetView zoomScale="80" zoomScaleNormal="80" workbookViewId="0">
      <selection activeCell="I4" sqref="I4"/>
    </sheetView>
  </sheetViews>
  <sheetFormatPr baseColWidth="10" defaultRowHeight="15" x14ac:dyDescent="0.25"/>
  <cols>
    <col min="1" max="1" width="17.42578125" customWidth="1"/>
    <col min="2" max="2" width="18.140625" customWidth="1"/>
    <col min="3" max="3" width="34" customWidth="1"/>
    <col min="4" max="4" width="25" customWidth="1"/>
    <col min="5" max="5" width="15.28515625" customWidth="1"/>
    <col min="6" max="6" width="18.7109375" customWidth="1"/>
    <col min="7" max="7" width="18" customWidth="1"/>
    <col min="8" max="8" width="5.28515625" style="24" customWidth="1"/>
    <col min="9" max="9" width="15.140625" customWidth="1"/>
    <col min="10" max="10" width="14.42578125" customWidth="1"/>
  </cols>
  <sheetData>
    <row r="1" spans="1:10" s="13" customFormat="1" ht="18.75" x14ac:dyDescent="0.3">
      <c r="A1" s="30" t="s">
        <v>117</v>
      </c>
      <c r="B1" s="30" t="s">
        <v>6</v>
      </c>
      <c r="C1" s="30" t="s">
        <v>2</v>
      </c>
      <c r="D1" s="30" t="s">
        <v>5</v>
      </c>
      <c r="E1" s="30" t="s">
        <v>4</v>
      </c>
      <c r="F1" s="30" t="s">
        <v>107</v>
      </c>
      <c r="G1" s="30" t="s">
        <v>114</v>
      </c>
      <c r="H1" s="22"/>
      <c r="I1" s="17" t="s">
        <v>119</v>
      </c>
      <c r="J1" s="17" t="s">
        <v>137</v>
      </c>
    </row>
    <row r="2" spans="1:10" x14ac:dyDescent="0.25">
      <c r="A2" s="10">
        <f t="shared" ref="A2:A27" si="0">IF(ISNUMBER(A1),A1+1,1)</f>
        <v>1</v>
      </c>
      <c r="B2" s="3" t="s">
        <v>69</v>
      </c>
      <c r="C2" s="2" t="s">
        <v>68</v>
      </c>
      <c r="D2" t="s">
        <v>8</v>
      </c>
      <c r="E2" s="1" t="s">
        <v>62</v>
      </c>
      <c r="F2" s="5">
        <v>2</v>
      </c>
      <c r="G2" s="5">
        <v>4</v>
      </c>
      <c r="H2" s="23"/>
      <c r="I2" s="5" t="s">
        <v>108</v>
      </c>
      <c r="J2" s="5" t="s">
        <v>125</v>
      </c>
    </row>
    <row r="3" spans="1:10" x14ac:dyDescent="0.25">
      <c r="A3" s="10">
        <f t="shared" si="0"/>
        <v>2</v>
      </c>
      <c r="B3" s="3" t="s">
        <v>71</v>
      </c>
      <c r="C3" s="2" t="s">
        <v>70</v>
      </c>
      <c r="D3" t="s">
        <v>8</v>
      </c>
      <c r="E3" s="1" t="s">
        <v>62</v>
      </c>
      <c r="F3" s="5">
        <v>2</v>
      </c>
      <c r="G3" s="5">
        <v>4</v>
      </c>
      <c r="H3" s="23"/>
      <c r="I3" s="5" t="s">
        <v>123</v>
      </c>
      <c r="J3" s="5" t="s">
        <v>126</v>
      </c>
    </row>
    <row r="4" spans="1:10" x14ac:dyDescent="0.25">
      <c r="A4" s="10">
        <f t="shared" si="0"/>
        <v>3</v>
      </c>
      <c r="B4" s="3" t="s">
        <v>73</v>
      </c>
      <c r="C4" s="2" t="s">
        <v>72</v>
      </c>
      <c r="D4" t="s">
        <v>8</v>
      </c>
      <c r="E4" s="1" t="s">
        <v>62</v>
      </c>
      <c r="F4" s="5">
        <v>2</v>
      </c>
      <c r="G4" s="5">
        <v>4</v>
      </c>
      <c r="H4" s="23"/>
      <c r="I4" s="5" t="s">
        <v>124</v>
      </c>
      <c r="J4" s="5" t="s">
        <v>127</v>
      </c>
    </row>
    <row r="5" spans="1:10" x14ac:dyDescent="0.25">
      <c r="A5" s="10">
        <f t="shared" si="0"/>
        <v>4</v>
      </c>
      <c r="B5" s="3" t="s">
        <v>13</v>
      </c>
      <c r="C5" s="2" t="s">
        <v>12</v>
      </c>
      <c r="D5" t="s">
        <v>8</v>
      </c>
      <c r="E5" s="1" t="s">
        <v>7</v>
      </c>
      <c r="F5" s="5">
        <v>2</v>
      </c>
      <c r="G5" s="5">
        <v>4</v>
      </c>
      <c r="H5" s="23"/>
      <c r="I5" s="5"/>
      <c r="J5" s="5" t="s">
        <v>128</v>
      </c>
    </row>
    <row r="6" spans="1:10" x14ac:dyDescent="0.25">
      <c r="A6" s="10">
        <f t="shared" si="0"/>
        <v>5</v>
      </c>
      <c r="B6" s="3" t="s">
        <v>15</v>
      </c>
      <c r="C6" s="2" t="s">
        <v>14</v>
      </c>
      <c r="D6" t="s">
        <v>8</v>
      </c>
      <c r="E6" s="1" t="s">
        <v>7</v>
      </c>
      <c r="F6" s="5">
        <v>2</v>
      </c>
      <c r="G6" s="5">
        <v>4</v>
      </c>
      <c r="H6" s="23"/>
      <c r="I6">
        <f>SUBTOTAL(103,T_épiceries[Epicerie])</f>
        <v>3</v>
      </c>
      <c r="J6" s="5"/>
    </row>
    <row r="7" spans="1:10" x14ac:dyDescent="0.25">
      <c r="A7" s="10">
        <f t="shared" si="0"/>
        <v>6</v>
      </c>
      <c r="B7" s="3" t="s">
        <v>17</v>
      </c>
      <c r="C7" s="2" t="s">
        <v>16</v>
      </c>
      <c r="D7" t="s">
        <v>8</v>
      </c>
      <c r="E7" s="1" t="s">
        <v>7</v>
      </c>
      <c r="F7" s="5">
        <v>2</v>
      </c>
      <c r="G7" s="5">
        <v>4</v>
      </c>
      <c r="H7" s="23"/>
      <c r="I7" s="5"/>
      <c r="J7">
        <f>SUBTOTAL(103,T_Monoprix[GMS])</f>
        <v>4</v>
      </c>
    </row>
    <row r="8" spans="1:10" x14ac:dyDescent="0.25">
      <c r="A8" s="10">
        <f t="shared" si="0"/>
        <v>7</v>
      </c>
      <c r="B8" s="3" t="s">
        <v>19</v>
      </c>
      <c r="C8" s="2" t="s">
        <v>18</v>
      </c>
      <c r="D8" t="s">
        <v>8</v>
      </c>
      <c r="E8" s="1" t="s">
        <v>7</v>
      </c>
      <c r="F8" s="5">
        <v>2</v>
      </c>
      <c r="G8" s="5">
        <v>4</v>
      </c>
      <c r="H8" s="23"/>
      <c r="I8" s="5"/>
      <c r="J8" s="5"/>
    </row>
    <row r="9" spans="1:10" x14ac:dyDescent="0.25">
      <c r="A9" s="10">
        <f t="shared" si="0"/>
        <v>8</v>
      </c>
      <c r="B9" s="3" t="s">
        <v>21</v>
      </c>
      <c r="C9" s="2" t="s">
        <v>20</v>
      </c>
      <c r="D9" t="s">
        <v>8</v>
      </c>
      <c r="E9" s="1" t="s">
        <v>7</v>
      </c>
      <c r="F9" s="5">
        <v>2</v>
      </c>
      <c r="G9" s="5">
        <v>4</v>
      </c>
      <c r="H9" s="23"/>
      <c r="I9" s="32" t="s">
        <v>138</v>
      </c>
      <c r="J9" s="5"/>
    </row>
    <row r="10" spans="1:10" x14ac:dyDescent="0.25">
      <c r="A10" s="10">
        <f t="shared" si="0"/>
        <v>9</v>
      </c>
      <c r="B10" s="3" t="s">
        <v>63</v>
      </c>
      <c r="C10" s="2" t="s">
        <v>10</v>
      </c>
      <c r="D10" t="s">
        <v>8</v>
      </c>
      <c r="E10" s="1" t="s">
        <v>62</v>
      </c>
      <c r="F10" s="5">
        <v>2</v>
      </c>
      <c r="G10" s="5">
        <v>4</v>
      </c>
      <c r="H10" s="23"/>
      <c r="I10" s="5" t="s">
        <v>139</v>
      </c>
      <c r="J10" s="5"/>
    </row>
    <row r="11" spans="1:10" x14ac:dyDescent="0.25">
      <c r="A11" s="10">
        <f t="shared" si="0"/>
        <v>10</v>
      </c>
      <c r="B11" s="3" t="s">
        <v>25</v>
      </c>
      <c r="C11" s="2" t="s">
        <v>24</v>
      </c>
      <c r="D11" t="s">
        <v>8</v>
      </c>
      <c r="E11" s="1" t="s">
        <v>7</v>
      </c>
      <c r="F11" s="5">
        <v>2</v>
      </c>
      <c r="G11" s="5">
        <v>4</v>
      </c>
      <c r="H11" s="23"/>
      <c r="I11" s="5" t="s">
        <v>140</v>
      </c>
      <c r="J11" s="5"/>
    </row>
    <row r="12" spans="1:10" x14ac:dyDescent="0.25">
      <c r="A12" s="10">
        <f t="shared" si="0"/>
        <v>11</v>
      </c>
      <c r="B12" s="3" t="s">
        <v>100</v>
      </c>
      <c r="C12" s="2" t="s">
        <v>99</v>
      </c>
      <c r="D12" t="s">
        <v>8</v>
      </c>
      <c r="E12" s="1" t="s">
        <v>98</v>
      </c>
      <c r="F12" s="5">
        <v>2</v>
      </c>
      <c r="G12" s="5">
        <v>4</v>
      </c>
      <c r="H12" s="23"/>
      <c r="I12" s="5" t="s">
        <v>141</v>
      </c>
      <c r="J12" s="5"/>
    </row>
    <row r="13" spans="1:10" x14ac:dyDescent="0.25">
      <c r="A13" s="6">
        <f t="shared" si="0"/>
        <v>12</v>
      </c>
      <c r="B13" s="3" t="s">
        <v>11</v>
      </c>
      <c r="C13" s="2" t="s">
        <v>9</v>
      </c>
      <c r="D13" t="s">
        <v>8</v>
      </c>
      <c r="E13" s="1" t="s">
        <v>7</v>
      </c>
      <c r="F13" s="5">
        <v>2</v>
      </c>
      <c r="G13" s="5">
        <v>4</v>
      </c>
      <c r="H13" s="23"/>
      <c r="I13" s="5"/>
      <c r="J13" s="5"/>
    </row>
    <row r="14" spans="1:10" x14ac:dyDescent="0.25">
      <c r="A14" s="10">
        <f t="shared" si="0"/>
        <v>13</v>
      </c>
      <c r="B14" s="3" t="s">
        <v>37</v>
      </c>
      <c r="C14" s="3" t="s">
        <v>36</v>
      </c>
      <c r="D14" t="s">
        <v>8</v>
      </c>
      <c r="E14" s="1" t="s">
        <v>7</v>
      </c>
      <c r="F14" s="5">
        <v>2</v>
      </c>
      <c r="G14" s="5">
        <v>4</v>
      </c>
      <c r="H14" s="23"/>
      <c r="I14">
        <f>SUBTOTAL(103,T_marché[Marchés])</f>
        <v>3</v>
      </c>
      <c r="J14" s="5"/>
    </row>
    <row r="15" spans="1:10" x14ac:dyDescent="0.25">
      <c r="A15" s="10">
        <f t="shared" si="0"/>
        <v>14</v>
      </c>
      <c r="B15" s="3" t="s">
        <v>75</v>
      </c>
      <c r="C15" s="2" t="s">
        <v>74</v>
      </c>
      <c r="D15" t="s">
        <v>8</v>
      </c>
      <c r="E15" s="1" t="s">
        <v>62</v>
      </c>
      <c r="F15" s="5">
        <v>2</v>
      </c>
      <c r="G15" s="5">
        <v>4</v>
      </c>
      <c r="H15" s="23"/>
      <c r="I15" s="5"/>
      <c r="J15" s="5"/>
    </row>
    <row r="16" spans="1:10" x14ac:dyDescent="0.25">
      <c r="A16" s="10">
        <f t="shared" si="0"/>
        <v>15</v>
      </c>
      <c r="B16" s="3" t="s">
        <v>102</v>
      </c>
      <c r="C16" s="2" t="s">
        <v>101</v>
      </c>
      <c r="D16" t="s">
        <v>8</v>
      </c>
      <c r="E16" s="1" t="s">
        <v>98</v>
      </c>
      <c r="F16" s="5">
        <v>2</v>
      </c>
      <c r="G16" s="5">
        <v>4</v>
      </c>
      <c r="H16" s="23"/>
      <c r="I16" s="5"/>
      <c r="J16" s="5"/>
    </row>
    <row r="17" spans="1:10" x14ac:dyDescent="0.25">
      <c r="A17" s="10">
        <f t="shared" si="0"/>
        <v>16</v>
      </c>
      <c r="B17" s="3" t="s">
        <v>77</v>
      </c>
      <c r="C17" s="2" t="s">
        <v>76</v>
      </c>
      <c r="D17" t="s">
        <v>8</v>
      </c>
      <c r="E17" s="1" t="s">
        <v>62</v>
      </c>
      <c r="F17" s="5">
        <v>2</v>
      </c>
      <c r="G17" s="5">
        <v>4</v>
      </c>
      <c r="H17" s="23"/>
      <c r="I17" s="5"/>
      <c r="J17" s="5"/>
    </row>
    <row r="18" spans="1:10" x14ac:dyDescent="0.25">
      <c r="A18" s="10">
        <f t="shared" si="0"/>
        <v>17</v>
      </c>
      <c r="B18" s="3" t="s">
        <v>27</v>
      </c>
      <c r="C18" s="2" t="s">
        <v>26</v>
      </c>
      <c r="D18" t="s">
        <v>8</v>
      </c>
      <c r="E18" s="1" t="s">
        <v>7</v>
      </c>
      <c r="F18" s="5">
        <v>2</v>
      </c>
      <c r="G18" s="5">
        <v>4</v>
      </c>
      <c r="H18" s="23"/>
      <c r="I18" s="5"/>
      <c r="J18" s="5"/>
    </row>
    <row r="19" spans="1:10" x14ac:dyDescent="0.25">
      <c r="A19" s="10">
        <f t="shared" si="0"/>
        <v>18</v>
      </c>
      <c r="B19" s="3" t="s">
        <v>29</v>
      </c>
      <c r="C19" s="2" t="s">
        <v>28</v>
      </c>
      <c r="D19" t="s">
        <v>8</v>
      </c>
      <c r="E19" s="1" t="s">
        <v>7</v>
      </c>
      <c r="F19" s="5">
        <v>2</v>
      </c>
      <c r="G19" s="5">
        <v>4</v>
      </c>
      <c r="H19" s="23"/>
      <c r="I19" s="5"/>
      <c r="J19" s="5"/>
    </row>
    <row r="20" spans="1:10" ht="15" customHeight="1" x14ac:dyDescent="0.25">
      <c r="A20" s="10">
        <f t="shared" si="0"/>
        <v>19</v>
      </c>
      <c r="B20" s="3" t="s">
        <v>106</v>
      </c>
      <c r="C20" s="3" t="s">
        <v>105</v>
      </c>
      <c r="D20" t="s">
        <v>8</v>
      </c>
      <c r="E20" s="1" t="s">
        <v>98</v>
      </c>
      <c r="F20" s="5">
        <v>2</v>
      </c>
      <c r="G20" s="5">
        <v>4</v>
      </c>
      <c r="H20" s="23"/>
      <c r="I20" s="5"/>
      <c r="J20" s="5"/>
    </row>
    <row r="21" spans="1:10" x14ac:dyDescent="0.25">
      <c r="A21" s="10">
        <f t="shared" si="0"/>
        <v>20</v>
      </c>
      <c r="B21" s="3" t="s">
        <v>23</v>
      </c>
      <c r="C21" s="2" t="s">
        <v>22</v>
      </c>
      <c r="D21" t="s">
        <v>8</v>
      </c>
      <c r="E21" s="1" t="s">
        <v>7</v>
      </c>
      <c r="F21" s="5">
        <v>2</v>
      </c>
      <c r="G21" s="5">
        <v>4</v>
      </c>
      <c r="H21" s="23"/>
      <c r="I21" s="5"/>
      <c r="J21" s="5"/>
    </row>
    <row r="22" spans="1:10" x14ac:dyDescent="0.25">
      <c r="A22" s="10">
        <f t="shared" si="0"/>
        <v>21</v>
      </c>
      <c r="B22" s="3" t="s">
        <v>79</v>
      </c>
      <c r="C22" s="2" t="s">
        <v>78</v>
      </c>
      <c r="D22" t="s">
        <v>8</v>
      </c>
      <c r="E22" s="1" t="s">
        <v>62</v>
      </c>
      <c r="F22" s="5">
        <v>2</v>
      </c>
      <c r="G22" s="5">
        <v>4</v>
      </c>
      <c r="H22" s="23"/>
      <c r="I22" s="5"/>
      <c r="J22" s="5"/>
    </row>
    <row r="23" spans="1:10" x14ac:dyDescent="0.25">
      <c r="A23" s="10">
        <f t="shared" si="0"/>
        <v>22</v>
      </c>
      <c r="B23" s="3" t="s">
        <v>31</v>
      </c>
      <c r="C23" s="2" t="s">
        <v>30</v>
      </c>
      <c r="D23" t="s">
        <v>8</v>
      </c>
      <c r="E23" s="1" t="s">
        <v>7</v>
      </c>
      <c r="F23" s="5">
        <v>2</v>
      </c>
      <c r="G23" s="5">
        <v>4</v>
      </c>
      <c r="H23" s="23"/>
      <c r="I23" s="5"/>
      <c r="J23" s="5"/>
    </row>
    <row r="24" spans="1:10" x14ac:dyDescent="0.25">
      <c r="A24" s="10">
        <f t="shared" si="0"/>
        <v>23</v>
      </c>
      <c r="B24" s="3" t="s">
        <v>133</v>
      </c>
      <c r="C24" s="3" t="s">
        <v>134</v>
      </c>
      <c r="D24" t="s">
        <v>8</v>
      </c>
      <c r="E24" s="1" t="s">
        <v>7</v>
      </c>
      <c r="F24" s="5">
        <v>2</v>
      </c>
      <c r="G24" s="5">
        <v>4</v>
      </c>
      <c r="H24" s="23"/>
      <c r="I24" s="5"/>
      <c r="J24" s="5"/>
    </row>
    <row r="25" spans="1:10" x14ac:dyDescent="0.25">
      <c r="A25" s="10">
        <f t="shared" si="0"/>
        <v>24</v>
      </c>
      <c r="B25" s="3" t="s">
        <v>33</v>
      </c>
      <c r="C25" s="2" t="s">
        <v>32</v>
      </c>
      <c r="D25" t="s">
        <v>8</v>
      </c>
      <c r="E25" s="1" t="s">
        <v>7</v>
      </c>
      <c r="F25" s="5">
        <v>2</v>
      </c>
      <c r="G25" s="5">
        <v>4</v>
      </c>
      <c r="H25" s="23"/>
      <c r="I25" s="5"/>
      <c r="J25" s="5"/>
    </row>
    <row r="26" spans="1:10" x14ac:dyDescent="0.25">
      <c r="A26" s="10">
        <f t="shared" si="0"/>
        <v>25</v>
      </c>
      <c r="B26" s="3" t="s">
        <v>35</v>
      </c>
      <c r="C26" s="2" t="s">
        <v>34</v>
      </c>
      <c r="D26" t="s">
        <v>8</v>
      </c>
      <c r="E26" s="1" t="s">
        <v>7</v>
      </c>
      <c r="F26" s="5">
        <v>2</v>
      </c>
      <c r="G26" s="5">
        <v>4</v>
      </c>
      <c r="H26" s="23"/>
      <c r="I26" s="5"/>
      <c r="J26" s="5"/>
    </row>
    <row r="27" spans="1:10" x14ac:dyDescent="0.25">
      <c r="A27" s="10">
        <f t="shared" si="0"/>
        <v>26</v>
      </c>
      <c r="B27" s="3" t="s">
        <v>39</v>
      </c>
      <c r="C27" s="3" t="s">
        <v>38</v>
      </c>
      <c r="D27" t="s">
        <v>8</v>
      </c>
      <c r="E27" s="1" t="s">
        <v>7</v>
      </c>
      <c r="F27" s="5">
        <v>2</v>
      </c>
      <c r="G27" s="5">
        <v>4</v>
      </c>
      <c r="H27" s="23"/>
      <c r="I27" s="5"/>
      <c r="J27" s="5"/>
    </row>
    <row r="28" spans="1:10" x14ac:dyDescent="0.25">
      <c r="A28" s="10">
        <f t="shared" ref="A28:A51" si="1">IF(ISNUMBER(A27),A27+1,1)</f>
        <v>27</v>
      </c>
      <c r="B28" s="3" t="s">
        <v>81</v>
      </c>
      <c r="C28" s="2" t="s">
        <v>80</v>
      </c>
      <c r="D28" t="s">
        <v>8</v>
      </c>
      <c r="E28" s="1" t="s">
        <v>62</v>
      </c>
      <c r="F28" s="5">
        <v>2</v>
      </c>
      <c r="G28" s="5">
        <v>4</v>
      </c>
      <c r="H28" s="23"/>
      <c r="I28" s="5"/>
      <c r="J28" s="5"/>
    </row>
    <row r="29" spans="1:10" x14ac:dyDescent="0.25">
      <c r="A29" s="10">
        <f t="shared" si="1"/>
        <v>28</v>
      </c>
      <c r="B29" s="3" t="s">
        <v>65</v>
      </c>
      <c r="C29" s="2" t="s">
        <v>64</v>
      </c>
      <c r="D29" t="s">
        <v>8</v>
      </c>
      <c r="E29" s="1" t="s">
        <v>62</v>
      </c>
      <c r="F29" s="5">
        <v>2</v>
      </c>
      <c r="G29" s="5">
        <v>4</v>
      </c>
      <c r="H29" s="23"/>
      <c r="I29" s="5"/>
      <c r="J29" s="5"/>
    </row>
    <row r="30" spans="1:10" x14ac:dyDescent="0.25">
      <c r="A30" s="10">
        <f t="shared" si="1"/>
        <v>29</v>
      </c>
      <c r="B30" s="3" t="s">
        <v>67</v>
      </c>
      <c r="C30" s="2" t="s">
        <v>66</v>
      </c>
      <c r="D30" t="s">
        <v>8</v>
      </c>
      <c r="E30" s="1" t="s">
        <v>62</v>
      </c>
      <c r="F30" s="5">
        <v>2</v>
      </c>
      <c r="G30" s="5">
        <v>4</v>
      </c>
      <c r="H30" s="23"/>
      <c r="I30" s="5"/>
      <c r="J30" s="5"/>
    </row>
    <row r="31" spans="1:10" x14ac:dyDescent="0.25">
      <c r="A31" s="10">
        <f t="shared" si="1"/>
        <v>30</v>
      </c>
      <c r="B31" s="3" t="s">
        <v>131</v>
      </c>
      <c r="C31" s="3" t="s">
        <v>132</v>
      </c>
      <c r="D31" t="s">
        <v>8</v>
      </c>
      <c r="E31" s="1" t="s">
        <v>7</v>
      </c>
      <c r="F31" s="5">
        <v>2</v>
      </c>
      <c r="G31" s="5">
        <v>4</v>
      </c>
      <c r="H31" s="23"/>
      <c r="I31" s="5"/>
      <c r="J31" s="5"/>
    </row>
    <row r="32" spans="1:10" x14ac:dyDescent="0.25">
      <c r="A32" s="10">
        <f t="shared" si="1"/>
        <v>31</v>
      </c>
      <c r="B32" s="3" t="s">
        <v>42</v>
      </c>
      <c r="C32" s="2" t="s">
        <v>41</v>
      </c>
      <c r="D32" t="s">
        <v>40</v>
      </c>
      <c r="E32" s="1" t="s">
        <v>7</v>
      </c>
      <c r="F32" s="5">
        <v>2</v>
      </c>
      <c r="G32" s="5">
        <v>4</v>
      </c>
      <c r="H32" s="23"/>
      <c r="I32" s="5"/>
      <c r="J32" s="5"/>
    </row>
    <row r="33" spans="1:10" x14ac:dyDescent="0.25">
      <c r="A33" s="10">
        <f t="shared" si="1"/>
        <v>32</v>
      </c>
      <c r="B33" s="3" t="s">
        <v>83</v>
      </c>
      <c r="C33" s="2" t="s">
        <v>82</v>
      </c>
      <c r="D33" t="s">
        <v>40</v>
      </c>
      <c r="E33" s="1" t="s">
        <v>62</v>
      </c>
      <c r="F33" s="5">
        <v>2</v>
      </c>
      <c r="G33" s="5">
        <v>4</v>
      </c>
      <c r="H33" s="23"/>
      <c r="I33" s="5"/>
      <c r="J33" s="5"/>
    </row>
    <row r="34" spans="1:10" x14ac:dyDescent="0.25">
      <c r="A34" s="10">
        <f t="shared" si="1"/>
        <v>33</v>
      </c>
      <c r="B34" s="3" t="s">
        <v>85</v>
      </c>
      <c r="C34" s="2" t="s">
        <v>84</v>
      </c>
      <c r="D34" t="s">
        <v>40</v>
      </c>
      <c r="E34" s="1" t="s">
        <v>62</v>
      </c>
      <c r="F34" s="5">
        <v>2</v>
      </c>
      <c r="G34" s="5">
        <v>4</v>
      </c>
      <c r="H34" s="23"/>
      <c r="I34" s="5"/>
      <c r="J34" s="5"/>
    </row>
    <row r="35" spans="1:10" x14ac:dyDescent="0.25">
      <c r="A35" s="10">
        <f t="shared" si="1"/>
        <v>34</v>
      </c>
      <c r="B35" s="3" t="s">
        <v>45</v>
      </c>
      <c r="C35" s="4" t="s">
        <v>44</v>
      </c>
      <c r="D35" t="s">
        <v>43</v>
      </c>
      <c r="E35" s="1" t="s">
        <v>7</v>
      </c>
      <c r="F35" s="5">
        <v>2</v>
      </c>
      <c r="G35" s="5">
        <v>4</v>
      </c>
      <c r="H35" s="23"/>
      <c r="I35" s="5"/>
      <c r="J35" s="5"/>
    </row>
    <row r="36" spans="1:10" x14ac:dyDescent="0.25">
      <c r="A36" s="10">
        <f t="shared" si="1"/>
        <v>35</v>
      </c>
      <c r="B36" s="3" t="s">
        <v>89</v>
      </c>
      <c r="C36" s="2" t="s">
        <v>88</v>
      </c>
      <c r="D36" t="s">
        <v>40</v>
      </c>
      <c r="E36" s="1" t="s">
        <v>62</v>
      </c>
      <c r="F36" s="5">
        <v>2</v>
      </c>
      <c r="G36" s="5">
        <v>4</v>
      </c>
      <c r="H36" s="23"/>
      <c r="I36" s="5"/>
      <c r="J36" s="5"/>
    </row>
    <row r="37" spans="1:10" x14ac:dyDescent="0.25">
      <c r="A37" s="10">
        <f t="shared" si="1"/>
        <v>36</v>
      </c>
      <c r="B37" s="3" t="s">
        <v>104</v>
      </c>
      <c r="C37" s="2" t="s">
        <v>103</v>
      </c>
      <c r="D37" t="s">
        <v>40</v>
      </c>
      <c r="E37" s="1" t="s">
        <v>98</v>
      </c>
      <c r="F37" s="5">
        <v>2</v>
      </c>
      <c r="G37" s="5">
        <v>4</v>
      </c>
      <c r="H37" s="23"/>
      <c r="I37" s="5"/>
      <c r="J37" s="5"/>
    </row>
    <row r="38" spans="1:10" x14ac:dyDescent="0.25">
      <c r="A38" s="10">
        <f t="shared" si="1"/>
        <v>37</v>
      </c>
      <c r="B38" s="3" t="s">
        <v>87</v>
      </c>
      <c r="C38" s="2" t="s">
        <v>86</v>
      </c>
      <c r="D38" t="s">
        <v>40</v>
      </c>
      <c r="E38" s="1" t="s">
        <v>62</v>
      </c>
      <c r="F38" s="5">
        <v>2</v>
      </c>
      <c r="G38" s="5">
        <v>4</v>
      </c>
      <c r="H38" s="23"/>
      <c r="I38" s="5"/>
      <c r="J38" s="5"/>
    </row>
    <row r="39" spans="1:10" x14ac:dyDescent="0.25">
      <c r="A39" s="10">
        <f t="shared" si="1"/>
        <v>38</v>
      </c>
      <c r="B39" s="3" t="s">
        <v>49</v>
      </c>
      <c r="C39" s="2" t="s">
        <v>48</v>
      </c>
      <c r="D39" t="s">
        <v>43</v>
      </c>
      <c r="E39" s="1" t="s">
        <v>7</v>
      </c>
      <c r="F39" s="5">
        <v>2</v>
      </c>
      <c r="G39" s="5">
        <v>4</v>
      </c>
      <c r="H39" s="23"/>
      <c r="I39" s="5"/>
      <c r="J39" s="5"/>
    </row>
    <row r="40" spans="1:10" x14ac:dyDescent="0.25">
      <c r="A40" s="10">
        <f t="shared" si="1"/>
        <v>39</v>
      </c>
      <c r="B40" s="3" t="s">
        <v>93</v>
      </c>
      <c r="C40" s="2" t="s">
        <v>92</v>
      </c>
      <c r="D40" t="s">
        <v>43</v>
      </c>
      <c r="E40" s="1" t="s">
        <v>62</v>
      </c>
      <c r="F40" s="5">
        <v>2</v>
      </c>
      <c r="G40" s="5">
        <v>4</v>
      </c>
      <c r="H40" s="23"/>
      <c r="I40" s="5"/>
      <c r="J40" s="5"/>
    </row>
    <row r="41" spans="1:10" x14ac:dyDescent="0.25">
      <c r="A41" s="10">
        <f t="shared" si="1"/>
        <v>40</v>
      </c>
      <c r="B41" s="3" t="s">
        <v>51</v>
      </c>
      <c r="C41" s="2" t="s">
        <v>50</v>
      </c>
      <c r="D41" t="s">
        <v>43</v>
      </c>
      <c r="E41" s="1" t="s">
        <v>7</v>
      </c>
      <c r="F41" s="5">
        <v>2</v>
      </c>
      <c r="G41" s="5">
        <v>4</v>
      </c>
      <c r="H41" s="23"/>
      <c r="I41" s="5"/>
      <c r="J41" s="5"/>
    </row>
    <row r="42" spans="1:10" x14ac:dyDescent="0.25">
      <c r="A42" s="10">
        <f t="shared" si="1"/>
        <v>41</v>
      </c>
      <c r="B42" s="3" t="s">
        <v>53</v>
      </c>
      <c r="C42" s="2" t="s">
        <v>52</v>
      </c>
      <c r="D42" t="s">
        <v>43</v>
      </c>
      <c r="E42" s="1" t="s">
        <v>7</v>
      </c>
      <c r="F42" s="5">
        <v>2</v>
      </c>
      <c r="G42" s="5">
        <v>4</v>
      </c>
      <c r="H42" s="23"/>
      <c r="I42" s="5"/>
      <c r="J42" s="5"/>
    </row>
    <row r="43" spans="1:10" x14ac:dyDescent="0.25">
      <c r="A43" s="10">
        <f t="shared" si="1"/>
        <v>42</v>
      </c>
      <c r="B43" s="3" t="s">
        <v>91</v>
      </c>
      <c r="C43" s="2" t="s">
        <v>90</v>
      </c>
      <c r="D43" t="s">
        <v>43</v>
      </c>
      <c r="E43" s="1" t="s">
        <v>62</v>
      </c>
      <c r="F43" s="5">
        <v>2</v>
      </c>
      <c r="G43" s="5">
        <v>4</v>
      </c>
      <c r="H43" s="23"/>
      <c r="I43" s="5"/>
      <c r="J43" s="5"/>
    </row>
    <row r="44" spans="1:10" x14ac:dyDescent="0.25">
      <c r="A44" s="10">
        <f t="shared" si="1"/>
        <v>43</v>
      </c>
      <c r="B44" s="3" t="s">
        <v>95</v>
      </c>
      <c r="C44" s="2" t="s">
        <v>94</v>
      </c>
      <c r="D44" t="s">
        <v>43</v>
      </c>
      <c r="E44" s="1" t="s">
        <v>62</v>
      </c>
      <c r="F44" s="5">
        <v>2</v>
      </c>
      <c r="G44" s="5">
        <v>4</v>
      </c>
      <c r="H44" s="23"/>
      <c r="I44" s="5"/>
      <c r="J44" s="5"/>
    </row>
    <row r="45" spans="1:10" x14ac:dyDescent="0.25">
      <c r="A45" s="10">
        <f t="shared" si="1"/>
        <v>44</v>
      </c>
      <c r="B45" s="3" t="s">
        <v>135</v>
      </c>
      <c r="C45" s="3" t="s">
        <v>136</v>
      </c>
      <c r="D45" t="s">
        <v>43</v>
      </c>
      <c r="E45" s="1" t="s">
        <v>7</v>
      </c>
      <c r="F45" s="5">
        <v>2</v>
      </c>
      <c r="G45" s="5">
        <v>4</v>
      </c>
      <c r="H45" s="23"/>
      <c r="I45" s="5"/>
      <c r="J45" s="5"/>
    </row>
    <row r="46" spans="1:10" x14ac:dyDescent="0.25">
      <c r="A46" s="10">
        <f t="shared" si="1"/>
        <v>45</v>
      </c>
      <c r="B46" s="3" t="s">
        <v>55</v>
      </c>
      <c r="C46" s="2" t="s">
        <v>54</v>
      </c>
      <c r="D46" t="s">
        <v>43</v>
      </c>
      <c r="E46" s="1" t="s">
        <v>7</v>
      </c>
      <c r="F46" s="5">
        <v>2</v>
      </c>
      <c r="G46" s="5">
        <v>4</v>
      </c>
      <c r="H46" s="23"/>
      <c r="I46" s="5"/>
      <c r="J46" s="5"/>
    </row>
    <row r="47" spans="1:10" x14ac:dyDescent="0.25">
      <c r="A47" s="10">
        <f t="shared" si="1"/>
        <v>46</v>
      </c>
      <c r="B47" s="3" t="s">
        <v>57</v>
      </c>
      <c r="C47" s="2" t="s">
        <v>56</v>
      </c>
      <c r="D47" t="s">
        <v>43</v>
      </c>
      <c r="E47" s="1" t="s">
        <v>7</v>
      </c>
      <c r="F47" s="5">
        <v>2</v>
      </c>
      <c r="G47" s="5">
        <v>4</v>
      </c>
      <c r="H47" s="23"/>
      <c r="I47" s="5"/>
      <c r="J47" s="5"/>
    </row>
    <row r="48" spans="1:10" x14ac:dyDescent="0.25">
      <c r="A48" s="10">
        <f t="shared" si="1"/>
        <v>47</v>
      </c>
      <c r="B48" s="3" t="s">
        <v>59</v>
      </c>
      <c r="C48" s="2" t="s">
        <v>58</v>
      </c>
      <c r="D48" t="s">
        <v>43</v>
      </c>
      <c r="E48" s="1" t="s">
        <v>7</v>
      </c>
      <c r="F48" s="5">
        <v>2</v>
      </c>
      <c r="G48" s="5">
        <v>4</v>
      </c>
      <c r="H48" s="23"/>
      <c r="I48" s="5"/>
      <c r="J48" s="5"/>
    </row>
    <row r="49" spans="1:10" x14ac:dyDescent="0.25">
      <c r="A49" s="10">
        <f t="shared" si="1"/>
        <v>48</v>
      </c>
      <c r="B49" s="3" t="s">
        <v>97</v>
      </c>
      <c r="C49" s="2" t="s">
        <v>96</v>
      </c>
      <c r="D49" t="s">
        <v>43</v>
      </c>
      <c r="E49" s="1" t="s">
        <v>62</v>
      </c>
      <c r="F49" s="5">
        <v>2</v>
      </c>
      <c r="G49" s="5">
        <v>4</v>
      </c>
      <c r="H49" s="23"/>
      <c r="I49" s="5"/>
      <c r="J49" s="5"/>
    </row>
    <row r="50" spans="1:10" x14ac:dyDescent="0.25">
      <c r="A50" s="10">
        <f t="shared" si="1"/>
        <v>49</v>
      </c>
      <c r="B50" s="3" t="s">
        <v>61</v>
      </c>
      <c r="C50" s="2" t="s">
        <v>60</v>
      </c>
      <c r="D50" t="s">
        <v>43</v>
      </c>
      <c r="E50" s="1" t="s">
        <v>7</v>
      </c>
      <c r="F50" s="5">
        <v>2</v>
      </c>
      <c r="G50" s="5">
        <v>4</v>
      </c>
      <c r="H50" s="23"/>
      <c r="I50" s="5"/>
      <c r="J50" s="5"/>
    </row>
    <row r="51" spans="1:10" x14ac:dyDescent="0.25">
      <c r="A51" s="10">
        <f t="shared" si="1"/>
        <v>50</v>
      </c>
      <c r="B51" s="3" t="s">
        <v>47</v>
      </c>
      <c r="C51" s="2" t="s">
        <v>46</v>
      </c>
      <c r="D51" t="s">
        <v>43</v>
      </c>
      <c r="E51" s="1" t="s">
        <v>7</v>
      </c>
      <c r="F51" s="5">
        <v>2</v>
      </c>
      <c r="G51" s="5">
        <v>4</v>
      </c>
      <c r="H51" s="23"/>
      <c r="I51" s="5"/>
      <c r="J51" s="5"/>
    </row>
    <row r="52" spans="1:10" x14ac:dyDescent="0.25">
      <c r="B52" s="11" t="s">
        <v>115</v>
      </c>
      <c r="E52" s="1"/>
      <c r="G52" s="5">
        <f>SUBTOTAL(109,Tableau3[Prix de vente])</f>
        <v>200</v>
      </c>
      <c r="H52" s="23"/>
      <c r="I52" s="5"/>
      <c r="J52" s="5"/>
    </row>
    <row r="53" spans="1:10" x14ac:dyDescent="0.25">
      <c r="A53" s="3"/>
      <c r="B53" s="2"/>
      <c r="D53" s="2"/>
      <c r="E53" s="3"/>
      <c r="F53" s="5"/>
      <c r="G53" s="5"/>
      <c r="H53" s="23"/>
      <c r="I53" s="5"/>
    </row>
    <row r="54" spans="1:10" x14ac:dyDescent="0.25">
      <c r="A54" s="3"/>
      <c r="B54" s="1"/>
      <c r="D54" s="2"/>
      <c r="F54" s="5"/>
      <c r="G54" s="5"/>
      <c r="H54" s="23"/>
    </row>
    <row r="55" spans="1:10" x14ac:dyDescent="0.25">
      <c r="A55" s="3"/>
      <c r="B55" s="1"/>
      <c r="D55" s="2"/>
      <c r="F55" s="5"/>
      <c r="G55" s="5"/>
      <c r="H55" s="23"/>
    </row>
    <row r="56" spans="1:10" x14ac:dyDescent="0.25">
      <c r="A56" s="3"/>
      <c r="B56" s="1"/>
      <c r="D56" s="2"/>
      <c r="F56" s="5"/>
      <c r="G56" s="5"/>
      <c r="H56" s="23"/>
    </row>
    <row r="57" spans="1:10" x14ac:dyDescent="0.25">
      <c r="A57" s="3"/>
      <c r="B57" s="1"/>
      <c r="D57" s="2"/>
      <c r="F57" s="5"/>
      <c r="G57" s="5"/>
      <c r="H57" s="23"/>
    </row>
    <row r="58" spans="1:10" x14ac:dyDescent="0.25">
      <c r="A58" s="3"/>
      <c r="B58" s="1"/>
      <c r="D58" s="2"/>
      <c r="F58" s="5"/>
      <c r="G58" s="5"/>
      <c r="H58" s="23"/>
    </row>
    <row r="59" spans="1:10" x14ac:dyDescent="0.25">
      <c r="A59" s="3"/>
      <c r="B59" s="1"/>
      <c r="D59" s="2"/>
      <c r="F59" s="5"/>
      <c r="G59" s="5"/>
      <c r="H59" s="23"/>
    </row>
    <row r="60" spans="1:10" x14ac:dyDescent="0.25">
      <c r="A60" s="3"/>
      <c r="B60" s="1"/>
      <c r="D60" s="2"/>
      <c r="F60" s="5"/>
      <c r="G60" s="5"/>
      <c r="H60" s="23"/>
    </row>
    <row r="61" spans="1:10" x14ac:dyDescent="0.25">
      <c r="A61" s="3"/>
      <c r="B61" s="1"/>
      <c r="D61" s="2"/>
      <c r="F61" s="5"/>
      <c r="G61" s="5"/>
      <c r="H61" s="23"/>
    </row>
    <row r="62" spans="1:10" x14ac:dyDescent="0.25">
      <c r="A62" s="3"/>
      <c r="B62" s="1"/>
      <c r="D62" s="2"/>
      <c r="F62" s="5"/>
      <c r="G62" s="5"/>
      <c r="H62" s="23"/>
    </row>
    <row r="63" spans="1:10" x14ac:dyDescent="0.25">
      <c r="A63" s="3"/>
      <c r="B63" s="1"/>
      <c r="D63" s="3"/>
      <c r="F63" s="5"/>
      <c r="G63" s="5"/>
      <c r="H63" s="23"/>
    </row>
    <row r="64" spans="1:10" x14ac:dyDescent="0.25">
      <c r="A64" s="3"/>
      <c r="B64" s="1"/>
      <c r="D64" s="3"/>
      <c r="F64" s="5"/>
      <c r="G64" s="5"/>
      <c r="H64" s="23"/>
    </row>
    <row r="65" spans="1:8" x14ac:dyDescent="0.25">
      <c r="A65" s="3"/>
      <c r="B65" s="1"/>
      <c r="D65" s="2"/>
      <c r="F65" s="5"/>
      <c r="G65" s="5"/>
      <c r="H65" s="23"/>
    </row>
    <row r="66" spans="1:8" x14ac:dyDescent="0.25">
      <c r="A66" s="3"/>
      <c r="B66" s="1"/>
      <c r="D66" s="4"/>
      <c r="F66" s="5"/>
      <c r="G66" s="5"/>
      <c r="H66" s="23"/>
    </row>
    <row r="67" spans="1:8" x14ac:dyDescent="0.25">
      <c r="A67" s="3"/>
      <c r="B67" s="1"/>
      <c r="D67" s="2"/>
      <c r="F67" s="5"/>
      <c r="G67" s="5"/>
      <c r="H67" s="23"/>
    </row>
    <row r="68" spans="1:8" x14ac:dyDescent="0.25">
      <c r="A68" s="3"/>
      <c r="B68" s="1"/>
      <c r="D68" s="2"/>
      <c r="F68" s="5"/>
      <c r="G68" s="5"/>
      <c r="H68" s="23"/>
    </row>
    <row r="69" spans="1:8" x14ac:dyDescent="0.25">
      <c r="A69" s="3"/>
      <c r="B69" s="1"/>
      <c r="D69" s="2"/>
      <c r="F69" s="5"/>
      <c r="G69" s="5"/>
      <c r="H69" s="23"/>
    </row>
    <row r="70" spans="1:8" x14ac:dyDescent="0.25">
      <c r="A70" s="3"/>
      <c r="B70" s="1"/>
      <c r="D70" s="2"/>
      <c r="F70" s="5"/>
      <c r="G70" s="5"/>
      <c r="H70" s="23"/>
    </row>
    <row r="71" spans="1:8" x14ac:dyDescent="0.25">
      <c r="A71" s="3"/>
      <c r="B71" s="1"/>
      <c r="D71" s="2"/>
      <c r="F71" s="5"/>
      <c r="G71" s="5"/>
      <c r="H71" s="23"/>
    </row>
    <row r="72" spans="1:8" x14ac:dyDescent="0.25">
      <c r="A72" s="3"/>
      <c r="B72" s="1"/>
      <c r="D72" s="2"/>
      <c r="F72" s="5"/>
      <c r="G72" s="5"/>
      <c r="H72" s="23"/>
    </row>
    <row r="73" spans="1:8" x14ac:dyDescent="0.25">
      <c r="A73" s="3"/>
      <c r="B73" s="1"/>
      <c r="D73" s="2"/>
      <c r="F73" s="5"/>
      <c r="G73" s="5"/>
      <c r="H73" s="23"/>
    </row>
    <row r="74" spans="1:8" x14ac:dyDescent="0.25">
      <c r="A74" s="3"/>
      <c r="B74" s="1"/>
      <c r="D74" s="2"/>
      <c r="F74" s="5"/>
      <c r="G74" s="5"/>
      <c r="H74" s="23"/>
    </row>
    <row r="75" spans="1:8" x14ac:dyDescent="0.25">
      <c r="A75" s="3"/>
      <c r="B75" s="1"/>
      <c r="D75" s="2"/>
      <c r="F75" s="5"/>
      <c r="G75" s="5"/>
      <c r="H75" s="23"/>
    </row>
    <row r="76" spans="1:8" x14ac:dyDescent="0.25">
      <c r="A76" s="3"/>
      <c r="B76" s="1"/>
      <c r="D76" s="2"/>
      <c r="F76" s="5"/>
      <c r="G76" s="5"/>
      <c r="H76" s="23"/>
    </row>
    <row r="77" spans="1:8" x14ac:dyDescent="0.25">
      <c r="A77" s="3"/>
      <c r="B77" s="1"/>
      <c r="D77" s="2"/>
      <c r="F77" s="5"/>
      <c r="G77" s="5"/>
      <c r="H77" s="23"/>
    </row>
    <row r="78" spans="1:8" x14ac:dyDescent="0.25">
      <c r="A78" s="3"/>
      <c r="B78" s="1"/>
      <c r="D78" s="2"/>
      <c r="F78" s="5"/>
      <c r="G78" s="5"/>
      <c r="H78" s="23"/>
    </row>
    <row r="79" spans="1:8" x14ac:dyDescent="0.25">
      <c r="A79" s="3"/>
      <c r="B79" s="1"/>
      <c r="D79" s="2"/>
      <c r="F79" s="5"/>
      <c r="G79" s="5"/>
      <c r="H79" s="23"/>
    </row>
    <row r="80" spans="1:8" x14ac:dyDescent="0.25">
      <c r="A80" s="3"/>
      <c r="B80" s="1"/>
      <c r="D80" s="2"/>
      <c r="F80" s="5"/>
      <c r="G80" s="5"/>
      <c r="H80" s="23"/>
    </row>
    <row r="81" spans="1:8" x14ac:dyDescent="0.25">
      <c r="A81" s="3"/>
      <c r="B81" s="1"/>
      <c r="D81" s="2"/>
      <c r="F81" s="5"/>
      <c r="G81" s="5"/>
      <c r="H81" s="23"/>
    </row>
    <row r="82" spans="1:8" x14ac:dyDescent="0.25">
      <c r="A82" s="3"/>
      <c r="B82" s="1"/>
      <c r="D82" s="2"/>
      <c r="F82" s="5"/>
      <c r="G82" s="5"/>
      <c r="H82" s="23"/>
    </row>
    <row r="83" spans="1:8" x14ac:dyDescent="0.25">
      <c r="A83" s="3"/>
      <c r="B83" s="1"/>
      <c r="D83" s="2"/>
      <c r="F83" s="5"/>
      <c r="G83" s="5"/>
      <c r="H83" s="23"/>
    </row>
    <row r="84" spans="1:8" x14ac:dyDescent="0.25">
      <c r="A84" s="3"/>
      <c r="B84" s="1"/>
      <c r="D84" s="2"/>
      <c r="F84" s="5"/>
      <c r="G84" s="5"/>
      <c r="H84" s="23"/>
    </row>
    <row r="85" spans="1:8" x14ac:dyDescent="0.25">
      <c r="A85" s="3"/>
      <c r="B85" s="1"/>
      <c r="D85" s="2"/>
      <c r="F85" s="5"/>
      <c r="G85" s="5"/>
      <c r="H85" s="23"/>
    </row>
    <row r="86" spans="1:8" x14ac:dyDescent="0.25">
      <c r="A86" s="3"/>
      <c r="B86" s="1"/>
      <c r="D86" s="2"/>
      <c r="F86" s="5"/>
      <c r="G86" s="5"/>
      <c r="H86" s="23"/>
    </row>
    <row r="87" spans="1:8" x14ac:dyDescent="0.25">
      <c r="A87" s="3"/>
      <c r="B87" s="1"/>
      <c r="D87" s="2"/>
      <c r="F87" s="5"/>
      <c r="G87" s="5"/>
      <c r="H87" s="23"/>
    </row>
    <row r="88" spans="1:8" x14ac:dyDescent="0.25">
      <c r="A88" s="3"/>
      <c r="B88" s="1"/>
      <c r="D88" s="2"/>
      <c r="F88" s="5"/>
      <c r="G88" s="5"/>
      <c r="H88" s="23"/>
    </row>
    <row r="89" spans="1:8" x14ac:dyDescent="0.25">
      <c r="A89" s="3"/>
      <c r="B89" s="1"/>
      <c r="D89" s="2"/>
      <c r="F89" s="5"/>
      <c r="G89" s="5"/>
      <c r="H89" s="23"/>
    </row>
    <row r="90" spans="1:8" x14ac:dyDescent="0.25">
      <c r="A90" s="3"/>
      <c r="B90" s="1"/>
      <c r="D90" s="2"/>
      <c r="F90" s="5"/>
      <c r="G90" s="5"/>
      <c r="H90" s="23"/>
    </row>
    <row r="91" spans="1:8" x14ac:dyDescent="0.25">
      <c r="A91" s="3"/>
      <c r="B91" s="1"/>
      <c r="D91" s="2"/>
      <c r="F91" s="5"/>
      <c r="G91" s="5"/>
      <c r="H91" s="23"/>
    </row>
    <row r="92" spans="1:8" x14ac:dyDescent="0.25">
      <c r="A92" s="3"/>
      <c r="B92" s="1"/>
      <c r="D92" s="2"/>
      <c r="F92" s="5"/>
      <c r="G92" s="5"/>
      <c r="H92" s="23"/>
    </row>
    <row r="93" spans="1:8" x14ac:dyDescent="0.25">
      <c r="A93" s="3"/>
      <c r="B93" s="1"/>
      <c r="D93" s="2"/>
      <c r="F93" s="5"/>
      <c r="G93" s="5"/>
      <c r="H93" s="23"/>
    </row>
    <row r="94" spans="1:8" x14ac:dyDescent="0.25">
      <c r="A94" s="3"/>
      <c r="B94" s="1"/>
      <c r="D94" s="2"/>
      <c r="F94" s="5"/>
      <c r="G94" s="5"/>
      <c r="H94" s="23"/>
    </row>
    <row r="95" spans="1:8" x14ac:dyDescent="0.25">
      <c r="A95" s="3"/>
      <c r="B95" s="1"/>
      <c r="D95" s="2"/>
      <c r="F95" s="5"/>
      <c r="G95" s="5"/>
      <c r="H95" s="23"/>
    </row>
    <row r="96" spans="1:8" x14ac:dyDescent="0.25">
      <c r="A96" s="3"/>
      <c r="B96" s="1"/>
      <c r="D96" s="2"/>
      <c r="F96" s="5"/>
      <c r="G96" s="5"/>
    </row>
    <row r="97" spans="1:6" x14ac:dyDescent="0.25">
      <c r="A97" s="3"/>
      <c r="B97" s="1"/>
      <c r="D97" s="3"/>
      <c r="F97" s="5"/>
    </row>
  </sheetData>
  <dataValidations count="2">
    <dataValidation type="list" allowBlank="1" showInputMessage="1" showErrorMessage="1" sqref="B53 C2:C51">
      <formula1>nom</formula1>
    </dataValidation>
    <dataValidation type="list" allowBlank="1" showInputMessage="1" showErrorMessage="1" sqref="B2:B51">
      <formula1>Référence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tableParts count="4"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5"/>
  <sheetViews>
    <sheetView tabSelected="1" workbookViewId="0">
      <selection activeCell="H20" sqref="H20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2.5703125" customWidth="1"/>
    <col min="4" max="4" width="10.7109375" customWidth="1"/>
    <col min="5" max="5" width="12.5703125" customWidth="1"/>
    <col min="6" max="6" width="12.5703125" bestFit="1" customWidth="1"/>
    <col min="7" max="7" width="21" customWidth="1"/>
    <col min="8" max="8" width="23.85546875" bestFit="1" customWidth="1"/>
    <col min="9" max="11" width="10.7109375" customWidth="1"/>
    <col min="12" max="12" width="12.5703125" customWidth="1"/>
    <col min="13" max="13" width="8.85546875" customWidth="1"/>
    <col min="14" max="14" width="12.5703125" customWidth="1"/>
    <col min="15" max="15" width="21.5703125" bestFit="1" customWidth="1"/>
    <col min="16" max="16" width="8.85546875" customWidth="1"/>
    <col min="17" max="17" width="12.5703125" bestFit="1" customWidth="1"/>
  </cols>
  <sheetData>
    <row r="3" spans="1:12" x14ac:dyDescent="0.25">
      <c r="A3" s="112" t="s">
        <v>120</v>
      </c>
      <c r="B3" s="107" t="s">
        <v>175</v>
      </c>
      <c r="C3" s="107"/>
      <c r="D3" s="107"/>
      <c r="E3" s="107"/>
      <c r="G3" s="107" t="s">
        <v>121</v>
      </c>
      <c r="H3" s="107" t="s">
        <v>175</v>
      </c>
      <c r="I3" s="107"/>
    </row>
    <row r="4" spans="1:12" x14ac:dyDescent="0.25">
      <c r="A4" s="107" t="s">
        <v>172</v>
      </c>
      <c r="B4" s="108">
        <v>42049</v>
      </c>
      <c r="C4" s="108">
        <v>42138</v>
      </c>
      <c r="D4" s="108">
        <v>42420</v>
      </c>
      <c r="E4" s="109" t="s">
        <v>173</v>
      </c>
      <c r="G4" s="107" t="s">
        <v>172</v>
      </c>
      <c r="H4" s="109">
        <v>42114</v>
      </c>
      <c r="I4" s="109" t="s">
        <v>173</v>
      </c>
    </row>
    <row r="5" spans="1:12" x14ac:dyDescent="0.25">
      <c r="A5" s="60" t="s">
        <v>68</v>
      </c>
      <c r="B5" s="9">
        <v>200</v>
      </c>
      <c r="C5" s="9"/>
      <c r="D5" s="9"/>
      <c r="E5" s="9">
        <v>200</v>
      </c>
      <c r="G5" s="60" t="s">
        <v>68</v>
      </c>
      <c r="H5" s="9">
        <v>100</v>
      </c>
      <c r="I5" s="9">
        <v>100</v>
      </c>
    </row>
    <row r="6" spans="1:12" x14ac:dyDescent="0.25">
      <c r="A6" s="61" t="s">
        <v>184</v>
      </c>
      <c r="B6" s="9">
        <v>200</v>
      </c>
      <c r="C6" s="9"/>
      <c r="D6" s="9"/>
      <c r="E6" s="9">
        <v>200</v>
      </c>
      <c r="G6" s="61" t="s">
        <v>187</v>
      </c>
      <c r="H6" s="9">
        <v>100</v>
      </c>
      <c r="I6" s="9">
        <v>100</v>
      </c>
    </row>
    <row r="7" spans="1:12" x14ac:dyDescent="0.25">
      <c r="A7" s="60" t="s">
        <v>10</v>
      </c>
      <c r="B7" s="9"/>
      <c r="C7" s="9">
        <v>250</v>
      </c>
      <c r="D7" s="9"/>
      <c r="E7" s="9">
        <v>250</v>
      </c>
      <c r="G7" s="110" t="s">
        <v>173</v>
      </c>
      <c r="H7" s="111">
        <v>100</v>
      </c>
      <c r="I7" s="111">
        <v>100</v>
      </c>
    </row>
    <row r="8" spans="1:12" x14ac:dyDescent="0.25">
      <c r="A8" s="61" t="s">
        <v>185</v>
      </c>
      <c r="B8" s="9"/>
      <c r="C8" s="9">
        <v>250</v>
      </c>
      <c r="D8" s="9"/>
      <c r="E8" s="9">
        <v>250</v>
      </c>
    </row>
    <row r="9" spans="1:12" x14ac:dyDescent="0.25">
      <c r="A9" s="60" t="s">
        <v>76</v>
      </c>
      <c r="B9" s="9"/>
      <c r="C9" s="9"/>
      <c r="D9" s="9">
        <v>1000</v>
      </c>
      <c r="E9" s="9">
        <v>1000</v>
      </c>
    </row>
    <row r="10" spans="1:12" x14ac:dyDescent="0.25">
      <c r="A10" s="61" t="s">
        <v>186</v>
      </c>
      <c r="B10" s="9"/>
      <c r="C10" s="9"/>
      <c r="D10" s="9">
        <v>1000</v>
      </c>
      <c r="E10" s="9">
        <v>1000</v>
      </c>
    </row>
    <row r="11" spans="1:12" x14ac:dyDescent="0.25">
      <c r="A11" s="110" t="s">
        <v>173</v>
      </c>
      <c r="B11" s="111">
        <v>200</v>
      </c>
      <c r="C11" s="111">
        <v>250</v>
      </c>
      <c r="D11" s="111">
        <v>1000</v>
      </c>
      <c r="E11" s="111">
        <v>1450</v>
      </c>
    </row>
    <row r="12" spans="1:12" x14ac:dyDescent="0.25">
      <c r="C12" s="107"/>
      <c r="G12" s="59" t="s">
        <v>189</v>
      </c>
      <c r="H12" s="59" t="s">
        <v>175</v>
      </c>
    </row>
    <row r="13" spans="1:12" x14ac:dyDescent="0.25">
      <c r="A13" s="107" t="s">
        <v>138</v>
      </c>
      <c r="B13" s="107" t="s">
        <v>175</v>
      </c>
      <c r="C13" s="107"/>
      <c r="G13" s="59" t="s">
        <v>174</v>
      </c>
      <c r="H13" s="8">
        <v>41192</v>
      </c>
      <c r="I13" s="8">
        <v>41325</v>
      </c>
      <c r="J13" s="8">
        <v>42114</v>
      </c>
      <c r="K13" s="8">
        <v>42653</v>
      </c>
      <c r="L13" s="8" t="s">
        <v>173</v>
      </c>
    </row>
    <row r="14" spans="1:12" x14ac:dyDescent="0.25">
      <c r="A14" s="107" t="s">
        <v>174</v>
      </c>
      <c r="B14" s="109">
        <v>42571</v>
      </c>
      <c r="C14" s="109" t="s">
        <v>173</v>
      </c>
      <c r="G14" s="60" t="s">
        <v>68</v>
      </c>
      <c r="H14" s="9">
        <v>100</v>
      </c>
      <c r="I14" s="9"/>
      <c r="J14" s="9"/>
      <c r="K14" s="9"/>
      <c r="L14" s="9">
        <v>100</v>
      </c>
    </row>
    <row r="15" spans="1:12" x14ac:dyDescent="0.25">
      <c r="A15" s="60" t="s">
        <v>68</v>
      </c>
      <c r="B15" s="9">
        <v>200</v>
      </c>
      <c r="C15" s="9">
        <v>200</v>
      </c>
      <c r="G15" s="61" t="s">
        <v>176</v>
      </c>
      <c r="H15" s="9">
        <v>100</v>
      </c>
      <c r="I15" s="9"/>
      <c r="J15" s="9"/>
      <c r="K15" s="9"/>
      <c r="L15" s="9">
        <v>100</v>
      </c>
    </row>
    <row r="16" spans="1:12" x14ac:dyDescent="0.25">
      <c r="A16" s="61" t="s">
        <v>188</v>
      </c>
      <c r="B16" s="9">
        <v>200</v>
      </c>
      <c r="C16" s="9">
        <v>200</v>
      </c>
      <c r="G16" s="60" t="s">
        <v>10</v>
      </c>
      <c r="H16" s="9"/>
      <c r="I16" s="9">
        <v>100</v>
      </c>
      <c r="J16" s="9"/>
      <c r="K16" s="9"/>
      <c r="L16" s="9">
        <v>100</v>
      </c>
    </row>
    <row r="17" spans="1:14" x14ac:dyDescent="0.25">
      <c r="A17" s="110" t="s">
        <v>173</v>
      </c>
      <c r="B17" s="111">
        <v>200</v>
      </c>
      <c r="C17" s="111">
        <v>200</v>
      </c>
      <c r="G17" s="61" t="s">
        <v>176</v>
      </c>
      <c r="H17" s="9"/>
      <c r="I17" s="9">
        <v>100</v>
      </c>
      <c r="J17" s="9"/>
      <c r="K17" s="9"/>
      <c r="L17" s="9">
        <v>100</v>
      </c>
    </row>
    <row r="18" spans="1:14" x14ac:dyDescent="0.25">
      <c r="G18" s="60" t="s">
        <v>76</v>
      </c>
      <c r="H18" s="9"/>
      <c r="I18" s="9"/>
      <c r="J18" s="9">
        <v>1000</v>
      </c>
      <c r="K18" s="9">
        <v>1000</v>
      </c>
      <c r="L18" s="9">
        <v>2000</v>
      </c>
    </row>
    <row r="19" spans="1:14" x14ac:dyDescent="0.25">
      <c r="G19" s="61" t="s">
        <v>176</v>
      </c>
      <c r="H19" s="9"/>
      <c r="I19" s="9"/>
      <c r="J19" s="9">
        <v>1000</v>
      </c>
      <c r="K19" s="9">
        <v>1000</v>
      </c>
      <c r="L19" s="9">
        <v>2000</v>
      </c>
    </row>
    <row r="20" spans="1:14" x14ac:dyDescent="0.25">
      <c r="G20" s="60" t="s">
        <v>173</v>
      </c>
      <c r="H20" s="9">
        <v>100</v>
      </c>
      <c r="I20" s="9">
        <v>100</v>
      </c>
      <c r="J20" s="9">
        <v>1000</v>
      </c>
      <c r="K20" s="9">
        <v>1000</v>
      </c>
      <c r="L20" s="9">
        <v>2200</v>
      </c>
    </row>
    <row r="22" spans="1:14" x14ac:dyDescent="0.25">
      <c r="J22" s="9"/>
      <c r="K22" s="9"/>
      <c r="L22" s="9"/>
      <c r="M22" s="9"/>
      <c r="N22" s="9"/>
    </row>
    <row r="23" spans="1:14" x14ac:dyDescent="0.25">
      <c r="J23" s="9"/>
      <c r="K23" s="9"/>
      <c r="L23" s="9"/>
      <c r="M23" s="9"/>
      <c r="N23" s="9"/>
    </row>
    <row r="24" spans="1:14" x14ac:dyDescent="0.25">
      <c r="J24" s="9"/>
      <c r="K24" s="9"/>
      <c r="L24" s="9"/>
      <c r="M24" s="9"/>
      <c r="N24" s="9"/>
    </row>
    <row r="25" spans="1:14" x14ac:dyDescent="0.25">
      <c r="J25" s="9"/>
      <c r="K25" s="9"/>
      <c r="L25" s="9"/>
      <c r="M25" s="9"/>
      <c r="N2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Production</vt:lpstr>
      <vt:lpstr>STOCK</vt:lpstr>
      <vt:lpstr>Epicerie</vt:lpstr>
      <vt:lpstr>Monoprix</vt:lpstr>
      <vt:lpstr>Marchés</vt:lpstr>
      <vt:lpstr>Cadeaux</vt:lpstr>
      <vt:lpstr>Base de données</vt:lpstr>
      <vt:lpstr>Feuil2</vt:lpstr>
      <vt:lpstr>Cadeaux</vt:lpstr>
      <vt:lpstr>Catégorie</vt:lpstr>
      <vt:lpstr>Marchés!Epicerie</vt:lpstr>
      <vt:lpstr>Epicerie</vt:lpstr>
      <vt:lpstr>Gamme</vt:lpstr>
      <vt:lpstr>Marchés!GMS</vt:lpstr>
      <vt:lpstr>GMS</vt:lpstr>
      <vt:lpstr>Marchés!Marché</vt:lpstr>
      <vt:lpstr>nom</vt:lpstr>
      <vt:lpstr>Référence</vt:lpstr>
      <vt:lpstr>Marchés!T_base</vt:lpstr>
      <vt:lpstr>T_base</vt:lpstr>
      <vt:lpstr>T_entrées</vt:lpstr>
      <vt:lpstr>T_produit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</dc:creator>
  <cp:lastModifiedBy>morgane</cp:lastModifiedBy>
  <dcterms:created xsi:type="dcterms:W3CDTF">2016-04-14T14:10:53Z</dcterms:created>
  <dcterms:modified xsi:type="dcterms:W3CDTF">2016-05-11T16:22:07Z</dcterms:modified>
</cp:coreProperties>
</file>