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20115" windowHeight="10800" tabRatio="731"/>
  </bookViews>
  <sheets>
    <sheet name="Insertion_tableau Final" sheetId="1" r:id="rId1"/>
  </sheets>
  <calcPr calcId="125725"/>
</workbook>
</file>

<file path=xl/calcChain.xml><?xml version="1.0" encoding="utf-8"?>
<calcChain xmlns="http://schemas.openxmlformats.org/spreadsheetml/2006/main">
  <c r="M159" i="1"/>
  <c r="M160"/>
  <c r="N159"/>
  <c r="N160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V90"/>
  <c r="V89"/>
  <c r="V88"/>
  <c r="K160" s="1"/>
  <c r="J160" s="1"/>
  <c r="V87"/>
  <c r="K156" s="1"/>
  <c r="J156" s="1"/>
  <c r="V86"/>
  <c r="K152" s="1"/>
  <c r="J152" s="1"/>
  <c r="V83"/>
  <c r="V82"/>
  <c r="V81"/>
  <c r="K148" s="1"/>
  <c r="J148" s="1"/>
  <c r="V80"/>
  <c r="K144" s="1"/>
  <c r="J144" s="1"/>
  <c r="V79"/>
  <c r="K140" s="1"/>
  <c r="J140" s="1"/>
  <c r="V78"/>
  <c r="K136" s="1"/>
  <c r="J136" s="1"/>
  <c r="V75"/>
  <c r="V74"/>
  <c r="V73"/>
  <c r="V72"/>
  <c r="K135" s="1"/>
  <c r="J135" s="1"/>
  <c r="V71"/>
  <c r="K132" s="1"/>
  <c r="J132" s="1"/>
  <c r="V70"/>
  <c r="K128" s="1"/>
  <c r="J128" s="1"/>
  <c r="V66"/>
  <c r="V65"/>
  <c r="V64"/>
  <c r="K124" s="1"/>
  <c r="J124" s="1"/>
  <c r="V63"/>
  <c r="K120" s="1"/>
  <c r="J120" s="1"/>
  <c r="V62"/>
  <c r="K116" s="1"/>
  <c r="J116" s="1"/>
  <c r="V61"/>
  <c r="K112" s="1"/>
  <c r="J112" s="1"/>
  <c r="V56"/>
  <c r="V55"/>
  <c r="V54"/>
  <c r="K108" s="1"/>
  <c r="J108" s="1"/>
  <c r="V53"/>
  <c r="K107" s="1"/>
  <c r="J107" s="1"/>
  <c r="V52"/>
  <c r="K104" s="1"/>
  <c r="J104" s="1"/>
  <c r="K103" l="1"/>
  <c r="J103" s="1"/>
  <c r="K157"/>
  <c r="J157" s="1"/>
  <c r="K153"/>
  <c r="J153" s="1"/>
  <c r="K149"/>
  <c r="J149" s="1"/>
  <c r="K145"/>
  <c r="J145" s="1"/>
  <c r="K141"/>
  <c r="J141" s="1"/>
  <c r="K137"/>
  <c r="J137" s="1"/>
  <c r="K133"/>
  <c r="J133" s="1"/>
  <c r="K129"/>
  <c r="J129" s="1"/>
  <c r="K125"/>
  <c r="J125" s="1"/>
  <c r="K121"/>
  <c r="J121" s="1"/>
  <c r="K117"/>
  <c r="J117" s="1"/>
  <c r="K113"/>
  <c r="J113" s="1"/>
  <c r="K109"/>
  <c r="J109" s="1"/>
  <c r="K105"/>
  <c r="J105" s="1"/>
  <c r="K158"/>
  <c r="J158" s="1"/>
  <c r="K154"/>
  <c r="J154" s="1"/>
  <c r="K150"/>
  <c r="J150" s="1"/>
  <c r="K146"/>
  <c r="J146" s="1"/>
  <c r="K142"/>
  <c r="J142" s="1"/>
  <c r="K138"/>
  <c r="J138" s="1"/>
  <c r="K134"/>
  <c r="J134" s="1"/>
  <c r="K130"/>
  <c r="J130" s="1"/>
  <c r="K126"/>
  <c r="J126" s="1"/>
  <c r="K122"/>
  <c r="J122" s="1"/>
  <c r="K118"/>
  <c r="J118" s="1"/>
  <c r="K114"/>
  <c r="J114" s="1"/>
  <c r="K110"/>
  <c r="J110" s="1"/>
  <c r="K106"/>
  <c r="J106" s="1"/>
  <c r="K159"/>
  <c r="J159" s="1"/>
  <c r="K155"/>
  <c r="J155" s="1"/>
  <c r="K151"/>
  <c r="J151" s="1"/>
  <c r="K147"/>
  <c r="J147" s="1"/>
  <c r="K143"/>
  <c r="J143" s="1"/>
  <c r="K139"/>
  <c r="J139" s="1"/>
  <c r="K131"/>
  <c r="J131" s="1"/>
  <c r="K127"/>
  <c r="J127" s="1"/>
  <c r="K123"/>
  <c r="J123" s="1"/>
  <c r="K119"/>
  <c r="J119" s="1"/>
  <c r="K115"/>
  <c r="J115" s="1"/>
  <c r="K111"/>
  <c r="J111" s="1"/>
  <c r="K102"/>
  <c r="J102" s="1"/>
  <c r="V85"/>
  <c r="V91"/>
  <c r="V17"/>
  <c r="V16"/>
  <c r="V15"/>
  <c r="V14"/>
  <c r="V13"/>
  <c r="V12"/>
  <c r="V11"/>
  <c r="V57"/>
  <c r="K34" l="1"/>
  <c r="J34" s="1"/>
  <c r="K33"/>
  <c r="J33" s="1"/>
  <c r="K36"/>
  <c r="J36" s="1"/>
  <c r="K35"/>
  <c r="J35" s="1"/>
  <c r="K30"/>
  <c r="J30" s="1"/>
  <c r="K29"/>
  <c r="J29" s="1"/>
  <c r="K32"/>
  <c r="J32" s="1"/>
  <c r="K31"/>
  <c r="J31" s="1"/>
  <c r="K42"/>
  <c r="J42" s="1"/>
  <c r="K41"/>
  <c r="J41" s="1"/>
  <c r="K44"/>
  <c r="J44" s="1"/>
  <c r="K43"/>
  <c r="J43" s="1"/>
  <c r="K38"/>
  <c r="J38" s="1"/>
  <c r="K37"/>
  <c r="J37" s="1"/>
  <c r="K40"/>
  <c r="J40" s="1"/>
  <c r="K39"/>
  <c r="J39" s="1"/>
  <c r="G4"/>
  <c r="AA8" l="1"/>
  <c r="AA12"/>
  <c r="AA16"/>
  <c r="AA20"/>
  <c r="AA24"/>
  <c r="AA28"/>
  <c r="AA32"/>
  <c r="AA36"/>
  <c r="AA40"/>
  <c r="AA44"/>
  <c r="AA48"/>
  <c r="AA52"/>
  <c r="AA56"/>
  <c r="AA60"/>
  <c r="AA64"/>
  <c r="AA68"/>
  <c r="AA7"/>
  <c r="AA11"/>
  <c r="AA15"/>
  <c r="AA19"/>
  <c r="AA23"/>
  <c r="AA27"/>
  <c r="AA31"/>
  <c r="AA35"/>
  <c r="AA39"/>
  <c r="AA43"/>
  <c r="AA47"/>
  <c r="AA51"/>
  <c r="AA55"/>
  <c r="AA59"/>
  <c r="AA63"/>
  <c r="AA67"/>
  <c r="AA6"/>
  <c r="AA10"/>
  <c r="AA14"/>
  <c r="AA18"/>
  <c r="AA22"/>
  <c r="AA26"/>
  <c r="AA30"/>
  <c r="AA34"/>
  <c r="AA38"/>
  <c r="AA42"/>
  <c r="AA46"/>
  <c r="AA50"/>
  <c r="AA54"/>
  <c r="AA58"/>
  <c r="AA62"/>
  <c r="AA66"/>
  <c r="AA4"/>
  <c r="AA5"/>
  <c r="AA9"/>
  <c r="AA13"/>
  <c r="AA17"/>
  <c r="AA21"/>
  <c r="AA25"/>
  <c r="AA29"/>
  <c r="AA33"/>
  <c r="AA37"/>
  <c r="AA41"/>
  <c r="AA45"/>
  <c r="AA49"/>
  <c r="AA53"/>
  <c r="AA57"/>
  <c r="AA61"/>
  <c r="AA65"/>
  <c r="AA69"/>
  <c r="CM2"/>
  <c r="CI2"/>
  <c r="CE2"/>
  <c r="CA2"/>
  <c r="BW2"/>
  <c r="BS2"/>
  <c r="BO2"/>
  <c r="BK2"/>
  <c r="BG2"/>
  <c r="BC2"/>
  <c r="AY2"/>
  <c r="AU2"/>
  <c r="AQ2"/>
  <c r="AM2"/>
  <c r="AI2"/>
  <c r="AE2"/>
  <c r="CN2"/>
  <c r="CJ2"/>
  <c r="CF2"/>
  <c r="CB2"/>
  <c r="BX2"/>
  <c r="BT2"/>
  <c r="BP2"/>
  <c r="BL2"/>
  <c r="BH2"/>
  <c r="BD2"/>
  <c r="AZ2"/>
  <c r="AV2"/>
  <c r="AR2"/>
  <c r="AN2"/>
  <c r="AJ2"/>
  <c r="AF2"/>
  <c r="CO2"/>
  <c r="CK2"/>
  <c r="CG2"/>
  <c r="CC2"/>
  <c r="BY2"/>
  <c r="BU2"/>
  <c r="BQ2"/>
  <c r="BM2"/>
  <c r="BI2"/>
  <c r="BE2"/>
  <c r="BA2"/>
  <c r="AW2"/>
  <c r="AS2"/>
  <c r="AO2"/>
  <c r="AK2"/>
  <c r="AG2"/>
  <c r="AC2"/>
  <c r="CP2"/>
  <c r="CL2"/>
  <c r="CH2"/>
  <c r="CD2"/>
  <c r="BZ2"/>
  <c r="BV2"/>
  <c r="BR2"/>
  <c r="BN2"/>
  <c r="BJ2"/>
  <c r="BF2"/>
  <c r="BB2"/>
  <c r="AX2"/>
  <c r="AT2"/>
  <c r="AP2"/>
  <c r="AL2"/>
  <c r="AH2"/>
  <c r="AD2"/>
  <c r="AP10"/>
  <c r="V33"/>
  <c r="V32"/>
  <c r="V31"/>
  <c r="V30"/>
  <c r="V29"/>
  <c r="V28"/>
  <c r="V27"/>
  <c r="V25"/>
  <c r="V24"/>
  <c r="V23"/>
  <c r="V22"/>
  <c r="V21"/>
  <c r="V20"/>
  <c r="V19"/>
  <c r="V9"/>
  <c r="V8"/>
  <c r="V7"/>
  <c r="V6"/>
  <c r="V5"/>
  <c r="V4"/>
  <c r="V3"/>
  <c r="O4"/>
  <c r="L4"/>
  <c r="I4"/>
  <c r="H4"/>
  <c r="V77"/>
  <c r="V69"/>
  <c r="V60"/>
  <c r="V51"/>
  <c r="V49"/>
  <c r="V48"/>
  <c r="V47"/>
  <c r="V46"/>
  <c r="V45"/>
  <c r="V44"/>
  <c r="V43"/>
  <c r="V41"/>
  <c r="V40"/>
  <c r="V39"/>
  <c r="V38"/>
  <c r="V37"/>
  <c r="V36"/>
  <c r="V35"/>
  <c r="K78" l="1"/>
  <c r="J78" s="1"/>
  <c r="K81"/>
  <c r="J81" s="1"/>
  <c r="K80"/>
  <c r="J80" s="1"/>
  <c r="K79"/>
  <c r="J79" s="1"/>
  <c r="K98"/>
  <c r="J98" s="1"/>
  <c r="K101"/>
  <c r="J101" s="1"/>
  <c r="K100"/>
  <c r="J100" s="1"/>
  <c r="K99"/>
  <c r="J99" s="1"/>
  <c r="K6"/>
  <c r="J6" s="1"/>
  <c r="K5"/>
  <c r="J5" s="1"/>
  <c r="K8"/>
  <c r="J8" s="1"/>
  <c r="K7"/>
  <c r="J7" s="1"/>
  <c r="K26"/>
  <c r="J26" s="1"/>
  <c r="K25"/>
  <c r="J25" s="1"/>
  <c r="K24"/>
  <c r="J24" s="1"/>
  <c r="K28"/>
  <c r="J28" s="1"/>
  <c r="K27"/>
  <c r="J27" s="1"/>
  <c r="K50"/>
  <c r="J50" s="1"/>
  <c r="K49"/>
  <c r="J49" s="1"/>
  <c r="K48"/>
  <c r="J48" s="1"/>
  <c r="K62"/>
  <c r="J62" s="1"/>
  <c r="K65"/>
  <c r="J65" s="1"/>
  <c r="K64"/>
  <c r="J64" s="1"/>
  <c r="K63"/>
  <c r="J63" s="1"/>
  <c r="K74"/>
  <c r="J74" s="1"/>
  <c r="K77"/>
  <c r="J77" s="1"/>
  <c r="K76"/>
  <c r="J76" s="1"/>
  <c r="K75"/>
  <c r="J75" s="1"/>
  <c r="K94"/>
  <c r="J94" s="1"/>
  <c r="K97"/>
  <c r="J97" s="1"/>
  <c r="K96"/>
  <c r="J96" s="1"/>
  <c r="K95"/>
  <c r="J95" s="1"/>
  <c r="K22"/>
  <c r="J22" s="1"/>
  <c r="K21"/>
  <c r="J21" s="1"/>
  <c r="K20"/>
  <c r="J20" s="1"/>
  <c r="K19"/>
  <c r="J19" s="1"/>
  <c r="K23"/>
  <c r="J23" s="1"/>
  <c r="K46"/>
  <c r="J46" s="1"/>
  <c r="K45"/>
  <c r="J45" s="1"/>
  <c r="K47"/>
  <c r="J47" s="1"/>
  <c r="K58"/>
  <c r="J58" s="1"/>
  <c r="K61"/>
  <c r="J61" s="1"/>
  <c r="K60"/>
  <c r="J60" s="1"/>
  <c r="K59"/>
  <c r="J59" s="1"/>
  <c r="K70"/>
  <c r="J70" s="1"/>
  <c r="K73"/>
  <c r="J73" s="1"/>
  <c r="K72"/>
  <c r="J72" s="1"/>
  <c r="K71"/>
  <c r="J71" s="1"/>
  <c r="K90"/>
  <c r="J90" s="1"/>
  <c r="K93"/>
  <c r="J93" s="1"/>
  <c r="K92"/>
  <c r="J92" s="1"/>
  <c r="K91"/>
  <c r="J91" s="1"/>
  <c r="K14"/>
  <c r="J14" s="1"/>
  <c r="K18"/>
  <c r="J18" s="1"/>
  <c r="K17"/>
  <c r="J17" s="1"/>
  <c r="K16"/>
  <c r="J16" s="1"/>
  <c r="K15"/>
  <c r="J15" s="1"/>
  <c r="K54"/>
  <c r="J54" s="1"/>
  <c r="K57"/>
  <c r="J57" s="1"/>
  <c r="K56"/>
  <c r="J56" s="1"/>
  <c r="K55"/>
  <c r="J55" s="1"/>
  <c r="K82"/>
  <c r="J82" s="1"/>
  <c r="K85"/>
  <c r="J85" s="1"/>
  <c r="K84"/>
  <c r="J84" s="1"/>
  <c r="K83"/>
  <c r="J83" s="1"/>
  <c r="K86"/>
  <c r="J86" s="1"/>
  <c r="K89"/>
  <c r="J89" s="1"/>
  <c r="K88"/>
  <c r="J88" s="1"/>
  <c r="K87"/>
  <c r="J87" s="1"/>
  <c r="K10"/>
  <c r="J10" s="1"/>
  <c r="K9"/>
  <c r="J9" s="1"/>
  <c r="K13"/>
  <c r="J13" s="1"/>
  <c r="K12"/>
  <c r="J12" s="1"/>
  <c r="K11"/>
  <c r="J11" s="1"/>
  <c r="K53"/>
  <c r="J53" s="1"/>
  <c r="K52"/>
  <c r="J52" s="1"/>
  <c r="K51"/>
  <c r="J51" s="1"/>
  <c r="K66"/>
  <c r="J66" s="1"/>
  <c r="K69"/>
  <c r="J69" s="1"/>
  <c r="K68"/>
  <c r="J68" s="1"/>
  <c r="K67"/>
  <c r="J67" s="1"/>
  <c r="AN19"/>
  <c r="AR27"/>
  <c r="K4"/>
  <c r="AS15"/>
  <c r="AJ16"/>
  <c r="AL20"/>
  <c r="AK21"/>
  <c r="AJ21"/>
  <c r="AN16"/>
  <c r="AJ19"/>
  <c r="AL16"/>
  <c r="AH15"/>
  <c r="AH12"/>
  <c r="AL19"/>
  <c r="AN20"/>
  <c r="BE39"/>
  <c r="AI19"/>
  <c r="AM20"/>
  <c r="AT26"/>
  <c r="AI21"/>
  <c r="AI16"/>
  <c r="AK19"/>
  <c r="AK16"/>
  <c r="AH14"/>
  <c r="AM16"/>
  <c r="BF38"/>
  <c r="AN21"/>
  <c r="BQ46"/>
  <c r="BL43"/>
  <c r="BH41"/>
  <c r="BM46"/>
  <c r="BI43"/>
  <c r="BK40"/>
  <c r="BO46"/>
  <c r="BJ43"/>
  <c r="BL40"/>
  <c r="BP46"/>
  <c r="BK43"/>
  <c r="BG41"/>
  <c r="BU52"/>
  <c r="BV55"/>
  <c r="CB58"/>
  <c r="CA60"/>
  <c r="CD59"/>
  <c r="CF65"/>
  <c r="CJ69"/>
  <c r="BX43"/>
  <c r="BO38"/>
  <c r="BN50"/>
  <c r="BS57"/>
  <c r="BZ47"/>
  <c r="CD49"/>
  <c r="CH56"/>
  <c r="CN58"/>
  <c r="CL61"/>
  <c r="CP63"/>
  <c r="BX52"/>
  <c r="BW57"/>
  <c r="BY63"/>
  <c r="CB62"/>
  <c r="CG64"/>
  <c r="CG67"/>
  <c r="CJ66"/>
  <c r="BU41"/>
  <c r="BV44"/>
  <c r="BR38"/>
  <c r="BS54"/>
  <c r="BY51"/>
  <c r="CG52"/>
  <c r="CI57"/>
  <c r="CM62"/>
  <c r="BU56"/>
  <c r="BX55"/>
  <c r="BZ61"/>
  <c r="CC60"/>
  <c r="CE66"/>
  <c r="CH65"/>
  <c r="BX41"/>
  <c r="BT45"/>
  <c r="BP39"/>
  <c r="CD46"/>
  <c r="CB49"/>
  <c r="CF56"/>
  <c r="CL58"/>
  <c r="CN63"/>
  <c r="BU53"/>
  <c r="BY58"/>
  <c r="CA63"/>
  <c r="CD62"/>
  <c r="CF68"/>
  <c r="CI67"/>
  <c r="BW45"/>
  <c r="CC46"/>
  <c r="CA49"/>
  <c r="CE56"/>
  <c r="CK58"/>
  <c r="CM63"/>
  <c r="BL33"/>
  <c r="BK32"/>
  <c r="AS27"/>
  <c r="AR22"/>
  <c r="AL21"/>
  <c r="AZ20"/>
  <c r="BE22"/>
  <c r="AE4"/>
  <c r="AC5"/>
  <c r="AG5"/>
  <c r="AE6"/>
  <c r="AC7"/>
  <c r="AG7"/>
  <c r="AE8"/>
  <c r="AC9"/>
  <c r="AG9"/>
  <c r="AI10"/>
  <c r="AM10"/>
  <c r="AJ11"/>
  <c r="AN11"/>
  <c r="AK12"/>
  <c r="AL13"/>
  <c r="AI14"/>
  <c r="AM14"/>
  <c r="AJ15"/>
  <c r="AN15"/>
  <c r="AO16"/>
  <c r="AS16"/>
  <c r="AQ17"/>
  <c r="AR18"/>
  <c r="AO19"/>
  <c r="AS19"/>
  <c r="AP20"/>
  <c r="AT20"/>
  <c r="AD4"/>
  <c r="AH4"/>
  <c r="AF5"/>
  <c r="AD6"/>
  <c r="AH6"/>
  <c r="AF7"/>
  <c r="AD8"/>
  <c r="AH8"/>
  <c r="AF9"/>
  <c r="AL10"/>
  <c r="AI11"/>
  <c r="AM11"/>
  <c r="AJ12"/>
  <c r="AN12"/>
  <c r="AK13"/>
  <c r="AL14"/>
  <c r="AI15"/>
  <c r="AM15"/>
  <c r="AR16"/>
  <c r="AP17"/>
  <c r="AT17"/>
  <c r="AQ18"/>
  <c r="AR19"/>
  <c r="AC4"/>
  <c r="AG4"/>
  <c r="AE5"/>
  <c r="AC6"/>
  <c r="AG6"/>
  <c r="AE7"/>
  <c r="AC8"/>
  <c r="AG8"/>
  <c r="AE9"/>
  <c r="AK10"/>
  <c r="AL11"/>
  <c r="AI12"/>
  <c r="AM12"/>
  <c r="AJ13"/>
  <c r="AN13"/>
  <c r="AK14"/>
  <c r="AL15"/>
  <c r="AQ16"/>
  <c r="AO17"/>
  <c r="AS17"/>
  <c r="AP18"/>
  <c r="AT18"/>
  <c r="AF4"/>
  <c r="AD5"/>
  <c r="AH5"/>
  <c r="AF6"/>
  <c r="AD7"/>
  <c r="AH7"/>
  <c r="AF8"/>
  <c r="AD9"/>
  <c r="AH9"/>
  <c r="AJ10"/>
  <c r="AN10"/>
  <c r="AK11"/>
  <c r="AL12"/>
  <c r="AI13"/>
  <c r="AM13"/>
  <c r="AJ14"/>
  <c r="AN14"/>
  <c r="AK15"/>
  <c r="AP16"/>
  <c r="AT16"/>
  <c r="AR17"/>
  <c r="AO18"/>
  <c r="AS18"/>
  <c r="AP19"/>
  <c r="AT19"/>
  <c r="AS20"/>
  <c r="AO21"/>
  <c r="AS21"/>
  <c r="AU22"/>
  <c r="AY22"/>
  <c r="AV23"/>
  <c r="AZ23"/>
  <c r="AW24"/>
  <c r="AX25"/>
  <c r="AU26"/>
  <c r="AY26"/>
  <c r="AV27"/>
  <c r="AZ27"/>
  <c r="BD28"/>
  <c r="BC29"/>
  <c r="BD30"/>
  <c r="BA31"/>
  <c r="BE31"/>
  <c r="BB32"/>
  <c r="BF32"/>
  <c r="BC33"/>
  <c r="BJ34"/>
  <c r="BI35"/>
  <c r="BH36"/>
  <c r="BL36"/>
  <c r="BG37"/>
  <c r="BK37"/>
  <c r="BJ38"/>
  <c r="BI39"/>
  <c r="BG39"/>
  <c r="BJ39"/>
  <c r="AR20"/>
  <c r="AR21"/>
  <c r="AX22"/>
  <c r="AU23"/>
  <c r="AY23"/>
  <c r="AV24"/>
  <c r="AZ24"/>
  <c r="AW25"/>
  <c r="AX26"/>
  <c r="AU27"/>
  <c r="AY27"/>
  <c r="BC28"/>
  <c r="BB29"/>
  <c r="BF29"/>
  <c r="BC30"/>
  <c r="BD31"/>
  <c r="BA32"/>
  <c r="BE32"/>
  <c r="BB33"/>
  <c r="BF33"/>
  <c r="BI34"/>
  <c r="BH35"/>
  <c r="BL35"/>
  <c r="BG36"/>
  <c r="BK36"/>
  <c r="BJ37"/>
  <c r="BI38"/>
  <c r="BH39"/>
  <c r="BL39"/>
  <c r="BK39"/>
  <c r="AQ20"/>
  <c r="AQ21"/>
  <c r="AW22"/>
  <c r="AX23"/>
  <c r="AU24"/>
  <c r="AY24"/>
  <c r="AV25"/>
  <c r="AZ25"/>
  <c r="AW26"/>
  <c r="AX27"/>
  <c r="BB28"/>
  <c r="BF28"/>
  <c r="BA29"/>
  <c r="BE29"/>
  <c r="BB30"/>
  <c r="BF30"/>
  <c r="BC31"/>
  <c r="BD32"/>
  <c r="BA33"/>
  <c r="BE33"/>
  <c r="BH34"/>
  <c r="BL34"/>
  <c r="BG35"/>
  <c r="BK35"/>
  <c r="BJ36"/>
  <c r="BI37"/>
  <c r="BH38"/>
  <c r="BL38"/>
  <c r="AQ19"/>
  <c r="AO20"/>
  <c r="AP21"/>
  <c r="AT21"/>
  <c r="AV22"/>
  <c r="AZ22"/>
  <c r="AW23"/>
  <c r="AX24"/>
  <c r="AU25"/>
  <c r="AY25"/>
  <c r="AV26"/>
  <c r="AZ26"/>
  <c r="AW27"/>
  <c r="BA28"/>
  <c r="BE28"/>
  <c r="BD29"/>
  <c r="BA30"/>
  <c r="BE30"/>
  <c r="BB31"/>
  <c r="BF31"/>
  <c r="BC32"/>
  <c r="BD33"/>
  <c r="BG34"/>
  <c r="BK34"/>
  <c r="BJ35"/>
  <c r="BI36"/>
  <c r="BH37"/>
  <c r="BL37"/>
  <c r="BG38"/>
  <c r="BK38"/>
  <c r="BS48"/>
  <c r="BN41"/>
  <c r="BN45"/>
  <c r="CP69"/>
  <c r="CL69"/>
  <c r="CN68"/>
  <c r="CP67"/>
  <c r="CL67"/>
  <c r="CN66"/>
  <c r="CP65"/>
  <c r="CL65"/>
  <c r="CN64"/>
  <c r="BS47"/>
  <c r="BS51"/>
  <c r="BN40"/>
  <c r="BN44"/>
  <c r="CM69"/>
  <c r="CO68"/>
  <c r="CK68"/>
  <c r="CM67"/>
  <c r="CO66"/>
  <c r="CK66"/>
  <c r="CM65"/>
  <c r="CO64"/>
  <c r="CK64"/>
  <c r="BS46"/>
  <c r="BS50"/>
  <c r="BN43"/>
  <c r="CN69"/>
  <c r="CP68"/>
  <c r="CL68"/>
  <c r="CN67"/>
  <c r="CP66"/>
  <c r="CL66"/>
  <c r="CN65"/>
  <c r="CP64"/>
  <c r="CL64"/>
  <c r="BS49"/>
  <c r="BN42"/>
  <c r="CO69"/>
  <c r="CK69"/>
  <c r="CM68"/>
  <c r="CO67"/>
  <c r="CK67"/>
  <c r="CM66"/>
  <c r="CO65"/>
  <c r="CK65"/>
  <c r="CM64"/>
  <c r="AJ9"/>
  <c r="AI7"/>
  <c r="AS10"/>
  <c r="AY20"/>
  <c r="BE24"/>
  <c r="BJ32"/>
  <c r="BK33"/>
  <c r="AY19"/>
  <c r="AK9"/>
  <c r="AR15"/>
  <c r="AY16"/>
  <c r="AN7"/>
  <c r="AR12"/>
  <c r="AT14"/>
  <c r="AM9"/>
  <c r="AL7"/>
  <c r="BG33"/>
  <c r="AZ21"/>
  <c r="AS12"/>
  <c r="AJ7"/>
  <c r="AT10"/>
  <c r="AZ19"/>
  <c r="AI9"/>
  <c r="AK7"/>
  <c r="AN9"/>
  <c r="AZ16"/>
  <c r="AM7"/>
  <c r="AS14"/>
  <c r="AT15"/>
  <c r="AL9"/>
  <c r="AR10"/>
  <c r="AT12"/>
  <c r="BF26"/>
  <c r="BJ33"/>
  <c r="AP22"/>
  <c r="BQ50"/>
  <c r="BJ44"/>
  <c r="BL41"/>
  <c r="BM50"/>
  <c r="BR46"/>
  <c r="BG44"/>
  <c r="BI41"/>
  <c r="BO50"/>
  <c r="BH44"/>
  <c r="BJ41"/>
  <c r="BP50"/>
  <c r="BI44"/>
  <c r="BK41"/>
  <c r="BU54"/>
  <c r="BX53"/>
  <c r="BZ59"/>
  <c r="CD63"/>
  <c r="CF69"/>
  <c r="CI68"/>
  <c r="BT43"/>
  <c r="BS41"/>
  <c r="CB46"/>
  <c r="BZ49"/>
  <c r="CD51"/>
  <c r="CL63"/>
  <c r="BT52"/>
  <c r="BV56"/>
  <c r="CA58"/>
  <c r="CA61"/>
  <c r="CD60"/>
  <c r="CF66"/>
  <c r="CI65"/>
  <c r="BW43"/>
  <c r="BM38"/>
  <c r="BN51"/>
  <c r="CC47"/>
  <c r="CA50"/>
  <c r="CG54"/>
  <c r="CE57"/>
  <c r="CO61"/>
  <c r="BT55"/>
  <c r="BW54"/>
  <c r="BY60"/>
  <c r="CB59"/>
  <c r="CJ64"/>
  <c r="CH69"/>
  <c r="BT41"/>
  <c r="BU44"/>
  <c r="BQ38"/>
  <c r="BN48"/>
  <c r="BS43"/>
  <c r="BZ46"/>
  <c r="CB51"/>
  <c r="CJ52"/>
  <c r="CP62"/>
  <c r="BU57"/>
  <c r="BX56"/>
  <c r="BZ62"/>
  <c r="CC61"/>
  <c r="CE67"/>
  <c r="CH66"/>
  <c r="BW41"/>
  <c r="BX44"/>
  <c r="BO39"/>
  <c r="BS44"/>
  <c r="BY46"/>
  <c r="CA51"/>
  <c r="CI52"/>
  <c r="CO62"/>
  <c r="AR26"/>
  <c r="BF24"/>
  <c r="BI33"/>
  <c r="AZ32"/>
  <c r="BF27"/>
  <c r="BE26"/>
  <c r="AM21"/>
  <c r="BE38"/>
  <c r="AT22"/>
  <c r="AY33"/>
  <c r="AQ15"/>
  <c r="AP12"/>
  <c r="AO14"/>
  <c r="AV20"/>
  <c r="AU16"/>
  <c r="AW21"/>
  <c r="BP51"/>
  <c r="BO48"/>
  <c r="BH45"/>
  <c r="BR50"/>
  <c r="BK44"/>
  <c r="BM51"/>
  <c r="BL44"/>
  <c r="BO51"/>
  <c r="BM48"/>
  <c r="BG45"/>
  <c r="BT53"/>
  <c r="BX57"/>
  <c r="BZ63"/>
  <c r="CC62"/>
  <c r="CE68"/>
  <c r="CH67"/>
  <c r="BV45"/>
  <c r="BR39"/>
  <c r="BN38"/>
  <c r="BS45"/>
  <c r="BZ51"/>
  <c r="CH52"/>
  <c r="CJ57"/>
  <c r="CN62"/>
  <c r="BU55"/>
  <c r="BX54"/>
  <c r="BZ60"/>
  <c r="CC59"/>
  <c r="CE65"/>
  <c r="CI69"/>
  <c r="BY47"/>
  <c r="CC49"/>
  <c r="CG56"/>
  <c r="CM58"/>
  <c r="CK61"/>
  <c r="CO63"/>
  <c r="BW52"/>
  <c r="BV53"/>
  <c r="CD58"/>
  <c r="CB63"/>
  <c r="CF64"/>
  <c r="CG68"/>
  <c r="CJ67"/>
  <c r="BV43"/>
  <c r="BS55"/>
  <c r="CD50"/>
  <c r="CF52"/>
  <c r="CJ54"/>
  <c r="CH57"/>
  <c r="CL62"/>
  <c r="BT56"/>
  <c r="BW55"/>
  <c r="BY61"/>
  <c r="CB60"/>
  <c r="CI64"/>
  <c r="CG65"/>
  <c r="BT44"/>
  <c r="BP38"/>
  <c r="BS52"/>
  <c r="CC50"/>
  <c r="CE52"/>
  <c r="CI54"/>
  <c r="CG57"/>
  <c r="CK62"/>
  <c r="AZ33"/>
  <c r="AY32"/>
  <c r="BE27"/>
  <c r="AJ20"/>
  <c r="BF39"/>
  <c r="BH32"/>
  <c r="AS22"/>
  <c r="AU21"/>
  <c r="BF22"/>
  <c r="AV21"/>
  <c r="AR14"/>
  <c r="BB24"/>
  <c r="BA26"/>
  <c r="BD24"/>
  <c r="BC26"/>
  <c r="BL45"/>
  <c r="BH43"/>
  <c r="BJ40"/>
  <c r="BQ51"/>
  <c r="BP48"/>
  <c r="BI45"/>
  <c r="BG40"/>
  <c r="BR51"/>
  <c r="BQ48"/>
  <c r="BJ45"/>
  <c r="BH40"/>
  <c r="BR48"/>
  <c r="BK45"/>
  <c r="BG43"/>
  <c r="BI40"/>
  <c r="BT57"/>
  <c r="BW56"/>
  <c r="BY62"/>
  <c r="CB61"/>
  <c r="CH64"/>
  <c r="CG66"/>
  <c r="CJ65"/>
  <c r="BV41"/>
  <c r="BW44"/>
  <c r="BM39"/>
  <c r="BN46"/>
  <c r="BS53"/>
  <c r="CD47"/>
  <c r="CB50"/>
  <c r="CH54"/>
  <c r="CF57"/>
  <c r="CP61"/>
  <c r="BT54"/>
  <c r="BW53"/>
  <c r="BY59"/>
  <c r="CC63"/>
  <c r="CE69"/>
  <c r="CH68"/>
  <c r="BU45"/>
  <c r="BQ39"/>
  <c r="BN39"/>
  <c r="CA46"/>
  <c r="BY49"/>
  <c r="CC51"/>
  <c r="CK63"/>
  <c r="BV57"/>
  <c r="BZ58"/>
  <c r="CA62"/>
  <c r="CD61"/>
  <c r="CF67"/>
  <c r="CI66"/>
  <c r="BX45"/>
  <c r="CB47"/>
  <c r="BZ50"/>
  <c r="CF54"/>
  <c r="CJ56"/>
  <c r="CP58"/>
  <c r="CN61"/>
  <c r="BV52"/>
  <c r="BV54"/>
  <c r="CC58"/>
  <c r="CA59"/>
  <c r="CE64"/>
  <c r="CG69"/>
  <c r="CJ68"/>
  <c r="BU43"/>
  <c r="BS56"/>
  <c r="CA47"/>
  <c r="BY50"/>
  <c r="CE54"/>
  <c r="CI56"/>
  <c r="CO58"/>
  <c r="CM61"/>
  <c r="BH33"/>
  <c r="BG32"/>
  <c r="AU20"/>
  <c r="BL32"/>
  <c r="AT27"/>
  <c r="AS26"/>
  <c r="BA22"/>
  <c r="AY21"/>
  <c r="AK20"/>
  <c r="BI32"/>
  <c r="AI20"/>
  <c r="CJ63"/>
  <c r="BT48"/>
  <c r="BT50"/>
  <c r="CD52"/>
  <c r="CD54"/>
  <c r="CD56"/>
  <c r="CJ58"/>
  <c r="CJ60"/>
  <c r="CJ62"/>
  <c r="BV46"/>
  <c r="BT47"/>
  <c r="BX47"/>
  <c r="BV48"/>
  <c r="BT49"/>
  <c r="BX49"/>
  <c r="BV50"/>
  <c r="BT51"/>
  <c r="BX51"/>
  <c r="CB52"/>
  <c r="BZ53"/>
  <c r="CD53"/>
  <c r="CB54"/>
  <c r="BZ55"/>
  <c r="CD55"/>
  <c r="CB56"/>
  <c r="BZ57"/>
  <c r="CD57"/>
  <c r="CH58"/>
  <c r="CF59"/>
  <c r="CJ59"/>
  <c r="CH60"/>
  <c r="CF61"/>
  <c r="CJ61"/>
  <c r="CH62"/>
  <c r="CF63"/>
  <c r="BV47"/>
  <c r="BV49"/>
  <c r="BZ52"/>
  <c r="BZ54"/>
  <c r="BZ56"/>
  <c r="CF58"/>
  <c r="CF60"/>
  <c r="CF62"/>
  <c r="BU46"/>
  <c r="BW47"/>
  <c r="BU48"/>
  <c r="BW49"/>
  <c r="BU50"/>
  <c r="BW51"/>
  <c r="CA52"/>
  <c r="BY53"/>
  <c r="CC53"/>
  <c r="CA54"/>
  <c r="BY55"/>
  <c r="CC55"/>
  <c r="CA56"/>
  <c r="BY57"/>
  <c r="CC57"/>
  <c r="CG58"/>
  <c r="CE59"/>
  <c r="CI59"/>
  <c r="CG60"/>
  <c r="CE61"/>
  <c r="CI61"/>
  <c r="CG62"/>
  <c r="CE63"/>
  <c r="CI63"/>
  <c r="BT46"/>
  <c r="BV51"/>
  <c r="BX46"/>
  <c r="BX48"/>
  <c r="BX50"/>
  <c r="CB53"/>
  <c r="CB55"/>
  <c r="CB57"/>
  <c r="CH59"/>
  <c r="CH61"/>
  <c r="CH63"/>
  <c r="BW46"/>
  <c r="BU47"/>
  <c r="BW48"/>
  <c r="BU49"/>
  <c r="BW50"/>
  <c r="BU51"/>
  <c r="BY52"/>
  <c r="CC52"/>
  <c r="CA53"/>
  <c r="BY54"/>
  <c r="CC54"/>
  <c r="CA55"/>
  <c r="BY56"/>
  <c r="CC56"/>
  <c r="CA57"/>
  <c r="CE58"/>
  <c r="CI58"/>
  <c r="CG59"/>
  <c r="CE60"/>
  <c r="CI60"/>
  <c r="CG61"/>
  <c r="CE62"/>
  <c r="CI62"/>
  <c r="CG63"/>
  <c r="J4"/>
  <c r="BP45"/>
  <c r="BP44"/>
  <c r="BP43"/>
  <c r="BP42"/>
  <c r="BO41"/>
  <c r="BO40"/>
  <c r="BQ45"/>
  <c r="BM45"/>
  <c r="BQ44"/>
  <c r="BM44"/>
  <c r="BQ43"/>
  <c r="BM43"/>
  <c r="BQ42"/>
  <c r="BM42"/>
  <c r="BP41"/>
  <c r="BP40"/>
  <c r="BR45"/>
  <c r="BR44"/>
  <c r="BR43"/>
  <c r="BR42"/>
  <c r="BQ41"/>
  <c r="BM41"/>
  <c r="BQ40"/>
  <c r="BM40"/>
  <c r="BO45"/>
  <c r="BO44"/>
  <c r="BO43"/>
  <c r="BO42"/>
  <c r="BR41"/>
  <c r="BR40"/>
  <c r="AU44" l="1"/>
  <c r="BA60"/>
  <c r="AX42"/>
  <c r="AV43"/>
  <c r="AX41"/>
  <c r="AY45"/>
  <c r="AU42"/>
  <c r="AW40"/>
  <c r="AX44"/>
  <c r="AZ42"/>
  <c r="AU45"/>
  <c r="AW43"/>
  <c r="AM19"/>
  <c r="BD34"/>
  <c r="BD26"/>
  <c r="AV33"/>
  <c r="AV32"/>
  <c r="BA46"/>
  <c r="BA52"/>
  <c r="BA39"/>
  <c r="BA36"/>
  <c r="BA38"/>
  <c r="BA55"/>
  <c r="BA69"/>
  <c r="BA34"/>
  <c r="BA59"/>
  <c r="BA42"/>
  <c r="BA58"/>
  <c r="BA35"/>
  <c r="AO27"/>
  <c r="AO22"/>
  <c r="AO26"/>
  <c r="AG12"/>
  <c r="AG15"/>
  <c r="AG14"/>
  <c r="BC24"/>
  <c r="BD22"/>
  <c r="BC22"/>
  <c r="AO12"/>
  <c r="AV16"/>
  <c r="AX16"/>
  <c r="BB22"/>
  <c r="BA24"/>
  <c r="AX19"/>
  <c r="AP15"/>
  <c r="AU19"/>
  <c r="BB27"/>
  <c r="AU33"/>
  <c r="AU32"/>
  <c r="BD39"/>
  <c r="BD37"/>
  <c r="BD58"/>
  <c r="BD49"/>
  <c r="BD44"/>
  <c r="BD36"/>
  <c r="BD38"/>
  <c r="BD46"/>
  <c r="BD68"/>
  <c r="BD64"/>
  <c r="BD54"/>
  <c r="BD63"/>
  <c r="BD43"/>
  <c r="BD53"/>
  <c r="BD52"/>
  <c r="BD50"/>
  <c r="BD62"/>
  <c r="BD69"/>
  <c r="BD65"/>
  <c r="BD56"/>
  <c r="BD40"/>
  <c r="BD61"/>
  <c r="BD42"/>
  <c r="BD45"/>
  <c r="BD35"/>
  <c r="BD55"/>
  <c r="BD60"/>
  <c r="BD66"/>
  <c r="BD47"/>
  <c r="BD59"/>
  <c r="BD41"/>
  <c r="AF15"/>
  <c r="AF12"/>
  <c r="AF14"/>
  <c r="AE15"/>
  <c r="AE14"/>
  <c r="AE12"/>
  <c r="AX21"/>
  <c r="BA27"/>
  <c r="BD27"/>
  <c r="AO15"/>
  <c r="AV19"/>
  <c r="AX20"/>
  <c r="AP14"/>
  <c r="AQ14"/>
  <c r="BC27"/>
  <c r="AX32"/>
  <c r="AX33"/>
  <c r="BC37"/>
  <c r="BC58"/>
  <c r="BC67"/>
  <c r="BC56"/>
  <c r="BC48"/>
  <c r="BC40"/>
  <c r="BC61"/>
  <c r="BC44"/>
  <c r="BC41"/>
  <c r="BC68"/>
  <c r="BC64"/>
  <c r="BC59"/>
  <c r="BC53"/>
  <c r="BC52"/>
  <c r="BC50"/>
  <c r="BC43"/>
  <c r="BC36"/>
  <c r="BC39"/>
  <c r="BC34"/>
  <c r="BC62"/>
  <c r="BC69"/>
  <c r="BC65"/>
  <c r="BC47"/>
  <c r="BC46"/>
  <c r="BC49"/>
  <c r="BC55"/>
  <c r="BC42"/>
  <c r="BC35"/>
  <c r="BC38"/>
  <c r="BC60"/>
  <c r="BC66"/>
  <c r="BC51"/>
  <c r="BC54"/>
  <c r="BC63"/>
  <c r="BC57"/>
  <c r="BC45"/>
  <c r="AD14"/>
  <c r="AD15"/>
  <c r="AD12"/>
  <c r="AQ12"/>
  <c r="AW19"/>
  <c r="AO10"/>
  <c r="AQ10"/>
  <c r="AW20"/>
  <c r="AW16"/>
  <c r="BB26"/>
  <c r="AW32"/>
  <c r="AW33"/>
  <c r="BB38"/>
  <c r="BB34"/>
  <c r="BB40"/>
  <c r="BB53"/>
  <c r="BB52"/>
  <c r="BB68"/>
  <c r="BB64"/>
  <c r="BB41"/>
  <c r="BB44"/>
  <c r="BB37"/>
  <c r="BB35"/>
  <c r="BB63"/>
  <c r="BB49"/>
  <c r="BB55"/>
  <c r="BB50"/>
  <c r="BB62"/>
  <c r="BB69"/>
  <c r="BB65"/>
  <c r="BB47"/>
  <c r="BB43"/>
  <c r="BB36"/>
  <c r="BB39"/>
  <c r="BB54"/>
  <c r="BB61"/>
  <c r="BB57"/>
  <c r="BB60"/>
  <c r="BB66"/>
  <c r="BB51"/>
  <c r="BB56"/>
  <c r="BB48"/>
  <c r="BB59"/>
  <c r="BB46"/>
  <c r="BB58"/>
  <c r="BB67"/>
  <c r="BB45"/>
  <c r="BB42"/>
  <c r="AQ22"/>
  <c r="AQ26"/>
  <c r="AP26"/>
  <c r="AQ27"/>
  <c r="AP27"/>
  <c r="AC12"/>
  <c r="AC15"/>
  <c r="AC14"/>
  <c r="AV28"/>
  <c r="AV29"/>
  <c r="AF10"/>
  <c r="N4"/>
  <c r="BD48" l="1"/>
  <c r="BD57"/>
  <c r="BA63"/>
  <c r="BA43"/>
  <c r="BA56"/>
  <c r="BA40"/>
  <c r="BA64"/>
  <c r="BA62"/>
  <c r="BA50"/>
  <c r="AZ41"/>
  <c r="AX43"/>
  <c r="AV45"/>
  <c r="AU41"/>
  <c r="AY44"/>
  <c r="AX40"/>
  <c r="AV42"/>
  <c r="AZ45"/>
  <c r="AY41"/>
  <c r="BD67"/>
  <c r="BA48"/>
  <c r="BA57"/>
  <c r="BA49"/>
  <c r="BA53"/>
  <c r="BA41"/>
  <c r="BA65"/>
  <c r="BA67"/>
  <c r="BA61"/>
  <c r="AY42"/>
  <c r="AW44"/>
  <c r="AV40"/>
  <c r="AZ43"/>
  <c r="AX45"/>
  <c r="AW41"/>
  <c r="AU43"/>
  <c r="AZ40"/>
  <c r="BD51"/>
  <c r="BA44"/>
  <c r="BA47"/>
  <c r="BA45"/>
  <c r="BA54"/>
  <c r="BA68"/>
  <c r="BA66"/>
  <c r="BA51"/>
  <c r="AV44"/>
  <c r="AU40"/>
  <c r="AY43"/>
  <c r="AW45"/>
  <c r="AV41"/>
  <c r="AZ44"/>
  <c r="AY40"/>
  <c r="AW42"/>
  <c r="BA37"/>
  <c r="AR24"/>
  <c r="AT24"/>
  <c r="AS24"/>
  <c r="BK29"/>
  <c r="BJ29"/>
  <c r="BH29"/>
  <c r="BL29"/>
  <c r="BI29"/>
  <c r="BG29"/>
  <c r="BH28"/>
  <c r="BJ28"/>
  <c r="BL28"/>
  <c r="BI28"/>
  <c r="BG28"/>
  <c r="BK28"/>
  <c r="AZ18"/>
  <c r="AY18"/>
  <c r="AK18"/>
  <c r="AN18"/>
  <c r="AI18"/>
  <c r="AL18"/>
  <c r="AJ18"/>
  <c r="AM18"/>
  <c r="AU28"/>
  <c r="AX18"/>
  <c r="AH10"/>
  <c r="AW28"/>
  <c r="AW18"/>
  <c r="AU29"/>
  <c r="AU18"/>
  <c r="AG10"/>
  <c r="BU40"/>
  <c r="BW40"/>
  <c r="BX40"/>
  <c r="BT40"/>
  <c r="BS40"/>
  <c r="BV40"/>
  <c r="BN34"/>
  <c r="BP34"/>
  <c r="BO34"/>
  <c r="BR34"/>
  <c r="BM34"/>
  <c r="BQ34"/>
  <c r="BE34"/>
  <c r="BF34"/>
  <c r="AP24"/>
  <c r="AD10"/>
  <c r="AX28"/>
  <c r="AE10"/>
  <c r="AY29"/>
  <c r="AZ29"/>
  <c r="AY28"/>
  <c r="AZ28"/>
  <c r="BR36"/>
  <c r="BQ36"/>
  <c r="BN36"/>
  <c r="BP36"/>
  <c r="BM36"/>
  <c r="BF36"/>
  <c r="BO36"/>
  <c r="BE36"/>
  <c r="AC10"/>
  <c r="AQ24"/>
  <c r="AW29"/>
  <c r="AX29"/>
  <c r="AV18"/>
  <c r="AO24"/>
  <c r="CM1"/>
  <c r="CI1"/>
  <c r="CE1"/>
  <c r="CA1"/>
  <c r="BW1"/>
  <c r="BS1"/>
  <c r="BO1"/>
  <c r="BK1"/>
  <c r="BG1"/>
  <c r="BC1"/>
  <c r="AY1"/>
  <c r="AU1"/>
  <c r="AQ1"/>
  <c r="AM1"/>
  <c r="AI1"/>
  <c r="AE1"/>
  <c r="Z6"/>
  <c r="Z10"/>
  <c r="Z14"/>
  <c r="Z18"/>
  <c r="Z22"/>
  <c r="Z26"/>
  <c r="Z30"/>
  <c r="Z34"/>
  <c r="Z38"/>
  <c r="Z42"/>
  <c r="Z46"/>
  <c r="Z50"/>
  <c r="Z54"/>
  <c r="Z58"/>
  <c r="Z62"/>
  <c r="Z66"/>
  <c r="Z4"/>
  <c r="CN1"/>
  <c r="CJ1"/>
  <c r="CF1"/>
  <c r="CB1"/>
  <c r="BX1"/>
  <c r="BT1"/>
  <c r="BP1"/>
  <c r="BL1"/>
  <c r="BH1"/>
  <c r="BD1"/>
  <c r="AZ1"/>
  <c r="AV1"/>
  <c r="AR1"/>
  <c r="AN1"/>
  <c r="AJ1"/>
  <c r="AF1"/>
  <c r="Z5"/>
  <c r="Z9"/>
  <c r="Z13"/>
  <c r="Z17"/>
  <c r="Z21"/>
  <c r="Z25"/>
  <c r="Z29"/>
  <c r="Z33"/>
  <c r="Z37"/>
  <c r="Z41"/>
  <c r="Z45"/>
  <c r="Z49"/>
  <c r="Z53"/>
  <c r="Z57"/>
  <c r="Z61"/>
  <c r="Z65"/>
  <c r="Z69"/>
  <c r="CO1"/>
  <c r="CK1"/>
  <c r="CG1"/>
  <c r="CC1"/>
  <c r="BY1"/>
  <c r="BU1"/>
  <c r="BQ1"/>
  <c r="BM1"/>
  <c r="BI1"/>
  <c r="BE1"/>
  <c r="BA1"/>
  <c r="AW1"/>
  <c r="AS1"/>
  <c r="AO1"/>
  <c r="AK1"/>
  <c r="AG1"/>
  <c r="AC1"/>
  <c r="Z8"/>
  <c r="Z12"/>
  <c r="Z16"/>
  <c r="Z20"/>
  <c r="Z24"/>
  <c r="Z28"/>
  <c r="Z32"/>
  <c r="Z36"/>
  <c r="Z40"/>
  <c r="Z44"/>
  <c r="Z48"/>
  <c r="Z52"/>
  <c r="Z56"/>
  <c r="Z60"/>
  <c r="Z64"/>
  <c r="Z68"/>
  <c r="CP1"/>
  <c r="CL1"/>
  <c r="CH1"/>
  <c r="CD1"/>
  <c r="BZ1"/>
  <c r="BV1"/>
  <c r="BR1"/>
  <c r="BN1"/>
  <c r="BJ1"/>
  <c r="BF1"/>
  <c r="BB1"/>
  <c r="AX1"/>
  <c r="AT1"/>
  <c r="AP1"/>
  <c r="AL1"/>
  <c r="AH1"/>
  <c r="AD1"/>
  <c r="Z7"/>
  <c r="Z11"/>
  <c r="Z15"/>
  <c r="Z19"/>
  <c r="Z23"/>
  <c r="Z27"/>
  <c r="Z31"/>
  <c r="Z35"/>
  <c r="Z39"/>
  <c r="Z43"/>
  <c r="Z47"/>
  <c r="Z51"/>
  <c r="Z55"/>
  <c r="Z59"/>
  <c r="Z63"/>
  <c r="Z67"/>
  <c r="CO59"/>
  <c r="BH65"/>
  <c r="BF65"/>
  <c r="CK59"/>
  <c r="BS65"/>
  <c r="BR65"/>
  <c r="BP65"/>
  <c r="BO65"/>
  <c r="BN65"/>
  <c r="BZ65"/>
  <c r="BQ65"/>
  <c r="BW65"/>
  <c r="BY65"/>
  <c r="CL59"/>
  <c r="BU65"/>
  <c r="CB65"/>
  <c r="BJ65"/>
  <c r="BG65"/>
  <c r="CC65"/>
  <c r="BT65"/>
  <c r="BI65"/>
  <c r="BE65"/>
  <c r="BL65"/>
  <c r="CA65"/>
  <c r="BX65"/>
  <c r="BV65"/>
  <c r="BM65"/>
  <c r="CP59"/>
  <c r="CN59"/>
  <c r="CM59"/>
  <c r="CD65"/>
  <c r="BK65"/>
  <c r="BF66"/>
  <c r="BM66"/>
  <c r="BS66"/>
  <c r="BY66"/>
  <c r="CK60"/>
  <c r="BE66"/>
  <c r="BQ66"/>
  <c r="BH66"/>
  <c r="BW66"/>
  <c r="CP60"/>
  <c r="CN60"/>
  <c r="BI66"/>
  <c r="BP66"/>
  <c r="BZ66"/>
  <c r="BG66"/>
  <c r="BT66"/>
  <c r="BR66"/>
  <c r="CL60"/>
  <c r="CD66"/>
  <c r="CB66"/>
  <c r="CA66"/>
  <c r="BJ66"/>
  <c r="BV66"/>
  <c r="CC66"/>
  <c r="CO60"/>
  <c r="BO66"/>
  <c r="BN66"/>
  <c r="BU66"/>
  <c r="BL66"/>
  <c r="BK66"/>
  <c r="CM60"/>
  <c r="BX66"/>
  <c r="CH53"/>
  <c r="BP59"/>
  <c r="BN59"/>
  <c r="BL59"/>
  <c r="BJ59"/>
  <c r="BI59"/>
  <c r="BE59"/>
  <c r="CJ53"/>
  <c r="BK59"/>
  <c r="BR59"/>
  <c r="BW59"/>
  <c r="CI53"/>
  <c r="CE53"/>
  <c r="BT59"/>
  <c r="CG53"/>
  <c r="BG59"/>
  <c r="BM59"/>
  <c r="BS59"/>
  <c r="BX59"/>
  <c r="BO59"/>
  <c r="BV59"/>
  <c r="BQ59"/>
  <c r="CF53"/>
  <c r="BH59"/>
  <c r="BF59"/>
  <c r="BU59"/>
  <c r="BE42"/>
  <c r="BH42"/>
  <c r="BS42"/>
  <c r="BF42"/>
  <c r="BI42"/>
  <c r="BK42"/>
  <c r="BT42"/>
  <c r="BW42"/>
  <c r="BJ42"/>
  <c r="BU42"/>
  <c r="BL42"/>
  <c r="BV42"/>
  <c r="BG42"/>
  <c r="BX42"/>
  <c r="CD68"/>
  <c r="CD67"/>
  <c r="BZ67"/>
  <c r="CC68"/>
  <c r="CD69"/>
  <c r="BY68"/>
  <c r="CA69"/>
  <c r="BY67"/>
  <c r="CB64"/>
  <c r="CA68"/>
  <c r="BZ64"/>
  <c r="CA67"/>
  <c r="BZ69"/>
  <c r="BZ68"/>
  <c r="BY69"/>
  <c r="CC67"/>
  <c r="CD64"/>
  <c r="CB68"/>
  <c r="CA64"/>
  <c r="CC69"/>
  <c r="CB67"/>
  <c r="CC64"/>
  <c r="BY64"/>
  <c r="CB69"/>
  <c r="CE55"/>
  <c r="BU61"/>
  <c r="CG55"/>
  <c r="BQ61"/>
  <c r="BL61"/>
  <c r="CI55"/>
  <c r="BS61"/>
  <c r="BI61"/>
  <c r="BE61"/>
  <c r="BX61"/>
  <c r="BV61"/>
  <c r="CJ55"/>
  <c r="BT61"/>
  <c r="CH55"/>
  <c r="BR61"/>
  <c r="BP61"/>
  <c r="BW61"/>
  <c r="BN61"/>
  <c r="BM61"/>
  <c r="BH61"/>
  <c r="BO61"/>
  <c r="BF61"/>
  <c r="BK61"/>
  <c r="CF55"/>
  <c r="BG61"/>
  <c r="BJ61"/>
  <c r="M4"/>
  <c r="BN54"/>
  <c r="CC48"/>
  <c r="CB48"/>
  <c r="BG54"/>
  <c r="CA48"/>
  <c r="BF54"/>
  <c r="BH54"/>
  <c r="BP54"/>
  <c r="BK54"/>
  <c r="BO54"/>
  <c r="BM54"/>
  <c r="BQ54"/>
  <c r="BE54"/>
  <c r="CD48"/>
  <c r="CN54"/>
  <c r="CM54"/>
  <c r="CP54"/>
  <c r="BR54"/>
  <c r="BI54"/>
  <c r="BL54"/>
  <c r="CK54"/>
  <c r="CL54"/>
  <c r="CO54"/>
  <c r="BZ48"/>
  <c r="BY48"/>
  <c r="BJ54"/>
  <c r="BN64"/>
  <c r="BV60"/>
  <c r="BO53"/>
  <c r="BM60"/>
  <c r="BR55"/>
  <c r="BT60"/>
  <c r="BX62"/>
  <c r="BQ57"/>
  <c r="BN57"/>
  <c r="BO58"/>
  <c r="BP57"/>
  <c r="BV62"/>
  <c r="BQ64"/>
  <c r="BM69"/>
  <c r="BM55"/>
  <c r="BM56"/>
  <c r="BT63"/>
  <c r="BO57"/>
  <c r="BN55"/>
  <c r="BM64"/>
  <c r="BU60"/>
  <c r="BR63"/>
  <c r="BQ63"/>
  <c r="BV58"/>
  <c r="BO55"/>
  <c r="BW63"/>
  <c r="BT58"/>
  <c r="BX60"/>
  <c r="BN53"/>
  <c r="BO64"/>
  <c r="BN68"/>
  <c r="BQ52"/>
  <c r="BS63"/>
  <c r="BP67"/>
  <c r="BR56"/>
  <c r="BN67"/>
  <c r="BN58"/>
  <c r="BQ68"/>
  <c r="BO63"/>
  <c r="BT62"/>
  <c r="BO56"/>
  <c r="BO60"/>
  <c r="BU63"/>
  <c r="BP55"/>
  <c r="BR69"/>
  <c r="BR62"/>
  <c r="BQ56"/>
  <c r="BM68"/>
  <c r="BN52"/>
  <c r="BX58"/>
  <c r="BP62"/>
  <c r="BW58"/>
  <c r="BO62"/>
  <c r="BR64"/>
  <c r="BN69"/>
  <c r="BQ60"/>
  <c r="BM52"/>
  <c r="BP68"/>
  <c r="BN63"/>
  <c r="BO52"/>
  <c r="BS58"/>
  <c r="BW60"/>
  <c r="BR67"/>
  <c r="BQ69"/>
  <c r="BQ62"/>
  <c r="BM57"/>
  <c r="BP58"/>
  <c r="BS60"/>
  <c r="BW62"/>
  <c r="BX63"/>
  <c r="BM62"/>
  <c r="BR53"/>
  <c r="BQ55"/>
  <c r="BQ67"/>
  <c r="BM53"/>
  <c r="BP69"/>
  <c r="BQ53"/>
  <c r="BO69"/>
  <c r="BP53"/>
  <c r="BR68"/>
  <c r="BP63"/>
  <c r="BU62"/>
  <c r="BR57"/>
  <c r="BN56"/>
  <c r="BO68"/>
  <c r="BM63"/>
  <c r="BR58"/>
  <c r="BP56"/>
  <c r="BO67"/>
  <c r="BR60"/>
  <c r="BU58"/>
  <c r="BP60"/>
  <c r="BV63"/>
  <c r="BS62"/>
  <c r="BN60"/>
  <c r="BQ58"/>
  <c r="BP52"/>
  <c r="BR52"/>
  <c r="BN62"/>
  <c r="BM67"/>
  <c r="BM58"/>
  <c r="BP64"/>
  <c r="BP37"/>
  <c r="BO37"/>
  <c r="BQ37"/>
  <c r="BR37"/>
  <c r="BE37"/>
  <c r="BN37"/>
  <c r="BM37"/>
  <c r="BF37"/>
  <c r="BK53"/>
  <c r="BF57"/>
  <c r="BE68"/>
  <c r="CE42"/>
  <c r="CF43"/>
  <c r="CG43"/>
  <c r="CH45"/>
  <c r="CE45"/>
  <c r="CH41"/>
  <c r="BE45"/>
  <c r="BH52"/>
  <c r="BF55"/>
  <c r="BE58"/>
  <c r="BF63"/>
  <c r="BL57"/>
  <c r="CP44"/>
  <c r="CO45"/>
  <c r="CK40"/>
  <c r="CL40"/>
  <c r="CM41"/>
  <c r="CN41"/>
  <c r="CK43"/>
  <c r="CN44"/>
  <c r="CM43"/>
  <c r="CP42"/>
  <c r="CP45"/>
  <c r="BI55"/>
  <c r="BL55"/>
  <c r="CA43"/>
  <c r="CD42"/>
  <c r="CD45"/>
  <c r="CD44"/>
  <c r="BY40"/>
  <c r="CB42"/>
  <c r="CA41"/>
  <c r="CD40"/>
  <c r="BZ45"/>
  <c r="BK55"/>
  <c r="BF67"/>
  <c r="BL53"/>
  <c r="BF51"/>
  <c r="BL52"/>
  <c r="BE56"/>
  <c r="BF60"/>
  <c r="BH56"/>
  <c r="BE50"/>
  <c r="BE53"/>
  <c r="CE41"/>
  <c r="CF41"/>
  <c r="CJ42"/>
  <c r="CI41"/>
  <c r="CE44"/>
  <c r="CJ43"/>
  <c r="CI44"/>
  <c r="CI45"/>
  <c r="CF42"/>
  <c r="BF45"/>
  <c r="BF69"/>
  <c r="BF62"/>
  <c r="CN45"/>
  <c r="CL41"/>
  <c r="CP41"/>
  <c r="CK42"/>
  <c r="CL42"/>
  <c r="CL45"/>
  <c r="CK44"/>
  <c r="CN43"/>
  <c r="CO43"/>
  <c r="BE60"/>
  <c r="BY44"/>
  <c r="CB43"/>
  <c r="CC43"/>
  <c r="CB45"/>
  <c r="BZ41"/>
  <c r="BZ43"/>
  <c r="BY42"/>
  <c r="CB41"/>
  <c r="CC41"/>
  <c r="BF43"/>
  <c r="BF58"/>
  <c r="BI53"/>
  <c r="BF48"/>
  <c r="BF56"/>
  <c r="BE44"/>
  <c r="BE41"/>
  <c r="BE48"/>
  <c r="BG55"/>
  <c r="BJ55"/>
  <c r="BF50"/>
  <c r="BE52"/>
  <c r="BG52"/>
  <c r="BH53"/>
  <c r="CH40"/>
  <c r="CH43"/>
  <c r="CJ40"/>
  <c r="CG42"/>
  <c r="CJ41"/>
  <c r="CI43"/>
  <c r="CH44"/>
  <c r="CG45"/>
  <c r="BJ53"/>
  <c r="BE46"/>
  <c r="BI57"/>
  <c r="BE63"/>
  <c r="CO44"/>
  <c r="CK41"/>
  <c r="CN42"/>
  <c r="CO41"/>
  <c r="CL44"/>
  <c r="CM44"/>
  <c r="BE43"/>
  <c r="BF64"/>
  <c r="BF53"/>
  <c r="BE57"/>
  <c r="BH57"/>
  <c r="BZ44"/>
  <c r="CA44"/>
  <c r="CC44"/>
  <c r="CA40"/>
  <c r="BY41"/>
  <c r="CB40"/>
  <c r="BZ42"/>
  <c r="CA42"/>
  <c r="CD43"/>
  <c r="BG57"/>
  <c r="BJ57"/>
  <c r="BJ52"/>
  <c r="BE40"/>
  <c r="BH55"/>
  <c r="BF44"/>
  <c r="BF41"/>
  <c r="BE64"/>
  <c r="BF46"/>
  <c r="BI52"/>
  <c r="CF40"/>
  <c r="CG40"/>
  <c r="CG41"/>
  <c r="CF44"/>
  <c r="CE43"/>
  <c r="CH42"/>
  <c r="CI42"/>
  <c r="CJ44"/>
  <c r="CG44"/>
  <c r="CF45"/>
  <c r="CE40"/>
  <c r="CJ45"/>
  <c r="CI40"/>
  <c r="BG53"/>
  <c r="BE51"/>
  <c r="BK52"/>
  <c r="BE67"/>
  <c r="BK56"/>
  <c r="CM45"/>
  <c r="CM40"/>
  <c r="CL43"/>
  <c r="CN40"/>
  <c r="CO40"/>
  <c r="CP40"/>
  <c r="CM42"/>
  <c r="CP43"/>
  <c r="CO42"/>
  <c r="CK45"/>
  <c r="BK57"/>
  <c r="BF68"/>
  <c r="BF52"/>
  <c r="BF40"/>
  <c r="BG56"/>
  <c r="BJ56"/>
  <c r="CC42"/>
  <c r="BY45"/>
  <c r="CA45"/>
  <c r="CC45"/>
  <c r="BZ40"/>
  <c r="CD41"/>
  <c r="CC40"/>
  <c r="BY43"/>
  <c r="CB44"/>
  <c r="BI56"/>
  <c r="BL56"/>
  <c r="BE69"/>
  <c r="BE62"/>
  <c r="BE55"/>
  <c r="BR49"/>
  <c r="CJ49"/>
  <c r="CH49"/>
  <c r="CK49"/>
  <c r="BI49"/>
  <c r="BL49"/>
  <c r="BO49"/>
  <c r="BP49"/>
  <c r="CF49"/>
  <c r="BF49"/>
  <c r="CM49"/>
  <c r="BG49"/>
  <c r="BE49"/>
  <c r="BN49"/>
  <c r="BQ49"/>
  <c r="CG49"/>
  <c r="CI49"/>
  <c r="CL49"/>
  <c r="CO49"/>
  <c r="CP49"/>
  <c r="CN49"/>
  <c r="BH49"/>
  <c r="CE49"/>
  <c r="BM49"/>
  <c r="BJ49"/>
  <c r="BK49"/>
  <c r="BV69"/>
  <c r="BT69"/>
  <c r="BX67"/>
  <c r="BW67"/>
  <c r="BX69"/>
  <c r="BX68"/>
  <c r="BW64"/>
  <c r="BV64"/>
  <c r="BT64"/>
  <c r="BS64"/>
  <c r="BU64"/>
  <c r="BU67"/>
  <c r="BS69"/>
  <c r="BV68"/>
  <c r="BU69"/>
  <c r="BT67"/>
  <c r="BU68"/>
  <c r="BW69"/>
  <c r="BX64"/>
  <c r="BW68"/>
  <c r="BT68"/>
  <c r="BS68"/>
  <c r="BV67"/>
  <c r="BS67"/>
  <c r="BH50"/>
  <c r="BL63"/>
  <c r="BL68"/>
  <c r="BK64"/>
  <c r="BG69"/>
  <c r="CE46"/>
  <c r="CE51"/>
  <c r="CG51"/>
  <c r="CH51"/>
  <c r="CE50"/>
  <c r="CI50"/>
  <c r="CG46"/>
  <c r="BI51"/>
  <c r="BL50"/>
  <c r="BI60"/>
  <c r="BH64"/>
  <c r="BL67"/>
  <c r="BG68"/>
  <c r="CN53"/>
  <c r="CK46"/>
  <c r="CO56"/>
  <c r="CP56"/>
  <c r="CL55"/>
  <c r="CM57"/>
  <c r="CL46"/>
  <c r="CM46"/>
  <c r="CN46"/>
  <c r="CL53"/>
  <c r="CK50"/>
  <c r="CL50"/>
  <c r="CN56"/>
  <c r="BL48"/>
  <c r="BI46"/>
  <c r="BK63"/>
  <c r="BI64"/>
  <c r="BL69"/>
  <c r="BG48"/>
  <c r="BI50"/>
  <c r="BJ50"/>
  <c r="BJ62"/>
  <c r="BH62"/>
  <c r="BI63"/>
  <c r="CG48"/>
  <c r="CF50"/>
  <c r="CI48"/>
  <c r="CI51"/>
  <c r="CH50"/>
  <c r="CF51"/>
  <c r="BI48"/>
  <c r="BL58"/>
  <c r="CO50"/>
  <c r="CL56"/>
  <c r="CO52"/>
  <c r="CL52"/>
  <c r="CM52"/>
  <c r="CN52"/>
  <c r="CP57"/>
  <c r="CP48"/>
  <c r="CP52"/>
  <c r="CL51"/>
  <c r="CM51"/>
  <c r="CP55"/>
  <c r="CO51"/>
  <c r="CP51"/>
  <c r="CM50"/>
  <c r="CK52"/>
  <c r="BJ51"/>
  <c r="BJ46"/>
  <c r="BJ67"/>
  <c r="BJ58"/>
  <c r="BI62"/>
  <c r="BH67"/>
  <c r="BG67"/>
  <c r="BG50"/>
  <c r="BJ60"/>
  <c r="BI68"/>
  <c r="BG63"/>
  <c r="BH60"/>
  <c r="BK69"/>
  <c r="BK50"/>
  <c r="BI67"/>
  <c r="BI58"/>
  <c r="BL64"/>
  <c r="BH69"/>
  <c r="BK68"/>
  <c r="CE48"/>
  <c r="CF48"/>
  <c r="CJ51"/>
  <c r="CJ48"/>
  <c r="CJ50"/>
  <c r="CG50"/>
  <c r="CH48"/>
  <c r="BG46"/>
  <c r="BG51"/>
  <c r="BJ48"/>
  <c r="BJ64"/>
  <c r="BH68"/>
  <c r="BG64"/>
  <c r="BK67"/>
  <c r="CM53"/>
  <c r="CO53"/>
  <c r="CL48"/>
  <c r="CO46"/>
  <c r="CK51"/>
  <c r="CM48"/>
  <c r="CN48"/>
  <c r="CK55"/>
  <c r="CO48"/>
  <c r="CM55"/>
  <c r="CN55"/>
  <c r="CK53"/>
  <c r="BK51"/>
  <c r="BH58"/>
  <c r="BG58"/>
  <c r="BL46"/>
  <c r="BL62"/>
  <c r="BG60"/>
  <c r="BJ69"/>
  <c r="BJ63"/>
  <c r="BG62"/>
  <c r="CF46"/>
  <c r="CH46"/>
  <c r="CI46"/>
  <c r="CJ46"/>
  <c r="BK48"/>
  <c r="BH48"/>
  <c r="BH51"/>
  <c r="BJ68"/>
  <c r="BH63"/>
  <c r="BK58"/>
  <c r="CK56"/>
  <c r="CP50"/>
  <c r="CM56"/>
  <c r="CL57"/>
  <c r="CK57"/>
  <c r="CK48"/>
  <c r="CN51"/>
  <c r="CN57"/>
  <c r="CO57"/>
  <c r="CN50"/>
  <c r="CP46"/>
  <c r="CO55"/>
  <c r="CP53"/>
  <c r="BK46"/>
  <c r="BH46"/>
  <c r="BL51"/>
  <c r="BI69"/>
  <c r="BL60"/>
  <c r="BK60"/>
  <c r="BK62"/>
  <c r="BK47"/>
  <c r="BL47"/>
  <c r="CH47"/>
  <c r="CE47"/>
  <c r="CJ47"/>
  <c r="CL47"/>
  <c r="CO47"/>
  <c r="BE47"/>
  <c r="BI47"/>
  <c r="CF47"/>
  <c r="CI47"/>
  <c r="CK47"/>
  <c r="BQ47"/>
  <c r="CG47"/>
  <c r="BM47"/>
  <c r="BO47"/>
  <c r="CP47"/>
  <c r="CM47"/>
  <c r="BR47"/>
  <c r="BG47"/>
  <c r="BJ47"/>
  <c r="BN47"/>
  <c r="BP47"/>
  <c r="BF47"/>
  <c r="CN47"/>
  <c r="BH47"/>
  <c r="BE35"/>
  <c r="BQ35"/>
  <c r="BM35"/>
  <c r="BP35"/>
  <c r="BN35"/>
  <c r="BO35"/>
  <c r="BR35"/>
  <c r="BF35"/>
  <c r="CB17"/>
  <c r="AE17"/>
  <c r="AY17"/>
  <c r="CG17"/>
  <c r="BQ17"/>
  <c r="AH17"/>
  <c r="BG17"/>
  <c r="CP17"/>
  <c r="BZ17"/>
  <c r="AK17"/>
  <c r="BJ17"/>
  <c r="CI17"/>
  <c r="BS17"/>
  <c r="AJ17"/>
  <c r="BE17"/>
  <c r="CF17"/>
  <c r="BP17"/>
  <c r="AU17"/>
  <c r="BL17"/>
  <c r="CK17"/>
  <c r="BU17"/>
  <c r="AD17"/>
  <c r="BC17"/>
  <c r="CD17"/>
  <c r="BN17"/>
  <c r="AG17"/>
  <c r="BF17"/>
  <c r="CM17"/>
  <c r="BW17"/>
  <c r="AF17"/>
  <c r="AZ17"/>
  <c r="BA17"/>
  <c r="CJ17"/>
  <c r="BT17"/>
  <c r="AM17"/>
  <c r="BH17"/>
  <c r="CO17"/>
  <c r="BY17"/>
  <c r="AX17"/>
  <c r="CH17"/>
  <c r="BR17"/>
  <c r="AC17"/>
  <c r="BB17"/>
  <c r="CA17"/>
  <c r="CN17"/>
  <c r="BX17"/>
  <c r="AI17"/>
  <c r="BD17"/>
  <c r="CC17"/>
  <c r="BM17"/>
  <c r="AL17"/>
  <c r="BK17"/>
  <c r="CL17"/>
  <c r="BV17"/>
  <c r="AW17"/>
  <c r="CE17"/>
  <c r="BO17"/>
  <c r="AN17"/>
  <c r="BI17"/>
  <c r="AV17"/>
  <c r="CN6"/>
  <c r="BX6"/>
  <c r="AR6"/>
  <c r="BI6"/>
  <c r="CC6"/>
  <c r="BM6"/>
  <c r="AQ6"/>
  <c r="BH6"/>
  <c r="CL6"/>
  <c r="BV6"/>
  <c r="AX6"/>
  <c r="CE6"/>
  <c r="BO6"/>
  <c r="AJ6"/>
  <c r="BB6"/>
  <c r="CB6"/>
  <c r="AM6"/>
  <c r="BE6"/>
  <c r="CG6"/>
  <c r="BQ6"/>
  <c r="AL6"/>
  <c r="BD6"/>
  <c r="CP6"/>
  <c r="BZ6"/>
  <c r="AT6"/>
  <c r="BK6"/>
  <c r="CI6"/>
  <c r="BS6"/>
  <c r="AW6"/>
  <c r="CF6"/>
  <c r="BP6"/>
  <c r="AI6"/>
  <c r="AZ6"/>
  <c r="CK6"/>
  <c r="BU6"/>
  <c r="AY6"/>
  <c r="CD6"/>
  <c r="BN6"/>
  <c r="AP6"/>
  <c r="BG6"/>
  <c r="CM6"/>
  <c r="BW6"/>
  <c r="AS6"/>
  <c r="BJ6"/>
  <c r="BA6"/>
  <c r="CJ6"/>
  <c r="BT6"/>
  <c r="AV6"/>
  <c r="CO6"/>
  <c r="BY6"/>
  <c r="AU6"/>
  <c r="BL6"/>
  <c r="CH6"/>
  <c r="BR6"/>
  <c r="AK6"/>
  <c r="BC6"/>
  <c r="CA6"/>
  <c r="AN6"/>
  <c r="BF6"/>
  <c r="CI30"/>
  <c r="BS30"/>
  <c r="CJ30"/>
  <c r="BT30"/>
  <c r="CK30"/>
  <c r="BU30"/>
  <c r="CP30"/>
  <c r="BZ30"/>
  <c r="AE30"/>
  <c r="AV30"/>
  <c r="CM30"/>
  <c r="BW30"/>
  <c r="CN30"/>
  <c r="BX30"/>
  <c r="CO30"/>
  <c r="BY30"/>
  <c r="CD30"/>
  <c r="BN30"/>
  <c r="AR30"/>
  <c r="BL30"/>
  <c r="CA30"/>
  <c r="CB30"/>
  <c r="CC30"/>
  <c r="BM30"/>
  <c r="CH30"/>
  <c r="BR30"/>
  <c r="AO30"/>
  <c r="CE30"/>
  <c r="BO30"/>
  <c r="CF30"/>
  <c r="BP30"/>
  <c r="CG30"/>
  <c r="BQ30"/>
  <c r="CL30"/>
  <c r="BV30"/>
  <c r="AI30"/>
  <c r="AZ30"/>
  <c r="AD30"/>
  <c r="AU30"/>
  <c r="AM30"/>
  <c r="AY30"/>
  <c r="AK30"/>
  <c r="BJ30"/>
  <c r="AS30"/>
  <c r="AQ30"/>
  <c r="AG30"/>
  <c r="AX30"/>
  <c r="AN30"/>
  <c r="AL30"/>
  <c r="BK30"/>
  <c r="AC30"/>
  <c r="AT30"/>
  <c r="AJ30"/>
  <c r="BI30"/>
  <c r="BH30"/>
  <c r="AH30"/>
  <c r="BG30"/>
  <c r="AP30"/>
  <c r="AF30"/>
  <c r="AW30"/>
  <c r="CN34"/>
  <c r="BX34"/>
  <c r="CG39"/>
  <c r="CO38"/>
  <c r="BY38"/>
  <c r="CG37"/>
  <c r="CO36"/>
  <c r="BY36"/>
  <c r="CG35"/>
  <c r="CO34"/>
  <c r="BY34"/>
  <c r="CH39"/>
  <c r="CP38"/>
  <c r="BZ38"/>
  <c r="CH37"/>
  <c r="CP36"/>
  <c r="BZ36"/>
  <c r="CH35"/>
  <c r="CP34"/>
  <c r="BZ34"/>
  <c r="CI39"/>
  <c r="BS39"/>
  <c r="CA38"/>
  <c r="CI37"/>
  <c r="BS37"/>
  <c r="CA36"/>
  <c r="CI35"/>
  <c r="BS35"/>
  <c r="CE34"/>
  <c r="CN39"/>
  <c r="BX39"/>
  <c r="CF38"/>
  <c r="CN37"/>
  <c r="BX37"/>
  <c r="CF36"/>
  <c r="CN35"/>
  <c r="BX35"/>
  <c r="AJ24"/>
  <c r="AL26"/>
  <c r="AW34"/>
  <c r="AU36"/>
  <c r="AU39"/>
  <c r="CB34"/>
  <c r="CK39"/>
  <c r="BU39"/>
  <c r="CC38"/>
  <c r="CK37"/>
  <c r="BU37"/>
  <c r="CC36"/>
  <c r="CK35"/>
  <c r="BU35"/>
  <c r="CC34"/>
  <c r="CL39"/>
  <c r="BV39"/>
  <c r="CD38"/>
  <c r="CL37"/>
  <c r="BV37"/>
  <c r="CD36"/>
  <c r="CL35"/>
  <c r="BV35"/>
  <c r="CD34"/>
  <c r="CM39"/>
  <c r="BW39"/>
  <c r="CE38"/>
  <c r="CM37"/>
  <c r="BW37"/>
  <c r="CE36"/>
  <c r="CM35"/>
  <c r="BW35"/>
  <c r="CI34"/>
  <c r="BS34"/>
  <c r="CB39"/>
  <c r="CJ38"/>
  <c r="BT38"/>
  <c r="CB37"/>
  <c r="CJ36"/>
  <c r="BT36"/>
  <c r="CB35"/>
  <c r="AL22"/>
  <c r="AM27"/>
  <c r="AZ35"/>
  <c r="AW38"/>
  <c r="AM24"/>
  <c r="CF34"/>
  <c r="CO39"/>
  <c r="BY39"/>
  <c r="CG38"/>
  <c r="CO37"/>
  <c r="BY37"/>
  <c r="CG36"/>
  <c r="CO35"/>
  <c r="BY35"/>
  <c r="CG34"/>
  <c r="CP39"/>
  <c r="BZ39"/>
  <c r="CH38"/>
  <c r="CP37"/>
  <c r="BZ37"/>
  <c r="CH36"/>
  <c r="CP35"/>
  <c r="BZ35"/>
  <c r="CH34"/>
  <c r="CA39"/>
  <c r="CI38"/>
  <c r="BS38"/>
  <c r="CA37"/>
  <c r="CI36"/>
  <c r="BS36"/>
  <c r="CA35"/>
  <c r="CM34"/>
  <c r="BW34"/>
  <c r="CF39"/>
  <c r="CN38"/>
  <c r="BX38"/>
  <c r="CF37"/>
  <c r="CN36"/>
  <c r="BX36"/>
  <c r="CF35"/>
  <c r="CJ34"/>
  <c r="BT34"/>
  <c r="CC39"/>
  <c r="CK38"/>
  <c r="BU38"/>
  <c r="CC37"/>
  <c r="CK36"/>
  <c r="BU36"/>
  <c r="CC35"/>
  <c r="CK34"/>
  <c r="BU34"/>
  <c r="CD39"/>
  <c r="CL38"/>
  <c r="BV38"/>
  <c r="CD37"/>
  <c r="CL36"/>
  <c r="BV36"/>
  <c r="CD35"/>
  <c r="CL34"/>
  <c r="BV34"/>
  <c r="CE39"/>
  <c r="CM38"/>
  <c r="BW38"/>
  <c r="CE37"/>
  <c r="CM36"/>
  <c r="BW36"/>
  <c r="CE35"/>
  <c r="CA34"/>
  <c r="CJ39"/>
  <c r="BT39"/>
  <c r="CB38"/>
  <c r="CJ37"/>
  <c r="BT37"/>
  <c r="CB36"/>
  <c r="CJ35"/>
  <c r="BT35"/>
  <c r="AN24"/>
  <c r="AY36"/>
  <c r="AV39"/>
  <c r="AK26"/>
  <c r="AL27"/>
  <c r="AI27"/>
  <c r="AX37"/>
  <c r="AI24"/>
  <c r="AY35"/>
  <c r="AV38"/>
  <c r="AX35"/>
  <c r="AZ37"/>
  <c r="AM22"/>
  <c r="AI26"/>
  <c r="AN27"/>
  <c r="AV36"/>
  <c r="AX38"/>
  <c r="AV63"/>
  <c r="AX68"/>
  <c r="AX64"/>
  <c r="AY46"/>
  <c r="AW63"/>
  <c r="AU62"/>
  <c r="AU69"/>
  <c r="AY68"/>
  <c r="AU65"/>
  <c r="AY64"/>
  <c r="AZ57"/>
  <c r="AZ60"/>
  <c r="AX59"/>
  <c r="AV58"/>
  <c r="AV67"/>
  <c r="AZ66"/>
  <c r="AY54"/>
  <c r="AY49"/>
  <c r="AY63"/>
  <c r="AW62"/>
  <c r="AU61"/>
  <c r="AW69"/>
  <c r="AW65"/>
  <c r="AZ47"/>
  <c r="AW55"/>
  <c r="AW54"/>
  <c r="AW50"/>
  <c r="AX54"/>
  <c r="AX55"/>
  <c r="AX51"/>
  <c r="AU53"/>
  <c r="AU46"/>
  <c r="AU49"/>
  <c r="AV51"/>
  <c r="AV50"/>
  <c r="AV47"/>
  <c r="AZ39"/>
  <c r="AU35"/>
  <c r="AX39"/>
  <c r="AN26"/>
  <c r="AY34"/>
  <c r="AV37"/>
  <c r="AI22"/>
  <c r="AJ27"/>
  <c r="AY37"/>
  <c r="AZ63"/>
  <c r="AX62"/>
  <c r="AV61"/>
  <c r="AX69"/>
  <c r="AX65"/>
  <c r="AY53"/>
  <c r="AY52"/>
  <c r="AY48"/>
  <c r="AY62"/>
  <c r="AW61"/>
  <c r="AU60"/>
  <c r="AY69"/>
  <c r="AU66"/>
  <c r="AY65"/>
  <c r="AZ46"/>
  <c r="AZ58"/>
  <c r="AV68"/>
  <c r="AZ67"/>
  <c r="AV64"/>
  <c r="AY56"/>
  <c r="AY51"/>
  <c r="AY61"/>
  <c r="AW60"/>
  <c r="AU59"/>
  <c r="AW66"/>
  <c r="AZ54"/>
  <c r="AZ49"/>
  <c r="AW57"/>
  <c r="AW56"/>
  <c r="AW51"/>
  <c r="AX56"/>
  <c r="AX57"/>
  <c r="AX47"/>
  <c r="AU52"/>
  <c r="AU48"/>
  <c r="AU51"/>
  <c r="AV53"/>
  <c r="AV52"/>
  <c r="AV49"/>
  <c r="AV55"/>
  <c r="AV46"/>
  <c r="AZ34"/>
  <c r="AW37"/>
  <c r="AY39"/>
  <c r="AN22"/>
  <c r="AJ26"/>
  <c r="AK27"/>
  <c r="AU34"/>
  <c r="AY38"/>
  <c r="AK24"/>
  <c r="AW35"/>
  <c r="AU37"/>
  <c r="AZ61"/>
  <c r="AX60"/>
  <c r="AV59"/>
  <c r="AX66"/>
  <c r="AY55"/>
  <c r="AY50"/>
  <c r="AY60"/>
  <c r="AW59"/>
  <c r="AU58"/>
  <c r="AU67"/>
  <c r="AY66"/>
  <c r="AZ53"/>
  <c r="AZ52"/>
  <c r="AZ48"/>
  <c r="AX63"/>
  <c r="AV62"/>
  <c r="AV69"/>
  <c r="AZ68"/>
  <c r="AV65"/>
  <c r="AZ64"/>
  <c r="AY59"/>
  <c r="AW58"/>
  <c r="AW67"/>
  <c r="AZ56"/>
  <c r="AZ51"/>
  <c r="AW52"/>
  <c r="AW47"/>
  <c r="AW46"/>
  <c r="AX50"/>
  <c r="AX49"/>
  <c r="AX46"/>
  <c r="AU56"/>
  <c r="AU57"/>
  <c r="AU50"/>
  <c r="AV54"/>
  <c r="AV35"/>
  <c r="AK22"/>
  <c r="AV34"/>
  <c r="AX36"/>
  <c r="AZ38"/>
  <c r="AJ22"/>
  <c r="AL24"/>
  <c r="AW36"/>
  <c r="AU38"/>
  <c r="AM26"/>
  <c r="AX34"/>
  <c r="AZ36"/>
  <c r="AW39"/>
  <c r="AZ59"/>
  <c r="AX58"/>
  <c r="AX67"/>
  <c r="AY57"/>
  <c r="AY58"/>
  <c r="AU68"/>
  <c r="AY67"/>
  <c r="AU64"/>
  <c r="AZ55"/>
  <c r="AZ50"/>
  <c r="AZ62"/>
  <c r="AX61"/>
  <c r="AV60"/>
  <c r="AZ69"/>
  <c r="AV66"/>
  <c r="AZ65"/>
  <c r="AY47"/>
  <c r="AU63"/>
  <c r="AW68"/>
  <c r="AW64"/>
  <c r="AW53"/>
  <c r="AW49"/>
  <c r="AW48"/>
  <c r="AX52"/>
  <c r="AX53"/>
  <c r="AX48"/>
  <c r="AU54"/>
  <c r="AU55"/>
  <c r="AU47"/>
  <c r="AV57"/>
  <c r="AV56"/>
  <c r="AV48"/>
  <c r="BA10"/>
  <c r="BA15"/>
  <c r="CN15"/>
  <c r="BX15"/>
  <c r="CL14"/>
  <c r="BV14"/>
  <c r="CH12"/>
  <c r="BR12"/>
  <c r="CI10"/>
  <c r="AU10"/>
  <c r="BL10"/>
  <c r="BB12"/>
  <c r="BH14"/>
  <c r="AV15"/>
  <c r="CC15"/>
  <c r="BM15"/>
  <c r="CA14"/>
  <c r="CM12"/>
  <c r="BW12"/>
  <c r="CP10"/>
  <c r="BC10"/>
  <c r="AV12"/>
  <c r="AX14"/>
  <c r="BD15"/>
  <c r="CL15"/>
  <c r="BV15"/>
  <c r="CJ14"/>
  <c r="BT14"/>
  <c r="CF12"/>
  <c r="BP12"/>
  <c r="BJ10"/>
  <c r="AY12"/>
  <c r="BF14"/>
  <c r="BG15"/>
  <c r="CE15"/>
  <c r="BO15"/>
  <c r="CC14"/>
  <c r="BM14"/>
  <c r="CO12"/>
  <c r="BY12"/>
  <c r="CF10"/>
  <c r="BE10"/>
  <c r="BG12"/>
  <c r="AZ14"/>
  <c r="BB15"/>
  <c r="BA12"/>
  <c r="BA14"/>
  <c r="CB15"/>
  <c r="CP14"/>
  <c r="BZ14"/>
  <c r="CL12"/>
  <c r="BV12"/>
  <c r="CE10"/>
  <c r="BH10"/>
  <c r="AW12"/>
  <c r="BD14"/>
  <c r="BI15"/>
  <c r="CG15"/>
  <c r="BQ15"/>
  <c r="CE14"/>
  <c r="BO14"/>
  <c r="CA12"/>
  <c r="CL10"/>
  <c r="AX10"/>
  <c r="BI12"/>
  <c r="BK14"/>
  <c r="AY15"/>
  <c r="CP15"/>
  <c r="BZ15"/>
  <c r="CN14"/>
  <c r="BX14"/>
  <c r="CJ12"/>
  <c r="BT12"/>
  <c r="CO10"/>
  <c r="BF10"/>
  <c r="AU12"/>
  <c r="BL12"/>
  <c r="BB14"/>
  <c r="BC15"/>
  <c r="CI15"/>
  <c r="BS15"/>
  <c r="CG14"/>
  <c r="BQ14"/>
  <c r="CC12"/>
  <c r="BM12"/>
  <c r="AZ10"/>
  <c r="BC12"/>
  <c r="AV14"/>
  <c r="AW15"/>
  <c r="CF15"/>
  <c r="BP15"/>
  <c r="CD14"/>
  <c r="BN14"/>
  <c r="CP12"/>
  <c r="BZ12"/>
  <c r="BD10"/>
  <c r="BJ12"/>
  <c r="AY14"/>
  <c r="BE15"/>
  <c r="CK15"/>
  <c r="BU15"/>
  <c r="CI14"/>
  <c r="BS14"/>
  <c r="CE12"/>
  <c r="BO12"/>
  <c r="CH10"/>
  <c r="BK10"/>
  <c r="BE12"/>
  <c r="BG14"/>
  <c r="AU15"/>
  <c r="BL15"/>
  <c r="CD15"/>
  <c r="BN15"/>
  <c r="CB14"/>
  <c r="CN12"/>
  <c r="BX12"/>
  <c r="CK10"/>
  <c r="BB10"/>
  <c r="BH12"/>
  <c r="AW14"/>
  <c r="AX15"/>
  <c r="CM15"/>
  <c r="BW15"/>
  <c r="CK14"/>
  <c r="BU14"/>
  <c r="CG12"/>
  <c r="BQ12"/>
  <c r="CN10"/>
  <c r="AV10"/>
  <c r="CJ15"/>
  <c r="BT15"/>
  <c r="CH14"/>
  <c r="BR14"/>
  <c r="CD12"/>
  <c r="BN12"/>
  <c r="CM10"/>
  <c r="AY10"/>
  <c r="BF12"/>
  <c r="AU14"/>
  <c r="BL14"/>
  <c r="AZ15"/>
  <c r="CO15"/>
  <c r="BY15"/>
  <c r="CM14"/>
  <c r="BW14"/>
  <c r="CI12"/>
  <c r="BS12"/>
  <c r="BG10"/>
  <c r="AZ12"/>
  <c r="BC14"/>
  <c r="BH15"/>
  <c r="CH15"/>
  <c r="BR15"/>
  <c r="CF14"/>
  <c r="BP14"/>
  <c r="CB12"/>
  <c r="CG10"/>
  <c r="AW10"/>
  <c r="BD12"/>
  <c r="BJ14"/>
  <c r="BK15"/>
  <c r="CA15"/>
  <c r="CO14"/>
  <c r="BY14"/>
  <c r="CK12"/>
  <c r="BU12"/>
  <c r="CJ10"/>
  <c r="BI10"/>
  <c r="BK12"/>
  <c r="BE14"/>
  <c r="BF15"/>
  <c r="AX12"/>
  <c r="BI14"/>
  <c r="CC10"/>
  <c r="BS10"/>
  <c r="CD10"/>
  <c r="BT10"/>
  <c r="BO10"/>
  <c r="BM10"/>
  <c r="BR10"/>
  <c r="BV10"/>
  <c r="BW10"/>
  <c r="BP10"/>
  <c r="BX10"/>
  <c r="CA10"/>
  <c r="BN10"/>
  <c r="BQ10"/>
  <c r="BJ15"/>
  <c r="BU10"/>
  <c r="BY10"/>
  <c r="BZ10"/>
  <c r="CB10"/>
  <c r="CA25"/>
  <c r="CB25"/>
  <c r="CC25"/>
  <c r="BM25"/>
  <c r="CH25"/>
  <c r="BR25"/>
  <c r="AK25"/>
  <c r="BF25"/>
  <c r="CE25"/>
  <c r="BO25"/>
  <c r="CF25"/>
  <c r="BP25"/>
  <c r="CG25"/>
  <c r="BQ25"/>
  <c r="CL25"/>
  <c r="BV25"/>
  <c r="AO25"/>
  <c r="AG25"/>
  <c r="BB25"/>
  <c r="BL24"/>
  <c r="AS25"/>
  <c r="CI25"/>
  <c r="BS25"/>
  <c r="CJ25"/>
  <c r="BT25"/>
  <c r="CK25"/>
  <c r="BU25"/>
  <c r="CP25"/>
  <c r="BZ25"/>
  <c r="CM25"/>
  <c r="BW25"/>
  <c r="CN25"/>
  <c r="BX25"/>
  <c r="CO25"/>
  <c r="BY25"/>
  <c r="CD25"/>
  <c r="BN25"/>
  <c r="AP25"/>
  <c r="BJ25"/>
  <c r="AJ25"/>
  <c r="BE25"/>
  <c r="AC25"/>
  <c r="AN25"/>
  <c r="AM25"/>
  <c r="AD25"/>
  <c r="BC25"/>
  <c r="AF25"/>
  <c r="AI25"/>
  <c r="BH25"/>
  <c r="AQ25"/>
  <c r="BI25"/>
  <c r="AE25"/>
  <c r="BD25"/>
  <c r="AL25"/>
  <c r="BK25"/>
  <c r="AT25"/>
  <c r="BA25"/>
  <c r="AR25"/>
  <c r="AH25"/>
  <c r="BG25"/>
  <c r="CG28"/>
  <c r="BQ28"/>
  <c r="CO33"/>
  <c r="BY33"/>
  <c r="CM32"/>
  <c r="BW32"/>
  <c r="CG29"/>
  <c r="BQ29"/>
  <c r="CH28"/>
  <c r="BR28"/>
  <c r="CP33"/>
  <c r="BZ33"/>
  <c r="CN32"/>
  <c r="BX32"/>
  <c r="CH29"/>
  <c r="BR29"/>
  <c r="CI28"/>
  <c r="BS28"/>
  <c r="CA33"/>
  <c r="CO32"/>
  <c r="BY32"/>
  <c r="CI29"/>
  <c r="BS29"/>
  <c r="CN28"/>
  <c r="BX28"/>
  <c r="AL28"/>
  <c r="CF33"/>
  <c r="BP33"/>
  <c r="CD32"/>
  <c r="BN32"/>
  <c r="CN29"/>
  <c r="BX29"/>
  <c r="AO67"/>
  <c r="AO51"/>
  <c r="AP39"/>
  <c r="AR36"/>
  <c r="AO33"/>
  <c r="AO56"/>
  <c r="AO40"/>
  <c r="AQ37"/>
  <c r="AS34"/>
  <c r="AO65"/>
  <c r="AO49"/>
  <c r="AT38"/>
  <c r="AP36"/>
  <c r="AO58"/>
  <c r="AO42"/>
  <c r="AS37"/>
  <c r="AO35"/>
  <c r="AK32"/>
  <c r="AQ33"/>
  <c r="CK28"/>
  <c r="BU28"/>
  <c r="AI28"/>
  <c r="CC33"/>
  <c r="BM33"/>
  <c r="CA32"/>
  <c r="CK29"/>
  <c r="BU29"/>
  <c r="CL28"/>
  <c r="BV28"/>
  <c r="AJ28"/>
  <c r="CD33"/>
  <c r="BN33"/>
  <c r="CB32"/>
  <c r="CL29"/>
  <c r="BV29"/>
  <c r="CM28"/>
  <c r="BW28"/>
  <c r="AK28"/>
  <c r="CE33"/>
  <c r="BO33"/>
  <c r="CC32"/>
  <c r="BM32"/>
  <c r="CM29"/>
  <c r="BW29"/>
  <c r="CB28"/>
  <c r="AP28"/>
  <c r="CJ33"/>
  <c r="BT33"/>
  <c r="CH32"/>
  <c r="BR32"/>
  <c r="CB29"/>
  <c r="AO55"/>
  <c r="AT39"/>
  <c r="AP37"/>
  <c r="AR34"/>
  <c r="AO60"/>
  <c r="AO44"/>
  <c r="AO38"/>
  <c r="AQ35"/>
  <c r="AO69"/>
  <c r="AO53"/>
  <c r="AR39"/>
  <c r="AT36"/>
  <c r="AP34"/>
  <c r="AO62"/>
  <c r="AO46"/>
  <c r="AQ38"/>
  <c r="AS35"/>
  <c r="AQ29"/>
  <c r="AL33"/>
  <c r="CO28"/>
  <c r="BY28"/>
  <c r="AM28"/>
  <c r="CG33"/>
  <c r="BQ33"/>
  <c r="CE32"/>
  <c r="BO32"/>
  <c r="CO29"/>
  <c r="BY29"/>
  <c r="CP28"/>
  <c r="BZ28"/>
  <c r="AN28"/>
  <c r="CH33"/>
  <c r="BR33"/>
  <c r="CF32"/>
  <c r="BP32"/>
  <c r="CP29"/>
  <c r="BZ29"/>
  <c r="CA28"/>
  <c r="AO28"/>
  <c r="CI33"/>
  <c r="BS33"/>
  <c r="CG32"/>
  <c r="BQ32"/>
  <c r="CA29"/>
  <c r="CF28"/>
  <c r="BP28"/>
  <c r="AT28"/>
  <c r="CN33"/>
  <c r="BX33"/>
  <c r="CL32"/>
  <c r="BV32"/>
  <c r="CF29"/>
  <c r="BP29"/>
  <c r="AO59"/>
  <c r="AO43"/>
  <c r="AT37"/>
  <c r="AP35"/>
  <c r="AO64"/>
  <c r="AO48"/>
  <c r="AS38"/>
  <c r="AO36"/>
  <c r="AO57"/>
  <c r="AO41"/>
  <c r="AR37"/>
  <c r="AT34"/>
  <c r="AO66"/>
  <c r="AO50"/>
  <c r="AO39"/>
  <c r="AQ36"/>
  <c r="AO32"/>
  <c r="CC28"/>
  <c r="BM28"/>
  <c r="AQ28"/>
  <c r="CK33"/>
  <c r="BU33"/>
  <c r="CI32"/>
  <c r="BS32"/>
  <c r="CC29"/>
  <c r="BM29"/>
  <c r="CD28"/>
  <c r="BN28"/>
  <c r="AR28"/>
  <c r="CL33"/>
  <c r="BV33"/>
  <c r="CJ32"/>
  <c r="BT32"/>
  <c r="CD29"/>
  <c r="BN29"/>
  <c r="CE28"/>
  <c r="BO28"/>
  <c r="AS28"/>
  <c r="CM33"/>
  <c r="BW33"/>
  <c r="CK32"/>
  <c r="BU32"/>
  <c r="CE29"/>
  <c r="BO29"/>
  <c r="CJ28"/>
  <c r="BT28"/>
  <c r="CB33"/>
  <c r="CP32"/>
  <c r="BZ32"/>
  <c r="CJ29"/>
  <c r="BT29"/>
  <c r="AO63"/>
  <c r="AO47"/>
  <c r="AR38"/>
  <c r="AT35"/>
  <c r="AO29"/>
  <c r="AO68"/>
  <c r="AO52"/>
  <c r="AQ39"/>
  <c r="AS36"/>
  <c r="AO34"/>
  <c r="AO61"/>
  <c r="AO45"/>
  <c r="AP38"/>
  <c r="AR35"/>
  <c r="AO54"/>
  <c r="AS39"/>
  <c r="AO37"/>
  <c r="AQ34"/>
  <c r="AP32"/>
  <c r="AP29"/>
  <c r="AK33"/>
  <c r="AT32"/>
  <c r="AT33"/>
  <c r="AR32"/>
  <c r="AS33"/>
  <c r="AR29"/>
  <c r="AL32"/>
  <c r="AM33"/>
  <c r="AT62"/>
  <c r="AR61"/>
  <c r="AP60"/>
  <c r="AT69"/>
  <c r="AP66"/>
  <c r="AT65"/>
  <c r="AS61"/>
  <c r="AQ60"/>
  <c r="AQ66"/>
  <c r="AP63"/>
  <c r="AR68"/>
  <c r="AR64"/>
  <c r="AS60"/>
  <c r="AQ59"/>
  <c r="AS66"/>
  <c r="AT56"/>
  <c r="AP54"/>
  <c r="AT51"/>
  <c r="AP49"/>
  <c r="AR46"/>
  <c r="AS55"/>
  <c r="AR52"/>
  <c r="AP57"/>
  <c r="AR54"/>
  <c r="AR51"/>
  <c r="AT48"/>
  <c r="AS56"/>
  <c r="AS51"/>
  <c r="AQ47"/>
  <c r="AS45"/>
  <c r="AS41"/>
  <c r="AS48"/>
  <c r="AP45"/>
  <c r="AR42"/>
  <c r="AQ45"/>
  <c r="AQ41"/>
  <c r="AT40"/>
  <c r="AP44"/>
  <c r="AR41"/>
  <c r="AS32"/>
  <c r="AP33"/>
  <c r="AS29"/>
  <c r="AM32"/>
  <c r="AN33"/>
  <c r="AM29"/>
  <c r="AI33"/>
  <c r="AT60"/>
  <c r="AR59"/>
  <c r="AP58"/>
  <c r="AP67"/>
  <c r="AT66"/>
  <c r="AS59"/>
  <c r="AQ58"/>
  <c r="AQ67"/>
  <c r="AT63"/>
  <c r="AR62"/>
  <c r="AP61"/>
  <c r="AR69"/>
  <c r="AR65"/>
  <c r="AS58"/>
  <c r="AS67"/>
  <c r="AR57"/>
  <c r="AT54"/>
  <c r="AT49"/>
  <c r="AP47"/>
  <c r="AQ56"/>
  <c r="AS53"/>
  <c r="AT57"/>
  <c r="AP55"/>
  <c r="AQ52"/>
  <c r="AR49"/>
  <c r="AQ57"/>
  <c r="AS54"/>
  <c r="AP52"/>
  <c r="AQ48"/>
  <c r="AQ40"/>
  <c r="AQ42"/>
  <c r="AT45"/>
  <c r="AP43"/>
  <c r="AT46"/>
  <c r="AS40"/>
  <c r="AS42"/>
  <c r="AT44"/>
  <c r="AP42"/>
  <c r="AP41"/>
  <c r="AS47"/>
  <c r="AQ43"/>
  <c r="AR45"/>
  <c r="AL29"/>
  <c r="AT29"/>
  <c r="AN32"/>
  <c r="AN29"/>
  <c r="AI32"/>
  <c r="AJ33"/>
  <c r="AI29"/>
  <c r="AT58"/>
  <c r="AP68"/>
  <c r="AT67"/>
  <c r="AP64"/>
  <c r="AQ68"/>
  <c r="AQ64"/>
  <c r="AT61"/>
  <c r="AR60"/>
  <c r="AP59"/>
  <c r="AR66"/>
  <c r="AQ63"/>
  <c r="AS68"/>
  <c r="AS64"/>
  <c r="AR55"/>
  <c r="AS52"/>
  <c r="AR50"/>
  <c r="AT47"/>
  <c r="AQ54"/>
  <c r="AS50"/>
  <c r="AT55"/>
  <c r="AP53"/>
  <c r="AP50"/>
  <c r="AQ55"/>
  <c r="AT52"/>
  <c r="AS49"/>
  <c r="AS43"/>
  <c r="AS46"/>
  <c r="AR40"/>
  <c r="AT43"/>
  <c r="AP46"/>
  <c r="AT42"/>
  <c r="AK29"/>
  <c r="AJ32"/>
  <c r="AJ29"/>
  <c r="AQ32"/>
  <c r="AR33"/>
  <c r="AR63"/>
  <c r="AP62"/>
  <c r="AP69"/>
  <c r="AT68"/>
  <c r="AP65"/>
  <c r="AT64"/>
  <c r="AS63"/>
  <c r="AQ62"/>
  <c r="AQ69"/>
  <c r="AQ65"/>
  <c r="AT59"/>
  <c r="AR58"/>
  <c r="AR67"/>
  <c r="AS62"/>
  <c r="AQ61"/>
  <c r="AS69"/>
  <c r="AS65"/>
  <c r="AP56"/>
  <c r="AR53"/>
  <c r="AP51"/>
  <c r="AR48"/>
  <c r="AS57"/>
  <c r="AQ51"/>
  <c r="AR56"/>
  <c r="AT53"/>
  <c r="AT50"/>
  <c r="AP48"/>
  <c r="AQ53"/>
  <c r="AQ50"/>
  <c r="AQ46"/>
  <c r="AQ44"/>
  <c r="AR47"/>
  <c r="AR44"/>
  <c r="AT41"/>
  <c r="AS44"/>
  <c r="AQ49"/>
  <c r="AP40"/>
  <c r="AR43"/>
  <c r="CM23"/>
  <c r="BW23"/>
  <c r="CN23"/>
  <c r="BX23"/>
  <c r="CO23"/>
  <c r="BY23"/>
  <c r="CD23"/>
  <c r="BN23"/>
  <c r="AO23"/>
  <c r="AE23"/>
  <c r="BD23"/>
  <c r="CA23"/>
  <c r="CB23"/>
  <c r="CC23"/>
  <c r="BM23"/>
  <c r="CH23"/>
  <c r="BR23"/>
  <c r="AR23"/>
  <c r="AH23"/>
  <c r="BG23"/>
  <c r="CE23"/>
  <c r="BO23"/>
  <c r="CF23"/>
  <c r="BP23"/>
  <c r="CG23"/>
  <c r="BQ23"/>
  <c r="CL23"/>
  <c r="BV23"/>
  <c r="CI23"/>
  <c r="BS23"/>
  <c r="CJ23"/>
  <c r="BT23"/>
  <c r="CK23"/>
  <c r="BU23"/>
  <c r="CP23"/>
  <c r="BZ23"/>
  <c r="AI23"/>
  <c r="BH23"/>
  <c r="AQ23"/>
  <c r="AD23"/>
  <c r="AG23"/>
  <c r="BB23"/>
  <c r="BL22"/>
  <c r="AS23"/>
  <c r="BK23"/>
  <c r="AC23"/>
  <c r="AT23"/>
  <c r="AN23"/>
  <c r="BI23"/>
  <c r="BC23"/>
  <c r="AP23"/>
  <c r="BJ23"/>
  <c r="AJ23"/>
  <c r="BE23"/>
  <c r="AM23"/>
  <c r="AL23"/>
  <c r="AK23"/>
  <c r="BF23"/>
  <c r="AF23"/>
  <c r="BA23"/>
  <c r="CJ13"/>
  <c r="BT13"/>
  <c r="AH13"/>
  <c r="BC13"/>
  <c r="CO13"/>
  <c r="BY13"/>
  <c r="AC13"/>
  <c r="AW13"/>
  <c r="CH13"/>
  <c r="BR13"/>
  <c r="AF13"/>
  <c r="BE13"/>
  <c r="CA13"/>
  <c r="AU13"/>
  <c r="BL13"/>
  <c r="BA13"/>
  <c r="CN13"/>
  <c r="BX13"/>
  <c r="AD13"/>
  <c r="AX13"/>
  <c r="CC13"/>
  <c r="BM13"/>
  <c r="AS13"/>
  <c r="BJ13"/>
  <c r="CL13"/>
  <c r="BV13"/>
  <c r="AZ13"/>
  <c r="CE13"/>
  <c r="BO13"/>
  <c r="AQ13"/>
  <c r="BH13"/>
  <c r="CB13"/>
  <c r="AT13"/>
  <c r="BK13"/>
  <c r="CG13"/>
  <c r="BQ13"/>
  <c r="AO13"/>
  <c r="BF13"/>
  <c r="CP13"/>
  <c r="BZ13"/>
  <c r="AV13"/>
  <c r="CI13"/>
  <c r="BS13"/>
  <c r="CF13"/>
  <c r="BP13"/>
  <c r="AP13"/>
  <c r="BG13"/>
  <c r="CK13"/>
  <c r="BU13"/>
  <c r="AG13"/>
  <c r="BB13"/>
  <c r="CD13"/>
  <c r="BN13"/>
  <c r="AR13"/>
  <c r="BI13"/>
  <c r="CM13"/>
  <c r="BW13"/>
  <c r="AY13"/>
  <c r="BD13"/>
  <c r="AE13"/>
  <c r="BA8"/>
  <c r="CB8"/>
  <c r="AI8"/>
  <c r="AZ8"/>
  <c r="CG8"/>
  <c r="BQ8"/>
  <c r="AY8"/>
  <c r="CP8"/>
  <c r="BZ8"/>
  <c r="AP8"/>
  <c r="BG8"/>
  <c r="CI8"/>
  <c r="BS8"/>
  <c r="AS8"/>
  <c r="BJ8"/>
  <c r="CF8"/>
  <c r="BP8"/>
  <c r="AV8"/>
  <c r="CK8"/>
  <c r="BU8"/>
  <c r="AU8"/>
  <c r="BL8"/>
  <c r="CD8"/>
  <c r="BN8"/>
  <c r="AK8"/>
  <c r="BC8"/>
  <c r="CM8"/>
  <c r="BW8"/>
  <c r="AN8"/>
  <c r="BF8"/>
  <c r="CJ8"/>
  <c r="BT8"/>
  <c r="AR8"/>
  <c r="BI8"/>
  <c r="CO8"/>
  <c r="BY8"/>
  <c r="AQ8"/>
  <c r="BH8"/>
  <c r="CH8"/>
  <c r="BR8"/>
  <c r="AX8"/>
  <c r="CA8"/>
  <c r="AJ8"/>
  <c r="BB8"/>
  <c r="CN8"/>
  <c r="BX8"/>
  <c r="AM8"/>
  <c r="BE8"/>
  <c r="CC8"/>
  <c r="BM8"/>
  <c r="AL8"/>
  <c r="BD8"/>
  <c r="CL8"/>
  <c r="BV8"/>
  <c r="AT8"/>
  <c r="BK8"/>
  <c r="CE8"/>
  <c r="BO8"/>
  <c r="AW8"/>
  <c r="CK21"/>
  <c r="BU21"/>
  <c r="CI20"/>
  <c r="BS20"/>
  <c r="CG19"/>
  <c r="BQ19"/>
  <c r="CE18"/>
  <c r="BO18"/>
  <c r="CL21"/>
  <c r="BV21"/>
  <c r="CJ20"/>
  <c r="BT20"/>
  <c r="CH19"/>
  <c r="BR19"/>
  <c r="CF18"/>
  <c r="BP18"/>
  <c r="CM21"/>
  <c r="CB21"/>
  <c r="CP20"/>
  <c r="BZ20"/>
  <c r="CN19"/>
  <c r="BX19"/>
  <c r="CL18"/>
  <c r="BV18"/>
  <c r="BQ20"/>
  <c r="BN18"/>
  <c r="CP16"/>
  <c r="BZ16"/>
  <c r="BG16"/>
  <c r="BF19"/>
  <c r="BK20"/>
  <c r="CK20"/>
  <c r="CG18"/>
  <c r="CE16"/>
  <c r="BO16"/>
  <c r="BL16"/>
  <c r="BH18"/>
  <c r="BI19"/>
  <c r="CM19"/>
  <c r="CN16"/>
  <c r="BX16"/>
  <c r="BE16"/>
  <c r="BO21"/>
  <c r="CO18"/>
  <c r="CG16"/>
  <c r="BQ16"/>
  <c r="BJ18"/>
  <c r="BD19"/>
  <c r="BJ21"/>
  <c r="BE21"/>
  <c r="CO21"/>
  <c r="BY21"/>
  <c r="CM20"/>
  <c r="BW20"/>
  <c r="CK19"/>
  <c r="BU19"/>
  <c r="CI18"/>
  <c r="BS18"/>
  <c r="CP21"/>
  <c r="BZ21"/>
  <c r="CN20"/>
  <c r="BX20"/>
  <c r="CL19"/>
  <c r="BV19"/>
  <c r="CJ18"/>
  <c r="BT18"/>
  <c r="BA19"/>
  <c r="CF21"/>
  <c r="BP21"/>
  <c r="CD20"/>
  <c r="BN20"/>
  <c r="CB19"/>
  <c r="CP18"/>
  <c r="BZ18"/>
  <c r="CG20"/>
  <c r="CC18"/>
  <c r="CD16"/>
  <c r="BN16"/>
  <c r="BK16"/>
  <c r="BB19"/>
  <c r="BG20"/>
  <c r="BW21"/>
  <c r="BS19"/>
  <c r="CI16"/>
  <c r="BS16"/>
  <c r="BD18"/>
  <c r="BE19"/>
  <c r="BY20"/>
  <c r="BU18"/>
  <c r="CB16"/>
  <c r="BI16"/>
  <c r="CE21"/>
  <c r="CA19"/>
  <c r="CK16"/>
  <c r="BU16"/>
  <c r="BB16"/>
  <c r="BF18"/>
  <c r="BF21"/>
  <c r="BA16"/>
  <c r="CC21"/>
  <c r="BM21"/>
  <c r="CA20"/>
  <c r="CO19"/>
  <c r="BY19"/>
  <c r="CM18"/>
  <c r="BW18"/>
  <c r="CD21"/>
  <c r="BN21"/>
  <c r="CB20"/>
  <c r="CP19"/>
  <c r="BZ19"/>
  <c r="CN18"/>
  <c r="BX18"/>
  <c r="BA18"/>
  <c r="CJ21"/>
  <c r="BT21"/>
  <c r="CH20"/>
  <c r="BR20"/>
  <c r="CF19"/>
  <c r="BP19"/>
  <c r="CD18"/>
  <c r="BS21"/>
  <c r="BO19"/>
  <c r="CH16"/>
  <c r="BR16"/>
  <c r="BI18"/>
  <c r="BC20"/>
  <c r="CI19"/>
  <c r="CM16"/>
  <c r="BW16"/>
  <c r="BD16"/>
  <c r="CO20"/>
  <c r="CK18"/>
  <c r="CF16"/>
  <c r="BP16"/>
  <c r="BG18"/>
  <c r="BM20"/>
  <c r="BM18"/>
  <c r="CO16"/>
  <c r="BY16"/>
  <c r="BF16"/>
  <c r="BA20"/>
  <c r="CG21"/>
  <c r="BQ21"/>
  <c r="CE20"/>
  <c r="BO20"/>
  <c r="CC19"/>
  <c r="BM19"/>
  <c r="CA18"/>
  <c r="BA21"/>
  <c r="CH21"/>
  <c r="BR21"/>
  <c r="CF20"/>
  <c r="BP20"/>
  <c r="CD19"/>
  <c r="BN19"/>
  <c r="CB18"/>
  <c r="CI21"/>
  <c r="CN21"/>
  <c r="BX21"/>
  <c r="CL20"/>
  <c r="BV20"/>
  <c r="CJ19"/>
  <c r="BT19"/>
  <c r="CH18"/>
  <c r="BR18"/>
  <c r="CE19"/>
  <c r="CL16"/>
  <c r="BV16"/>
  <c r="BC16"/>
  <c r="BE18"/>
  <c r="BJ19"/>
  <c r="BU20"/>
  <c r="BQ18"/>
  <c r="CA16"/>
  <c r="BH16"/>
  <c r="BL18"/>
  <c r="CA21"/>
  <c r="BW19"/>
  <c r="CJ16"/>
  <c r="BT16"/>
  <c r="BC18"/>
  <c r="CC20"/>
  <c r="BY18"/>
  <c r="CC16"/>
  <c r="BM16"/>
  <c r="BJ16"/>
  <c r="BC19"/>
  <c r="BE20"/>
  <c r="BL19"/>
  <c r="BD20"/>
  <c r="BI21"/>
  <c r="BK18"/>
  <c r="BG21"/>
  <c r="BG19"/>
  <c r="BH20"/>
  <c r="BL21"/>
  <c r="BL20"/>
  <c r="BC21"/>
  <c r="BB21"/>
  <c r="BI20"/>
  <c r="BK19"/>
  <c r="BB20"/>
  <c r="BH21"/>
  <c r="BF20"/>
  <c r="BB18"/>
  <c r="BJ20"/>
  <c r="BD21"/>
  <c r="BH19"/>
  <c r="BK21"/>
  <c r="CF11"/>
  <c r="BP11"/>
  <c r="AZ11"/>
  <c r="CK11"/>
  <c r="BU11"/>
  <c r="AQ11"/>
  <c r="BH11"/>
  <c r="CD11"/>
  <c r="BN11"/>
  <c r="AT11"/>
  <c r="BK11"/>
  <c r="CM11"/>
  <c r="BW11"/>
  <c r="AO11"/>
  <c r="BF11"/>
  <c r="CJ11"/>
  <c r="BT11"/>
  <c r="AV11"/>
  <c r="CO11"/>
  <c r="BY11"/>
  <c r="AE11"/>
  <c r="BD11"/>
  <c r="CH11"/>
  <c r="BR11"/>
  <c r="AP11"/>
  <c r="BG11"/>
  <c r="CA11"/>
  <c r="AG11"/>
  <c r="BB11"/>
  <c r="CN11"/>
  <c r="BX11"/>
  <c r="AR11"/>
  <c r="BI11"/>
  <c r="CC11"/>
  <c r="BM11"/>
  <c r="AY11"/>
  <c r="CL11"/>
  <c r="BV11"/>
  <c r="AH11"/>
  <c r="BC11"/>
  <c r="CE11"/>
  <c r="BO11"/>
  <c r="AC11"/>
  <c r="BA11"/>
  <c r="CB11"/>
  <c r="AF11"/>
  <c r="BE11"/>
  <c r="CG11"/>
  <c r="BQ11"/>
  <c r="AU11"/>
  <c r="BL11"/>
  <c r="CP11"/>
  <c r="BZ11"/>
  <c r="AD11"/>
  <c r="AX11"/>
  <c r="CI11"/>
  <c r="BS11"/>
  <c r="AS11"/>
  <c r="BJ11"/>
  <c r="AW11"/>
  <c r="BA9"/>
  <c r="CD9"/>
  <c r="BN9"/>
  <c r="CP7"/>
  <c r="BZ7"/>
  <c r="AX7"/>
  <c r="AP9"/>
  <c r="BG9"/>
  <c r="CI9"/>
  <c r="BS9"/>
  <c r="CE7"/>
  <c r="BO7"/>
  <c r="AS7"/>
  <c r="BJ7"/>
  <c r="BB9"/>
  <c r="CB9"/>
  <c r="CN7"/>
  <c r="BX7"/>
  <c r="AZ7"/>
  <c r="AR9"/>
  <c r="BI9"/>
  <c r="CK9"/>
  <c r="BU9"/>
  <c r="CG7"/>
  <c r="BQ7"/>
  <c r="AQ7"/>
  <c r="BH7"/>
  <c r="AY9"/>
  <c r="CH9"/>
  <c r="BR9"/>
  <c r="CD7"/>
  <c r="BN7"/>
  <c r="AT7"/>
  <c r="BK7"/>
  <c r="BC9"/>
  <c r="CM9"/>
  <c r="BW9"/>
  <c r="CI7"/>
  <c r="BS7"/>
  <c r="BF7"/>
  <c r="AW9"/>
  <c r="CF9"/>
  <c r="BP9"/>
  <c r="CB7"/>
  <c r="AV7"/>
  <c r="BE9"/>
  <c r="CO9"/>
  <c r="BY9"/>
  <c r="CK7"/>
  <c r="BU7"/>
  <c r="BD7"/>
  <c r="AU9"/>
  <c r="BL9"/>
  <c r="AG22"/>
  <c r="BA7"/>
  <c r="CL9"/>
  <c r="BV9"/>
  <c r="CH7"/>
  <c r="BR7"/>
  <c r="AP7"/>
  <c r="BG7"/>
  <c r="AX9"/>
  <c r="CA9"/>
  <c r="CM7"/>
  <c r="BW7"/>
  <c r="BB7"/>
  <c r="AS9"/>
  <c r="BJ9"/>
  <c r="CJ9"/>
  <c r="BT9"/>
  <c r="CF7"/>
  <c r="BP7"/>
  <c r="AR7"/>
  <c r="BI7"/>
  <c r="AZ9"/>
  <c r="CC9"/>
  <c r="BM9"/>
  <c r="CO7"/>
  <c r="BY7"/>
  <c r="AY7"/>
  <c r="AQ9"/>
  <c r="BH9"/>
  <c r="CP9"/>
  <c r="BZ9"/>
  <c r="CL7"/>
  <c r="BV7"/>
  <c r="BC7"/>
  <c r="AT9"/>
  <c r="BK9"/>
  <c r="CE9"/>
  <c r="BO9"/>
  <c r="CA7"/>
  <c r="AW7"/>
  <c r="BF9"/>
  <c r="CN9"/>
  <c r="BX9"/>
  <c r="CJ7"/>
  <c r="BT7"/>
  <c r="BE7"/>
  <c r="AV9"/>
  <c r="CG9"/>
  <c r="BQ9"/>
  <c r="CC7"/>
  <c r="BM7"/>
  <c r="AU7"/>
  <c r="BL7"/>
  <c r="BD9"/>
  <c r="AE28"/>
  <c r="CE27"/>
  <c r="BO27"/>
  <c r="CC26"/>
  <c r="BM26"/>
  <c r="CO24"/>
  <c r="BY24"/>
  <c r="AF28"/>
  <c r="CF27"/>
  <c r="BP27"/>
  <c r="CD26"/>
  <c r="BN26"/>
  <c r="CP24"/>
  <c r="BZ24"/>
  <c r="AG28"/>
  <c r="CG27"/>
  <c r="BQ27"/>
  <c r="CE26"/>
  <c r="BO26"/>
  <c r="CA24"/>
  <c r="CL27"/>
  <c r="BV27"/>
  <c r="CJ26"/>
  <c r="BT26"/>
  <c r="CF24"/>
  <c r="BP24"/>
  <c r="CN22"/>
  <c r="AF18"/>
  <c r="AG19"/>
  <c r="CE22"/>
  <c r="AH16"/>
  <c r="CH22"/>
  <c r="CK22"/>
  <c r="BK26"/>
  <c r="AD29"/>
  <c r="AH35"/>
  <c r="AJ37"/>
  <c r="AE38"/>
  <c r="AL39"/>
  <c r="CI27"/>
  <c r="BS27"/>
  <c r="CG26"/>
  <c r="BQ26"/>
  <c r="CC24"/>
  <c r="BM24"/>
  <c r="CJ27"/>
  <c r="BT27"/>
  <c r="CH26"/>
  <c r="BR26"/>
  <c r="CD24"/>
  <c r="BN24"/>
  <c r="CK27"/>
  <c r="BU27"/>
  <c r="CI26"/>
  <c r="BS26"/>
  <c r="CE24"/>
  <c r="BO24"/>
  <c r="CP27"/>
  <c r="BZ27"/>
  <c r="CN26"/>
  <c r="BX26"/>
  <c r="CJ24"/>
  <c r="BT24"/>
  <c r="CJ22"/>
  <c r="AC19"/>
  <c r="AH20"/>
  <c r="AC16"/>
  <c r="AE16"/>
  <c r="CG22"/>
  <c r="AG18"/>
  <c r="AF21"/>
  <c r="BK22"/>
  <c r="AF24"/>
  <c r="AH26"/>
  <c r="BG26"/>
  <c r="BL27"/>
  <c r="AG32"/>
  <c r="AM34"/>
  <c r="AD35"/>
  <c r="AK36"/>
  <c r="AF37"/>
  <c r="AH39"/>
  <c r="AD21"/>
  <c r="AC26"/>
  <c r="AD27"/>
  <c r="CM27"/>
  <c r="BW27"/>
  <c r="CK26"/>
  <c r="BU26"/>
  <c r="CG24"/>
  <c r="BQ24"/>
  <c r="CN27"/>
  <c r="BX27"/>
  <c r="CL26"/>
  <c r="BV26"/>
  <c r="CH24"/>
  <c r="BR24"/>
  <c r="CO27"/>
  <c r="BY27"/>
  <c r="CM26"/>
  <c r="BW26"/>
  <c r="CI24"/>
  <c r="BS24"/>
  <c r="AD28"/>
  <c r="CD27"/>
  <c r="BN27"/>
  <c r="CB26"/>
  <c r="CN24"/>
  <c r="BX24"/>
  <c r="CF22"/>
  <c r="AD20"/>
  <c r="AG16"/>
  <c r="CM22"/>
  <c r="AE18"/>
  <c r="AF19"/>
  <c r="CP22"/>
  <c r="AH18"/>
  <c r="CA27"/>
  <c r="CO26"/>
  <c r="BY26"/>
  <c r="CK24"/>
  <c r="BU24"/>
  <c r="CB27"/>
  <c r="CP26"/>
  <c r="BZ26"/>
  <c r="CL24"/>
  <c r="BV24"/>
  <c r="AC28"/>
  <c r="CC27"/>
  <c r="BM27"/>
  <c r="CA26"/>
  <c r="CM24"/>
  <c r="BW24"/>
  <c r="AH28"/>
  <c r="CH27"/>
  <c r="BR27"/>
  <c r="CF26"/>
  <c r="BP26"/>
  <c r="CB24"/>
  <c r="AF16"/>
  <c r="AE21"/>
  <c r="CI22"/>
  <c r="AD16"/>
  <c r="CL22"/>
  <c r="AD18"/>
  <c r="CO22"/>
  <c r="AD19"/>
  <c r="AC20"/>
  <c r="AD22"/>
  <c r="BI24"/>
  <c r="AE27"/>
  <c r="AH29"/>
  <c r="AD33"/>
  <c r="AE34"/>
  <c r="AL35"/>
  <c r="AC36"/>
  <c r="AN37"/>
  <c r="AI38"/>
  <c r="BJ22"/>
  <c r="AE24"/>
  <c r="BK27"/>
  <c r="AF32"/>
  <c r="AC18"/>
  <c r="BG22"/>
  <c r="AN39"/>
  <c r="AC22"/>
  <c r="AG29"/>
  <c r="AL34"/>
  <c r="AC35"/>
  <c r="AN36"/>
  <c r="AI37"/>
  <c r="AG39"/>
  <c r="AE19"/>
  <c r="AC21"/>
  <c r="AF22"/>
  <c r="AH24"/>
  <c r="BG24"/>
  <c r="BL25"/>
  <c r="AC27"/>
  <c r="AF29"/>
  <c r="AG34"/>
  <c r="AM36"/>
  <c r="AD37"/>
  <c r="AK38"/>
  <c r="AF39"/>
  <c r="AG21"/>
  <c r="AC24"/>
  <c r="BH26"/>
  <c r="BI27"/>
  <c r="AN34"/>
  <c r="AI35"/>
  <c r="AG37"/>
  <c r="AM39"/>
  <c r="AE63"/>
  <c r="AC62"/>
  <c r="AM59"/>
  <c r="AK58"/>
  <c r="AC69"/>
  <c r="AG68"/>
  <c r="AK67"/>
  <c r="AC65"/>
  <c r="AG64"/>
  <c r="AF63"/>
  <c r="AD62"/>
  <c r="AN59"/>
  <c r="AL58"/>
  <c r="AD69"/>
  <c r="AH68"/>
  <c r="AL67"/>
  <c r="AD65"/>
  <c r="AH64"/>
  <c r="BW22"/>
  <c r="AM62"/>
  <c r="AK61"/>
  <c r="AI60"/>
  <c r="AG59"/>
  <c r="AE58"/>
  <c r="AM69"/>
  <c r="AE67"/>
  <c r="AI66"/>
  <c r="AM65"/>
  <c r="BZ22"/>
  <c r="AH63"/>
  <c r="AF62"/>
  <c r="AD61"/>
  <c r="AN58"/>
  <c r="AF69"/>
  <c r="AJ68"/>
  <c r="AN67"/>
  <c r="AF65"/>
  <c r="AJ64"/>
  <c r="AI57"/>
  <c r="AE56"/>
  <c r="AM54"/>
  <c r="AI53"/>
  <c r="AE52"/>
  <c r="AM50"/>
  <c r="AI49"/>
  <c r="AE48"/>
  <c r="AM46"/>
  <c r="AI45"/>
  <c r="AE44"/>
  <c r="AM42"/>
  <c r="AI41"/>
  <c r="AE40"/>
  <c r="AN56"/>
  <c r="AJ55"/>
  <c r="AF54"/>
  <c r="AN52"/>
  <c r="AJ51"/>
  <c r="AF50"/>
  <c r="AN48"/>
  <c r="AJ47"/>
  <c r="AF46"/>
  <c r="AN44"/>
  <c r="AJ43"/>
  <c r="AF42"/>
  <c r="AN40"/>
  <c r="AG57"/>
  <c r="AC56"/>
  <c r="AK54"/>
  <c r="AG53"/>
  <c r="AC52"/>
  <c r="AK50"/>
  <c r="AG49"/>
  <c r="AC48"/>
  <c r="AK46"/>
  <c r="AG45"/>
  <c r="AC44"/>
  <c r="AK42"/>
  <c r="AG41"/>
  <c r="AC40"/>
  <c r="AL56"/>
  <c r="AH55"/>
  <c r="AD54"/>
  <c r="AL52"/>
  <c r="AH51"/>
  <c r="AD50"/>
  <c r="AL48"/>
  <c r="AH47"/>
  <c r="AD46"/>
  <c r="AL44"/>
  <c r="AH43"/>
  <c r="AD42"/>
  <c r="AL40"/>
  <c r="AH22"/>
  <c r="AC32"/>
  <c r="AI34"/>
  <c r="AG26"/>
  <c r="AH27"/>
  <c r="AC29"/>
  <c r="AH34"/>
  <c r="AJ36"/>
  <c r="AE37"/>
  <c r="AL38"/>
  <c r="AC39"/>
  <c r="AF20"/>
  <c r="AD24"/>
  <c r="BI26"/>
  <c r="BJ27"/>
  <c r="AC34"/>
  <c r="AN35"/>
  <c r="AI36"/>
  <c r="AG38"/>
  <c r="BH22"/>
  <c r="BJ24"/>
  <c r="AE26"/>
  <c r="AH32"/>
  <c r="AJ34"/>
  <c r="AE35"/>
  <c r="AL36"/>
  <c r="AC37"/>
  <c r="AN38"/>
  <c r="AI39"/>
  <c r="CA22"/>
  <c r="AI63"/>
  <c r="AG62"/>
  <c r="AE61"/>
  <c r="AC60"/>
  <c r="AG69"/>
  <c r="AK68"/>
  <c r="AC66"/>
  <c r="AG65"/>
  <c r="AK64"/>
  <c r="CB22"/>
  <c r="AJ63"/>
  <c r="AH62"/>
  <c r="AF61"/>
  <c r="AD60"/>
  <c r="AH69"/>
  <c r="AL68"/>
  <c r="AD66"/>
  <c r="AH65"/>
  <c r="AL64"/>
  <c r="BP22"/>
  <c r="AC63"/>
  <c r="AM60"/>
  <c r="AK59"/>
  <c r="AI58"/>
  <c r="AE68"/>
  <c r="AI67"/>
  <c r="AM66"/>
  <c r="AE64"/>
  <c r="CD22"/>
  <c r="BT22"/>
  <c r="AL63"/>
  <c r="AJ62"/>
  <c r="AH61"/>
  <c r="AF60"/>
  <c r="AD59"/>
  <c r="AJ69"/>
  <c r="AN68"/>
  <c r="AF66"/>
  <c r="AJ65"/>
  <c r="AN64"/>
  <c r="AM57"/>
  <c r="AI56"/>
  <c r="AE55"/>
  <c r="AM53"/>
  <c r="AI52"/>
  <c r="AE51"/>
  <c r="AM49"/>
  <c r="AI48"/>
  <c r="AE47"/>
  <c r="AM45"/>
  <c r="AI44"/>
  <c r="AE43"/>
  <c r="AM41"/>
  <c r="AI40"/>
  <c r="AF57"/>
  <c r="AN55"/>
  <c r="AJ54"/>
  <c r="AF53"/>
  <c r="AN51"/>
  <c r="AJ50"/>
  <c r="AF49"/>
  <c r="AN47"/>
  <c r="AJ46"/>
  <c r="AF45"/>
  <c r="AN43"/>
  <c r="AJ42"/>
  <c r="AF41"/>
  <c r="AK57"/>
  <c r="AG56"/>
  <c r="AC55"/>
  <c r="AK53"/>
  <c r="AG52"/>
  <c r="AC51"/>
  <c r="AK49"/>
  <c r="AG48"/>
  <c r="AC47"/>
  <c r="AK45"/>
  <c r="AG44"/>
  <c r="AC43"/>
  <c r="AK41"/>
  <c r="AG40"/>
  <c r="AD57"/>
  <c r="AL55"/>
  <c r="AH54"/>
  <c r="AD53"/>
  <c r="AL51"/>
  <c r="AH50"/>
  <c r="AD49"/>
  <c r="AL47"/>
  <c r="AH46"/>
  <c r="AD45"/>
  <c r="AL43"/>
  <c r="AH42"/>
  <c r="AD41"/>
  <c r="AH19"/>
  <c r="BL23"/>
  <c r="AD26"/>
  <c r="AG36"/>
  <c r="AD39"/>
  <c r="BH24"/>
  <c r="BJ26"/>
  <c r="BG27"/>
  <c r="AG33"/>
  <c r="AD34"/>
  <c r="AK35"/>
  <c r="AF36"/>
  <c r="AH38"/>
  <c r="BI22"/>
  <c r="AJ35"/>
  <c r="AE36"/>
  <c r="AL37"/>
  <c r="AC38"/>
  <c r="AE20"/>
  <c r="AE22"/>
  <c r="AF27"/>
  <c r="AD32"/>
  <c r="AE33"/>
  <c r="AF34"/>
  <c r="AH36"/>
  <c r="AJ38"/>
  <c r="AE39"/>
  <c r="BU22"/>
  <c r="AM63"/>
  <c r="AK62"/>
  <c r="AI61"/>
  <c r="AG60"/>
  <c r="AE59"/>
  <c r="AC58"/>
  <c r="AK69"/>
  <c r="AC67"/>
  <c r="AG66"/>
  <c r="AK65"/>
  <c r="BQ22"/>
  <c r="BV22"/>
  <c r="AN63"/>
  <c r="AL62"/>
  <c r="AJ61"/>
  <c r="AH60"/>
  <c r="AF59"/>
  <c r="AD58"/>
  <c r="AL69"/>
  <c r="AD67"/>
  <c r="AH66"/>
  <c r="AL65"/>
  <c r="BY22"/>
  <c r="AG63"/>
  <c r="AE62"/>
  <c r="AC61"/>
  <c r="AM58"/>
  <c r="AE69"/>
  <c r="AI68"/>
  <c r="AM67"/>
  <c r="AE65"/>
  <c r="AI64"/>
  <c r="BO22"/>
  <c r="BM22"/>
  <c r="BX22"/>
  <c r="AN62"/>
  <c r="AL61"/>
  <c r="AJ60"/>
  <c r="AH59"/>
  <c r="AF58"/>
  <c r="AN69"/>
  <c r="AF67"/>
  <c r="AJ66"/>
  <c r="AN65"/>
  <c r="BR22"/>
  <c r="AM56"/>
  <c r="AI55"/>
  <c r="AE54"/>
  <c r="AM52"/>
  <c r="AI51"/>
  <c r="AE50"/>
  <c r="AM48"/>
  <c r="AI47"/>
  <c r="AE46"/>
  <c r="AM44"/>
  <c r="AI43"/>
  <c r="AE42"/>
  <c r="AM40"/>
  <c r="AJ57"/>
  <c r="AF56"/>
  <c r="AN54"/>
  <c r="AJ53"/>
  <c r="AF52"/>
  <c r="AN50"/>
  <c r="AJ49"/>
  <c r="AF48"/>
  <c r="AN46"/>
  <c r="AJ45"/>
  <c r="AF44"/>
  <c r="AN42"/>
  <c r="AJ41"/>
  <c r="AF40"/>
  <c r="AK56"/>
  <c r="AG55"/>
  <c r="AC54"/>
  <c r="AK52"/>
  <c r="AG51"/>
  <c r="AC50"/>
  <c r="AK48"/>
  <c r="AG47"/>
  <c r="AC46"/>
  <c r="AK44"/>
  <c r="AG43"/>
  <c r="AC42"/>
  <c r="AK40"/>
  <c r="AH57"/>
  <c r="AD56"/>
  <c r="AL54"/>
  <c r="AH53"/>
  <c r="AD52"/>
  <c r="AL50"/>
  <c r="AH49"/>
  <c r="AD48"/>
  <c r="AL46"/>
  <c r="AH45"/>
  <c r="AD44"/>
  <c r="AL42"/>
  <c r="AH41"/>
  <c r="AD40"/>
  <c r="BH27"/>
  <c r="AH33"/>
  <c r="AM38"/>
  <c r="AG20"/>
  <c r="AC33"/>
  <c r="AG35"/>
  <c r="AM37"/>
  <c r="AD38"/>
  <c r="AK39"/>
  <c r="AH21"/>
  <c r="BK24"/>
  <c r="AF26"/>
  <c r="AG27"/>
  <c r="AE32"/>
  <c r="AF33"/>
  <c r="AK34"/>
  <c r="AF35"/>
  <c r="AH37"/>
  <c r="AJ39"/>
  <c r="AG24"/>
  <c r="BL26"/>
  <c r="AE29"/>
  <c r="AM35"/>
  <c r="AD36"/>
  <c r="AK37"/>
  <c r="AF38"/>
  <c r="AM61"/>
  <c r="AK60"/>
  <c r="AI59"/>
  <c r="AG58"/>
  <c r="AC68"/>
  <c r="AG67"/>
  <c r="AK66"/>
  <c r="AC64"/>
  <c r="AN61"/>
  <c r="AL60"/>
  <c r="AJ59"/>
  <c r="AH58"/>
  <c r="AD68"/>
  <c r="AH67"/>
  <c r="AL66"/>
  <c r="AD64"/>
  <c r="CC22"/>
  <c r="BS22"/>
  <c r="AK63"/>
  <c r="AI62"/>
  <c r="AG61"/>
  <c r="AE60"/>
  <c r="AC59"/>
  <c r="AI69"/>
  <c r="AM68"/>
  <c r="AE66"/>
  <c r="AI65"/>
  <c r="AM64"/>
  <c r="AD63"/>
  <c r="AN60"/>
  <c r="AL59"/>
  <c r="AJ58"/>
  <c r="AF68"/>
  <c r="AJ67"/>
  <c r="AN66"/>
  <c r="AF64"/>
  <c r="BN22"/>
  <c r="AE57"/>
  <c r="AM55"/>
  <c r="AI54"/>
  <c r="AE53"/>
  <c r="AM51"/>
  <c r="AI50"/>
  <c r="AE49"/>
  <c r="AM47"/>
  <c r="AI46"/>
  <c r="AE45"/>
  <c r="AM43"/>
  <c r="AI42"/>
  <c r="AE41"/>
  <c r="AN57"/>
  <c r="AJ56"/>
  <c r="AF55"/>
  <c r="AN53"/>
  <c r="AJ52"/>
  <c r="AF51"/>
  <c r="AN49"/>
  <c r="AJ48"/>
  <c r="AF47"/>
  <c r="AN45"/>
  <c r="AJ44"/>
  <c r="AF43"/>
  <c r="AN41"/>
  <c r="AJ40"/>
  <c r="AC57"/>
  <c r="AK55"/>
  <c r="AG54"/>
  <c r="AC53"/>
  <c r="AK51"/>
  <c r="AG50"/>
  <c r="AC49"/>
  <c r="AK47"/>
  <c r="AG46"/>
  <c r="AC45"/>
  <c r="AK43"/>
  <c r="AG42"/>
  <c r="AC41"/>
  <c r="AL57"/>
  <c r="AH56"/>
  <c r="AD55"/>
  <c r="AL53"/>
  <c r="AH52"/>
  <c r="AD51"/>
  <c r="AL49"/>
  <c r="AH48"/>
  <c r="AD47"/>
  <c r="AL45"/>
  <c r="AH44"/>
  <c r="AD43"/>
  <c r="AL41"/>
  <c r="AH40"/>
  <c r="AI4"/>
  <c r="AZ4"/>
  <c r="AO6"/>
  <c r="CK4"/>
  <c r="AY4"/>
  <c r="CN4"/>
  <c r="AP4"/>
  <c r="BG4"/>
  <c r="AO8"/>
  <c r="AS4"/>
  <c r="BJ4"/>
  <c r="AO5"/>
  <c r="CP4"/>
  <c r="AV4"/>
  <c r="CG4"/>
  <c r="AU4"/>
  <c r="BL4"/>
  <c r="CJ4"/>
  <c r="AK4"/>
  <c r="BC4"/>
  <c r="CM4"/>
  <c r="AN4"/>
  <c r="BF4"/>
  <c r="AO9"/>
  <c r="CL4"/>
  <c r="AR4"/>
  <c r="BI4"/>
  <c r="AQ4"/>
  <c r="BH4"/>
  <c r="AO7"/>
  <c r="CF4"/>
  <c r="AX4"/>
  <c r="CI4"/>
  <c r="AJ4"/>
  <c r="BB4"/>
  <c r="BA4"/>
  <c r="CH4"/>
  <c r="AM4"/>
  <c r="BE4"/>
  <c r="CO4"/>
  <c r="AL4"/>
  <c r="BD4"/>
  <c r="AT4"/>
  <c r="BK4"/>
  <c r="AO4"/>
  <c r="CE4"/>
  <c r="AW4"/>
  <c r="BW4"/>
  <c r="BO4"/>
  <c r="BX4"/>
  <c r="BZ4"/>
  <c r="BP4"/>
  <c r="CA4"/>
  <c r="CB4"/>
  <c r="BU4"/>
  <c r="CD4"/>
  <c r="BR4"/>
  <c r="BY4"/>
  <c r="BS4"/>
  <c r="BM4"/>
  <c r="BT4"/>
  <c r="BN4"/>
  <c r="CC4"/>
  <c r="BQ4"/>
  <c r="BV4"/>
  <c r="CL5"/>
  <c r="BV5"/>
  <c r="AP5"/>
  <c r="BG5"/>
  <c r="CA5"/>
  <c r="AJ5"/>
  <c r="BB5"/>
  <c r="CJ5"/>
  <c r="BT5"/>
  <c r="AR5"/>
  <c r="BI5"/>
  <c r="CC5"/>
  <c r="BM5"/>
  <c r="AY5"/>
  <c r="CP5"/>
  <c r="BZ5"/>
  <c r="AK5"/>
  <c r="BC5"/>
  <c r="CE5"/>
  <c r="BO5"/>
  <c r="AW5"/>
  <c r="CN5"/>
  <c r="BX5"/>
  <c r="AM5"/>
  <c r="BE5"/>
  <c r="CG5"/>
  <c r="BQ5"/>
  <c r="AU5"/>
  <c r="BL5"/>
  <c r="CD5"/>
  <c r="BN5"/>
  <c r="AX5"/>
  <c r="CI5"/>
  <c r="BS5"/>
  <c r="AS5"/>
  <c r="BJ5"/>
  <c r="CB5"/>
  <c r="AI5"/>
  <c r="AZ5"/>
  <c r="CK5"/>
  <c r="BU5"/>
  <c r="AQ5"/>
  <c r="BH5"/>
  <c r="BA5"/>
  <c r="CH5"/>
  <c r="BR5"/>
  <c r="AT5"/>
  <c r="BK5"/>
  <c r="CM5"/>
  <c r="BW5"/>
  <c r="AN5"/>
  <c r="BF5"/>
  <c r="CF5"/>
  <c r="BP5"/>
  <c r="AV5"/>
  <c r="CO5"/>
  <c r="BY5"/>
  <c r="AL5"/>
  <c r="BD5"/>
  <c r="CK31"/>
  <c r="BU31"/>
  <c r="CL31"/>
  <c r="BV31"/>
  <c r="CM31"/>
  <c r="BW31"/>
  <c r="CB31"/>
  <c r="AO31"/>
  <c r="AF31"/>
  <c r="AW31"/>
  <c r="CO31"/>
  <c r="BY31"/>
  <c r="CP31"/>
  <c r="BZ31"/>
  <c r="CA31"/>
  <c r="CF31"/>
  <c r="BP31"/>
  <c r="AS31"/>
  <c r="CC31"/>
  <c r="BM31"/>
  <c r="CD31"/>
  <c r="BN31"/>
  <c r="CE31"/>
  <c r="BO31"/>
  <c r="CJ31"/>
  <c r="BT31"/>
  <c r="CG31"/>
  <c r="BQ31"/>
  <c r="CH31"/>
  <c r="BR31"/>
  <c r="CI31"/>
  <c r="BS31"/>
  <c r="CN31"/>
  <c r="BX31"/>
  <c r="AJ31"/>
  <c r="BI31"/>
  <c r="AE31"/>
  <c r="AV31"/>
  <c r="AM31"/>
  <c r="BL31"/>
  <c r="AQ31"/>
  <c r="BK31"/>
  <c r="AG31"/>
  <c r="AX31"/>
  <c r="AI31"/>
  <c r="BH31"/>
  <c r="AL31"/>
  <c r="BG31"/>
  <c r="AC31"/>
  <c r="AT31"/>
  <c r="AN31"/>
  <c r="AZ31"/>
  <c r="AH31"/>
  <c r="AY31"/>
  <c r="AP31"/>
  <c r="AR31"/>
  <c r="AD31"/>
  <c r="AU31"/>
  <c r="AK31"/>
  <c r="BJ31"/>
</calcChain>
</file>

<file path=xl/sharedStrings.xml><?xml version="1.0" encoding="utf-8"?>
<sst xmlns="http://schemas.openxmlformats.org/spreadsheetml/2006/main" count="455" uniqueCount="91">
  <si>
    <t>Ligne</t>
  </si>
  <si>
    <t>Colonne</t>
  </si>
  <si>
    <t>%</t>
  </si>
  <si>
    <t>Nom_Carr</t>
  </si>
  <si>
    <t>De</t>
  </si>
  <si>
    <t>Vers</t>
  </si>
  <si>
    <t>VH</t>
  </si>
  <si>
    <t>Connexion</t>
  </si>
  <si>
    <t>A</t>
  </si>
  <si>
    <t>B</t>
  </si>
  <si>
    <t>C</t>
  </si>
  <si>
    <t>D</t>
  </si>
  <si>
    <t>A1</t>
  </si>
  <si>
    <t>A2</t>
  </si>
  <si>
    <t>B2</t>
  </si>
  <si>
    <t>B4</t>
  </si>
  <si>
    <t>C2</t>
  </si>
  <si>
    <t>C4</t>
  </si>
  <si>
    <t>D1</t>
  </si>
  <si>
    <t>D3</t>
  </si>
  <si>
    <t>D4</t>
  </si>
  <si>
    <t>E</t>
  </si>
  <si>
    <t>F</t>
  </si>
  <si>
    <t>G</t>
  </si>
  <si>
    <t>H</t>
  </si>
  <si>
    <t>I</t>
  </si>
  <si>
    <t>J</t>
  </si>
  <si>
    <t>K</t>
  </si>
  <si>
    <t>A4</t>
  </si>
  <si>
    <t>A3</t>
  </si>
  <si>
    <t>B1</t>
  </si>
  <si>
    <t>B3</t>
  </si>
  <si>
    <t>C1</t>
  </si>
  <si>
    <t>C3</t>
  </si>
  <si>
    <t>D2</t>
  </si>
  <si>
    <t>Somme_Branche</t>
  </si>
  <si>
    <t>Lien</t>
  </si>
  <si>
    <t>A5</t>
  </si>
  <si>
    <t>A6</t>
  </si>
  <si>
    <t>B5</t>
  </si>
  <si>
    <t>B6</t>
  </si>
  <si>
    <t>C5</t>
  </si>
  <si>
    <t>C6</t>
  </si>
  <si>
    <t>D5</t>
  </si>
  <si>
    <t>D6</t>
  </si>
  <si>
    <t>E1</t>
  </si>
  <si>
    <t>E2</t>
  </si>
  <si>
    <t>E3</t>
  </si>
  <si>
    <t>E4</t>
  </si>
  <si>
    <t>E5</t>
  </si>
  <si>
    <t>E6</t>
  </si>
  <si>
    <t>F1</t>
  </si>
  <si>
    <t>F2</t>
  </si>
  <si>
    <t>F3</t>
  </si>
  <si>
    <t>F4</t>
  </si>
  <si>
    <t>F5</t>
  </si>
  <si>
    <t>F6</t>
  </si>
  <si>
    <t>G1</t>
  </si>
  <si>
    <t>G2</t>
  </si>
  <si>
    <t>G3</t>
  </si>
  <si>
    <t>G4</t>
  </si>
  <si>
    <t>G5</t>
  </si>
  <si>
    <t>G6</t>
  </si>
  <si>
    <t>H1</t>
  </si>
  <si>
    <t>H2</t>
  </si>
  <si>
    <t>H3</t>
  </si>
  <si>
    <t>H4</t>
  </si>
  <si>
    <t>H5</t>
  </si>
  <si>
    <t>H6</t>
  </si>
  <si>
    <t>I1</t>
  </si>
  <si>
    <t>I2</t>
  </si>
  <si>
    <t>I3</t>
  </si>
  <si>
    <t>I4</t>
  </si>
  <si>
    <t>I5</t>
  </si>
  <si>
    <t>I6</t>
  </si>
  <si>
    <t>J1</t>
  </si>
  <si>
    <t>J2</t>
  </si>
  <si>
    <t>J3</t>
  </si>
  <si>
    <t>J4</t>
  </si>
  <si>
    <t>J5</t>
  </si>
  <si>
    <t>J6</t>
  </si>
  <si>
    <t>K1</t>
  </si>
  <si>
    <t>K2</t>
  </si>
  <si>
    <t>K3</t>
  </si>
  <si>
    <t>K4</t>
  </si>
  <si>
    <t>K5</t>
  </si>
  <si>
    <t>K6</t>
  </si>
  <si>
    <t>Colonne_Connexion</t>
  </si>
  <si>
    <t>Connecter_A</t>
  </si>
  <si>
    <t>ID</t>
  </si>
  <si>
    <t>Vers_Carrefour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</si>
</sst>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5" fillId="0" borderId="0"/>
    <xf numFmtId="0" fontId="6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10" fontId="0" fillId="0" borderId="0" xfId="0" applyNumberFormat="1"/>
    <xf numFmtId="0" fontId="4" fillId="2" borderId="11" xfId="0" applyFont="1" applyFill="1" applyBorder="1"/>
    <xf numFmtId="0" fontId="0" fillId="0" borderId="0" xfId="0" applyFill="1"/>
    <xf numFmtId="0" fontId="0" fillId="0" borderId="0" xfId="0" applyBorder="1"/>
    <xf numFmtId="0" fontId="0" fillId="0" borderId="0" xfId="0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5" xfId="0" applyFill="1" applyBorder="1"/>
    <xf numFmtId="0" fontId="2" fillId="0" borderId="15" xfId="1" applyFont="1" applyFill="1" applyBorder="1"/>
    <xf numFmtId="1" fontId="0" fillId="0" borderId="3" xfId="0" applyNumberFormat="1" applyFill="1" applyBorder="1"/>
    <xf numFmtId="1" fontId="0" fillId="0" borderId="4" xfId="0" applyNumberFormat="1" applyFill="1" applyBorder="1"/>
    <xf numFmtId="1" fontId="0" fillId="0" borderId="5" xfId="0" applyNumberFormat="1" applyFill="1" applyBorder="1"/>
    <xf numFmtId="1" fontId="0" fillId="0" borderId="6" xfId="0" applyNumberFormat="1" applyFill="1" applyBorder="1"/>
    <xf numFmtId="1" fontId="0" fillId="0" borderId="0" xfId="0" applyNumberFormat="1" applyFill="1" applyBorder="1"/>
    <xf numFmtId="1" fontId="0" fillId="0" borderId="7" xfId="0" applyNumberFormat="1" applyFill="1" applyBorder="1"/>
    <xf numFmtId="1" fontId="0" fillId="0" borderId="8" xfId="0" applyNumberFormat="1" applyFill="1" applyBorder="1"/>
    <xf numFmtId="1" fontId="0" fillId="0" borderId="9" xfId="0" applyNumberFormat="1" applyFill="1" applyBorder="1"/>
    <xf numFmtId="1" fontId="0" fillId="0" borderId="10" xfId="0" applyNumberFormat="1" applyFill="1" applyBorder="1"/>
    <xf numFmtId="1" fontId="0" fillId="0" borderId="4" xfId="0" applyNumberFormat="1" applyFont="1" applyBorder="1"/>
    <xf numFmtId="1" fontId="0" fillId="0" borderId="0" xfId="0" applyNumberFormat="1" applyFont="1" applyBorder="1"/>
    <xf numFmtId="1" fontId="0" fillId="0" borderId="6" xfId="0" applyNumberFormat="1" applyFont="1" applyBorder="1"/>
    <xf numFmtId="1" fontId="0" fillId="0" borderId="4" xfId="0" applyNumberFormat="1" applyFont="1" applyFill="1" applyBorder="1"/>
    <xf numFmtId="1" fontId="0" fillId="0" borderId="5" xfId="0" applyNumberFormat="1" applyFont="1" applyFill="1" applyBorder="1"/>
    <xf numFmtId="1" fontId="0" fillId="0" borderId="0" xfId="0" applyNumberFormat="1" applyFont="1" applyFill="1" applyBorder="1"/>
    <xf numFmtId="1" fontId="0" fillId="0" borderId="7" xfId="0" applyNumberFormat="1" applyFont="1" applyFill="1" applyBorder="1"/>
    <xf numFmtId="1" fontId="0" fillId="0" borderId="9" xfId="0" applyNumberFormat="1" applyFont="1" applyFill="1" applyBorder="1"/>
    <xf numFmtId="1" fontId="0" fillId="0" borderId="10" xfId="0" applyNumberFormat="1" applyFont="1" applyFill="1" applyBorder="1"/>
    <xf numFmtId="1" fontId="0" fillId="0" borderId="6" xfId="0" applyNumberFormat="1" applyFont="1" applyFill="1" applyBorder="1"/>
    <xf numFmtId="1" fontId="0" fillId="0" borderId="3" xfId="0" applyNumberFormat="1" applyFont="1" applyFill="1" applyBorder="1"/>
    <xf numFmtId="1" fontId="0" fillId="0" borderId="8" xfId="0" applyNumberFormat="1" applyFont="1" applyFill="1" applyBorder="1"/>
    <xf numFmtId="0" fontId="8" fillId="0" borderId="0" xfId="0" applyFont="1"/>
    <xf numFmtId="0" fontId="2" fillId="0" borderId="0" xfId="1"/>
    <xf numFmtId="1" fontId="0" fillId="0" borderId="13" xfId="0" applyNumberFormat="1" applyBorder="1"/>
    <xf numFmtId="1" fontId="0" fillId="0" borderId="8" xfId="0" applyNumberFormat="1" applyFont="1" applyBorder="1"/>
    <xf numFmtId="1" fontId="0" fillId="0" borderId="17" xfId="0" applyNumberFormat="1" applyFont="1" applyBorder="1"/>
    <xf numFmtId="1" fontId="0" fillId="0" borderId="12" xfId="0" applyNumberFormat="1" applyBorder="1"/>
    <xf numFmtId="1" fontId="0" fillId="0" borderId="1" xfId="0" applyNumberFormat="1" applyBorder="1"/>
    <xf numFmtId="0" fontId="0" fillId="0" borderId="0" xfId="0"/>
    <xf numFmtId="10" fontId="0" fillId="0" borderId="0" xfId="0" applyNumberFormat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0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  <xf numFmtId="1" fontId="0" fillId="0" borderId="10" xfId="0" applyNumberFormat="1" applyBorder="1"/>
    <xf numFmtId="0" fontId="0" fillId="0" borderId="0" xfId="0" applyBorder="1"/>
    <xf numFmtId="0" fontId="0" fillId="0" borderId="14" xfId="0" applyBorder="1"/>
    <xf numFmtId="1" fontId="0" fillId="0" borderId="12" xfId="0" applyNumberFormat="1" applyFont="1" applyBorder="1"/>
    <xf numFmtId="1" fontId="0" fillId="0" borderId="1" xfId="0" applyNumberFormat="1" applyFont="1" applyBorder="1"/>
    <xf numFmtId="0" fontId="0" fillId="0" borderId="18" xfId="0" applyBorder="1"/>
    <xf numFmtId="0" fontId="2" fillId="0" borderId="19" xfId="1" applyFont="1" applyFill="1" applyBorder="1"/>
  </cellXfs>
  <cellStyles count="15">
    <cellStyle name="Normal" xfId="0" builtinId="0"/>
    <cellStyle name="Normal 2" xfId="1"/>
    <cellStyle name="Normal 2 2" xfId="4"/>
    <cellStyle name="Normal 2 2 2" xfId="11"/>
    <cellStyle name="Normal 2 3" xfId="6"/>
    <cellStyle name="Normal 3" xfId="3"/>
    <cellStyle name="Normal 4" xfId="2"/>
    <cellStyle name="Normal 4 2" xfId="10"/>
    <cellStyle name="Normal 5" xfId="5"/>
    <cellStyle name="Normal 5 2" xfId="12"/>
    <cellStyle name="Normal 6" xfId="9"/>
    <cellStyle name="Pourcentage 2" xfId="8"/>
    <cellStyle name="Pourcentage 2 2" xfId="14"/>
    <cellStyle name="Pourcentage 3" xfId="7"/>
    <cellStyle name="Pourcentage 3 2" xfId="13"/>
  </cellStyles>
  <dxfs count="10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P161"/>
  <sheetViews>
    <sheetView tabSelected="1" topLeftCell="A3" zoomScale="50" zoomScaleNormal="50" workbookViewId="0">
      <selection activeCell="Q88" sqref="Q88"/>
    </sheetView>
  </sheetViews>
  <sheetFormatPr baseColWidth="10" defaultRowHeight="15"/>
  <cols>
    <col min="1" max="5" width="9.140625"/>
    <col min="6" max="6" width="15.140625" customWidth="1"/>
    <col min="7" max="7" width="8.42578125" customWidth="1"/>
    <col min="8" max="8" width="13.42578125" customWidth="1"/>
    <col min="9" max="9" width="13.85546875" customWidth="1"/>
    <col min="10" max="10" width="10.5703125" customWidth="1"/>
    <col min="11" max="11" width="17.42578125" customWidth="1"/>
    <col min="12" max="12" width="9.85546875" customWidth="1"/>
    <col min="13" max="13" width="7.85546875" customWidth="1"/>
    <col min="14" max="14" width="19.28515625" customWidth="1"/>
    <col min="23" max="24" width="11.42578125" customWidth="1"/>
    <col min="25" max="25" width="9.42578125" customWidth="1"/>
    <col min="26" max="26" width="10.42578125" hidden="1" customWidth="1"/>
    <col min="27" max="27" width="9.85546875" hidden="1" customWidth="1"/>
    <col min="28" max="28" width="9.42578125" customWidth="1"/>
    <col min="29" max="29" width="9.5703125" customWidth="1"/>
    <col min="30" max="30" width="8.7109375" customWidth="1"/>
    <col min="31" max="31" width="10.140625" customWidth="1"/>
    <col min="32" max="32" width="8.7109375" customWidth="1"/>
    <col min="33" max="33" width="9.5703125" customWidth="1"/>
    <col min="34" max="34" width="9.140625" customWidth="1"/>
    <col min="35" max="35" width="9.5703125" customWidth="1"/>
    <col min="36" max="37" width="8.85546875" customWidth="1"/>
    <col min="38" max="38" width="9.85546875" customWidth="1"/>
    <col min="39" max="39" width="9.5703125" customWidth="1"/>
    <col min="55" max="55" width="11.7109375" customWidth="1"/>
  </cols>
  <sheetData>
    <row r="1" spans="1:94" ht="25.5" hidden="1" customHeight="1">
      <c r="AC1" t="e">
        <f>VLOOKUP($AB4,$N:$N,1,)</f>
        <v>#N/A</v>
      </c>
      <c r="AD1" t="e">
        <f>VLOOKUP($AB5,$N:$N,1,)</f>
        <v>#N/A</v>
      </c>
      <c r="AE1" t="e">
        <f>VLOOKUP($AB6,$N:$N,1,)</f>
        <v>#N/A</v>
      </c>
      <c r="AF1" t="str">
        <f>VLOOKUP($AB7,$N:$N,1,)</f>
        <v>A4</v>
      </c>
      <c r="AG1" t="e">
        <f>VLOOKUP($AB8,$N:$N,1,)</f>
        <v>#N/A</v>
      </c>
      <c r="AH1" t="e">
        <f>VLOOKUP($AB9,$N:$N,1,)</f>
        <v>#N/A</v>
      </c>
      <c r="AI1" t="str">
        <f>VLOOKUP($AB10,$N:$N,1,)</f>
        <v>B1</v>
      </c>
      <c r="AJ1" t="e">
        <f>VLOOKUP($AB11,$N:$N,1,)</f>
        <v>#N/A</v>
      </c>
      <c r="AK1" t="str">
        <f>VLOOKUP($AB12,$N:$N,1,)</f>
        <v>B3</v>
      </c>
      <c r="AL1" t="e">
        <f>VLOOKUP($AB13,$N:$N,1,)</f>
        <v>#N/A</v>
      </c>
      <c r="AM1" t="e">
        <f>VLOOKUP($AB14,$N:$N,1,)</f>
        <v>#N/A</v>
      </c>
      <c r="AN1" t="e">
        <f>VLOOKUP($AB15,$N:$N,1,)</f>
        <v>#N/A</v>
      </c>
      <c r="AO1" t="str">
        <f>VLOOKUP($AB16,$N:$N,1,)</f>
        <v>C1</v>
      </c>
      <c r="AP1" t="e">
        <f>VLOOKUP($AB17,$N:$N,1,)</f>
        <v>#N/A</v>
      </c>
      <c r="AQ1" t="str">
        <f>VLOOKUP($AB18,$N:$N,1,)</f>
        <v>C3</v>
      </c>
      <c r="AR1" t="e">
        <f>VLOOKUP($AB19,$N:$N,1,)</f>
        <v>#N/A</v>
      </c>
      <c r="AS1" t="e">
        <f>VLOOKUP($AB20,$N:$N,1,)</f>
        <v>#N/A</v>
      </c>
      <c r="AT1" t="e">
        <f>VLOOKUP($AB21,$N:$N,1,)</f>
        <v>#N/A</v>
      </c>
      <c r="AU1" t="str">
        <f>VLOOKUP($AB22,$N:$N,1,)</f>
        <v>D1</v>
      </c>
      <c r="AV1" t="e">
        <f>VLOOKUP($AB23,$N:$N,1,)</f>
        <v>#N/A</v>
      </c>
      <c r="AW1" t="str">
        <f>VLOOKUP($AB24,$N:$N,1,)</f>
        <v>D3</v>
      </c>
      <c r="AX1" t="e">
        <f>VLOOKUP($AB25,$N:$N,1,)</f>
        <v>#N/A</v>
      </c>
      <c r="AY1" t="e">
        <f>VLOOKUP($AB26,$N:$N,1,)</f>
        <v>#N/A</v>
      </c>
      <c r="AZ1" t="e">
        <f>VLOOKUP($AB27,$N:$N,1,)</f>
        <v>#N/A</v>
      </c>
      <c r="BA1" t="str">
        <f>VLOOKUP($AB28,$N:$N,1,)</f>
        <v>E1</v>
      </c>
      <c r="BB1" t="str">
        <f>VLOOKUP($AB29,$N:$N,1,)</f>
        <v>E2</v>
      </c>
      <c r="BC1" t="e">
        <f>VLOOKUP($AB30,$N:$N,1,)</f>
        <v>#N/A</v>
      </c>
      <c r="BD1" t="e">
        <f>VLOOKUP($AB31,$N:$N,1,)</f>
        <v>#N/A</v>
      </c>
      <c r="BE1" t="e">
        <f>VLOOKUP($AB32,$N:$N,1,)</f>
        <v>#N/A</v>
      </c>
      <c r="BF1" t="e">
        <f>VLOOKUP($AB33,$N:$N,1,)</f>
        <v>#N/A</v>
      </c>
      <c r="BG1" t="str">
        <f>VLOOKUP($AB34,$N:$N,1,)</f>
        <v>F1</v>
      </c>
      <c r="BH1" t="e">
        <f>VLOOKUP($AB35,$N:$N,1,)</f>
        <v>#N/A</v>
      </c>
      <c r="BI1" t="str">
        <f>VLOOKUP($AB36,$N:$N,1,)</f>
        <v>F3</v>
      </c>
      <c r="BJ1" t="e">
        <f>VLOOKUP($AB37,$N:$N,1,)</f>
        <v>#N/A</v>
      </c>
      <c r="BK1" t="e">
        <f>VLOOKUP($AB38,$N:$N,1,)</f>
        <v>#N/A</v>
      </c>
      <c r="BL1" t="e">
        <f>VLOOKUP($AB39,$N:$N,1,)</f>
        <v>#N/A</v>
      </c>
      <c r="BM1" t="str">
        <f>VLOOKUP($AB40,$N:$N,1,)</f>
        <v>G1</v>
      </c>
      <c r="BN1" t="str">
        <f>VLOOKUP($AB41,$N:$N,1,)</f>
        <v>G2</v>
      </c>
      <c r="BO1" t="e">
        <f>VLOOKUP($AB42,$N:$N,1,)</f>
        <v>#N/A</v>
      </c>
      <c r="BP1" t="e">
        <f>VLOOKUP($AB43,$N:$N,1,)</f>
        <v>#N/A</v>
      </c>
      <c r="BQ1" t="e">
        <f>VLOOKUP($AB44,$N:$N,1,)</f>
        <v>#N/A</v>
      </c>
      <c r="BR1" t="e">
        <f>VLOOKUP($AB45,$N:$N,1,)</f>
        <v>#N/A</v>
      </c>
      <c r="BS1" t="str">
        <f>VLOOKUP($AB46,$N:$N,1,)</f>
        <v>H1</v>
      </c>
      <c r="BT1" t="e">
        <f>VLOOKUP($AB47,$N:$N,1,)</f>
        <v>#N/A</v>
      </c>
      <c r="BU1" t="str">
        <f>VLOOKUP($AB48,$N:$N,1,)</f>
        <v>H3</v>
      </c>
      <c r="BV1" t="e">
        <f>VLOOKUP($AB49,$N:$N,1,)</f>
        <v>#N/A</v>
      </c>
      <c r="BW1" t="e">
        <f>VLOOKUP($AB50,$N:$N,1,)</f>
        <v>#N/A</v>
      </c>
      <c r="BX1" t="e">
        <f>VLOOKUP($AB51,$N:$N,1,)</f>
        <v>#N/A</v>
      </c>
      <c r="BY1" t="str">
        <f>VLOOKUP($AB52,$N:$N,1,)</f>
        <v>I1</v>
      </c>
      <c r="BZ1" t="str">
        <f>VLOOKUP($AB53,$N:$N,1,)</f>
        <v>I2</v>
      </c>
      <c r="CA1" t="e">
        <f>VLOOKUP($AB54,$N:$N,1,)</f>
        <v>#N/A</v>
      </c>
      <c r="CB1" t="e">
        <f>VLOOKUP($AB55,$N:$N,1,)</f>
        <v>#N/A</v>
      </c>
      <c r="CC1" t="e">
        <f>VLOOKUP($AB56,$N:$N,1,)</f>
        <v>#N/A</v>
      </c>
      <c r="CD1" t="e">
        <f>VLOOKUP($AB57,$N:$N,1,)</f>
        <v>#N/A</v>
      </c>
      <c r="CE1" t="str">
        <f>VLOOKUP($AB58,$N:$N,1,)</f>
        <v>J1</v>
      </c>
      <c r="CF1" t="e">
        <f>VLOOKUP($AB59,$N:$N,1,)</f>
        <v>#N/A</v>
      </c>
      <c r="CG1" t="str">
        <f>VLOOKUP($AB60,$N:$N,1,)</f>
        <v>J3</v>
      </c>
      <c r="CH1" t="e">
        <f>VLOOKUP($AB61,$N:$N,1,)</f>
        <v>#N/A</v>
      </c>
      <c r="CI1" t="e">
        <f>VLOOKUP($AB62,$N:$N,1,)</f>
        <v>#N/A</v>
      </c>
      <c r="CJ1" t="e">
        <f>VLOOKUP($AB63,$N:$N,1,)</f>
        <v>#N/A</v>
      </c>
      <c r="CK1" t="str">
        <f>VLOOKUP($AB64,$N:$N,1,)</f>
        <v>K1</v>
      </c>
      <c r="CL1" t="e">
        <f>VLOOKUP($AB65,$N:$N,1,)</f>
        <v>#N/A</v>
      </c>
      <c r="CM1" t="e">
        <f>VLOOKUP($AB66,$N:$N,1,)</f>
        <v>#N/A</v>
      </c>
      <c r="CN1" t="e">
        <f>VLOOKUP($AB67,$N:$N,1,)</f>
        <v>#N/A</v>
      </c>
      <c r="CO1" t="e">
        <f>VLOOKUP($AB68,$N:$N,1,)</f>
        <v>#N/A</v>
      </c>
      <c r="CP1" t="e">
        <f>VLOOKUP($AB69,$N:$N,1,)</f>
        <v>#N/A</v>
      </c>
    </row>
    <row r="2" spans="1:94" ht="46.5" hidden="1" customHeight="1">
      <c r="AC2" t="str">
        <f>VLOOKUP($AB4,$G:$G,1,)</f>
        <v>A1</v>
      </c>
      <c r="AD2" t="str">
        <f>VLOOKUP($AB5,$G:$G,1,)</f>
        <v>A2</v>
      </c>
      <c r="AE2" t="str">
        <f>VLOOKUP($AB6,$G:$G,1,)</f>
        <v>A3</v>
      </c>
      <c r="AF2" t="str">
        <f>VLOOKUP($AB7,$G:$G,1,)</f>
        <v>A4</v>
      </c>
      <c r="AG2" t="str">
        <f>VLOOKUP($AB8,$G:$G,1,)</f>
        <v>A5</v>
      </c>
      <c r="AH2" t="e">
        <f>VLOOKUP($AB9,$G:$G,1,)</f>
        <v>#N/A</v>
      </c>
      <c r="AI2" t="str">
        <f>VLOOKUP($AB10,$G:$G,1,)</f>
        <v>B1</v>
      </c>
      <c r="AJ2" t="str">
        <f>VLOOKUP($AB11,$G:$G,1,)</f>
        <v>B2</v>
      </c>
      <c r="AK2" t="str">
        <f>VLOOKUP($AB12,$G:$G,1,)</f>
        <v>B3</v>
      </c>
      <c r="AL2" t="str">
        <f>VLOOKUP($AB13,$G:$G,1,)</f>
        <v>B4</v>
      </c>
      <c r="AM2" t="e">
        <f>VLOOKUP($AB14,$G:$G,1,)</f>
        <v>#N/A</v>
      </c>
      <c r="AN2" t="e">
        <f>VLOOKUP($AB15,$G:$G,1,)</f>
        <v>#N/A</v>
      </c>
      <c r="AO2" t="str">
        <f>VLOOKUP($AB16,$G:$G,1,)</f>
        <v>C1</v>
      </c>
      <c r="AP2" t="str">
        <f>VLOOKUP($AB17,$G:$G,1,)</f>
        <v>C2</v>
      </c>
      <c r="AQ2" t="str">
        <f>VLOOKUP($AB18,$G:$G,1,)</f>
        <v>C3</v>
      </c>
      <c r="AR2" t="e">
        <f>VLOOKUP($AB19,$G:$G,1,)</f>
        <v>#N/A</v>
      </c>
      <c r="AS2" t="e">
        <f>VLOOKUP($AB20,$G:$G,1,)</f>
        <v>#N/A</v>
      </c>
      <c r="AT2" t="e">
        <f>VLOOKUP($AB21,$G:$G,1,)</f>
        <v>#N/A</v>
      </c>
      <c r="AU2" t="str">
        <f>VLOOKUP($AB22,$G:$G,1,)</f>
        <v>D1</v>
      </c>
      <c r="AV2" t="str">
        <f>VLOOKUP($AB23,$G:$G,1,)</f>
        <v>D2</v>
      </c>
      <c r="AW2" t="str">
        <f>VLOOKUP($AB24,$G:$G,1,)</f>
        <v>D3</v>
      </c>
      <c r="AX2" t="str">
        <f>VLOOKUP($AB25,$G:$G,1,)</f>
        <v>D4</v>
      </c>
      <c r="AY2" t="e">
        <f>VLOOKUP($AB26,$G:$G,1,)</f>
        <v>#N/A</v>
      </c>
      <c r="AZ2" t="e">
        <f>VLOOKUP($AB27,$G:$G,1,)</f>
        <v>#N/A</v>
      </c>
      <c r="BA2" t="str">
        <f>VLOOKUP($AB28,$G:$G,1,)</f>
        <v>E1</v>
      </c>
      <c r="BB2" t="str">
        <f>VLOOKUP($AB29,$G:$G,1,)</f>
        <v>E2</v>
      </c>
      <c r="BC2" t="str">
        <f>VLOOKUP($AB30,$G:$G,1,)</f>
        <v>E3</v>
      </c>
      <c r="BD2" t="str">
        <f>VLOOKUP($AB31,$G:$G,1,)</f>
        <v>E4</v>
      </c>
      <c r="BE2" t="e">
        <f>VLOOKUP($AB32,$G:$G,1,)</f>
        <v>#N/A</v>
      </c>
      <c r="BF2" t="e">
        <f>VLOOKUP($AB33,$G:$G,1,)</f>
        <v>#N/A</v>
      </c>
      <c r="BG2" t="str">
        <f>VLOOKUP($AB34,$G:$G,1,)</f>
        <v>F1</v>
      </c>
      <c r="BH2" t="str">
        <f>VLOOKUP($AB35,$G:$G,1,)</f>
        <v>F2</v>
      </c>
      <c r="BI2" t="str">
        <f>VLOOKUP($AB36,$G:$G,1,)</f>
        <v>F3</v>
      </c>
      <c r="BJ2" t="str">
        <f>VLOOKUP($AB37,$G:$G,1,)</f>
        <v>F4</v>
      </c>
      <c r="BK2" t="e">
        <f>VLOOKUP($AB38,$G:$G,1,)</f>
        <v>#N/A</v>
      </c>
      <c r="BL2" t="e">
        <f>VLOOKUP($AB39,$G:$G,1,)</f>
        <v>#N/A</v>
      </c>
      <c r="BM2" t="str">
        <f>VLOOKUP($AB40,$G:$G,1,)</f>
        <v>G1</v>
      </c>
      <c r="BN2" t="str">
        <f>VLOOKUP($AB41,$G:$G,1,)</f>
        <v>G2</v>
      </c>
      <c r="BO2" t="str">
        <f>VLOOKUP($AB42,$G:$G,1,)</f>
        <v>G3</v>
      </c>
      <c r="BP2" t="e">
        <f>VLOOKUP($AB43,$G:$G,1,)</f>
        <v>#N/A</v>
      </c>
      <c r="BQ2" t="e">
        <f>VLOOKUP($AB44,$G:$G,1,)</f>
        <v>#N/A</v>
      </c>
      <c r="BR2" t="e">
        <f>VLOOKUP($AB45,$G:$G,1,)</f>
        <v>#N/A</v>
      </c>
      <c r="BS2" t="str">
        <f>VLOOKUP($AB46,$G:$G,1,)</f>
        <v>H1</v>
      </c>
      <c r="BT2" t="str">
        <f>VLOOKUP($AB47,$G:$G,1,)</f>
        <v>H2</v>
      </c>
      <c r="BU2" t="str">
        <f>VLOOKUP($AB48,$G:$G,1,)</f>
        <v>H3</v>
      </c>
      <c r="BV2" t="str">
        <f>VLOOKUP($AB49,$G:$G,1,)</f>
        <v>H4</v>
      </c>
      <c r="BW2" t="e">
        <f>VLOOKUP($AB50,$G:$G,1,)</f>
        <v>#N/A</v>
      </c>
      <c r="BX2" t="e">
        <f>VLOOKUP($AB51,$G:$G,1,)</f>
        <v>#N/A</v>
      </c>
      <c r="BY2" t="str">
        <f>VLOOKUP($AB52,$G:$G,1,)</f>
        <v>I1</v>
      </c>
      <c r="BZ2" t="str">
        <f>VLOOKUP($AB53,$G:$G,1,)</f>
        <v>I2</v>
      </c>
      <c r="CA2" t="str">
        <f>VLOOKUP($AB54,$G:$G,1,)</f>
        <v>I3</v>
      </c>
      <c r="CB2" t="e">
        <f>VLOOKUP($AB55,$G:$G,1,)</f>
        <v>#N/A</v>
      </c>
      <c r="CC2" t="e">
        <f>VLOOKUP($AB56,$G:$G,1,)</f>
        <v>#N/A</v>
      </c>
      <c r="CD2" t="e">
        <f>VLOOKUP($AB57,$G:$G,1,)</f>
        <v>#N/A</v>
      </c>
      <c r="CE2" t="str">
        <f>VLOOKUP($AB58,$G:$G,1,)</f>
        <v>J1</v>
      </c>
      <c r="CF2" t="str">
        <f>VLOOKUP($AB59,$G:$G,1,)</f>
        <v>J2</v>
      </c>
      <c r="CG2" t="str">
        <f>VLOOKUP($AB60,$G:$G,1,)</f>
        <v>J3</v>
      </c>
      <c r="CH2" t="str">
        <f>VLOOKUP($AB61,$G:$G,1,)</f>
        <v>J4</v>
      </c>
      <c r="CI2" t="e">
        <f>VLOOKUP($AB62,$G:$G,1,)</f>
        <v>#N/A</v>
      </c>
      <c r="CJ2" t="e">
        <f>VLOOKUP($AB63,$G:$G,1,)</f>
        <v>#N/A</v>
      </c>
      <c r="CK2" t="str">
        <f>VLOOKUP($AB64,$G:$G,1,)</f>
        <v>K1</v>
      </c>
      <c r="CL2" t="str">
        <f>VLOOKUP($AB65,$G:$G,1,)</f>
        <v>K2</v>
      </c>
      <c r="CM2" t="str">
        <f>VLOOKUP($AB66,$G:$G,1,)</f>
        <v>K3</v>
      </c>
      <c r="CN2" t="e">
        <f>VLOOKUP($AB67,$G:$G,1,)</f>
        <v>#N/A</v>
      </c>
      <c r="CO2" t="e">
        <f>VLOOKUP($AB68,$G:$G,1,)</f>
        <v>#N/A</v>
      </c>
      <c r="CP2" t="e">
        <f>VLOOKUP($AB69,$G:$G,1,)</f>
        <v>#N/A</v>
      </c>
    </row>
    <row r="3" spans="1:94">
      <c r="A3" s="35" t="s">
        <v>3</v>
      </c>
      <c r="B3" s="35" t="s">
        <v>4</v>
      </c>
      <c r="C3" s="35" t="s">
        <v>5</v>
      </c>
      <c r="D3" s="35" t="s">
        <v>6</v>
      </c>
      <c r="E3" s="35" t="s">
        <v>7</v>
      </c>
      <c r="F3" s="35" t="s">
        <v>88</v>
      </c>
      <c r="G3" s="10" t="s">
        <v>0</v>
      </c>
      <c r="H3" s="11" t="s">
        <v>88</v>
      </c>
      <c r="I3" s="9" t="s">
        <v>1</v>
      </c>
      <c r="J3" s="12" t="s">
        <v>2</v>
      </c>
      <c r="K3" s="12" t="s">
        <v>35</v>
      </c>
      <c r="L3" s="12" t="s">
        <v>36</v>
      </c>
      <c r="M3" s="12" t="s">
        <v>90</v>
      </c>
      <c r="N3" s="12" t="s">
        <v>87</v>
      </c>
      <c r="O3" s="57" t="s">
        <v>89</v>
      </c>
      <c r="U3" s="1" t="s">
        <v>8</v>
      </c>
      <c r="V3" s="2">
        <f>SUMIF(A:A,"A",D:D)</f>
        <v>4893</v>
      </c>
      <c r="AB3" s="4"/>
      <c r="AC3" t="s">
        <v>12</v>
      </c>
      <c r="AD3" t="s">
        <v>13</v>
      </c>
      <c r="AE3" t="s">
        <v>29</v>
      </c>
      <c r="AF3" t="s">
        <v>28</v>
      </c>
      <c r="AG3" t="s">
        <v>37</v>
      </c>
      <c r="AH3" t="s">
        <v>38</v>
      </c>
      <c r="AI3" t="s">
        <v>30</v>
      </c>
      <c r="AJ3" t="s">
        <v>14</v>
      </c>
      <c r="AK3" t="s">
        <v>31</v>
      </c>
      <c r="AL3" t="s">
        <v>15</v>
      </c>
      <c r="AM3" t="s">
        <v>39</v>
      </c>
      <c r="AN3" s="5" t="s">
        <v>40</v>
      </c>
      <c r="AO3" s="5" t="s">
        <v>32</v>
      </c>
      <c r="AP3" s="5" t="s">
        <v>16</v>
      </c>
      <c r="AQ3" s="5" t="s">
        <v>33</v>
      </c>
      <c r="AR3" t="s">
        <v>17</v>
      </c>
      <c r="AS3" t="s">
        <v>41</v>
      </c>
      <c r="AT3" t="s">
        <v>42</v>
      </c>
      <c r="AU3" t="s">
        <v>18</v>
      </c>
      <c r="AV3" t="s">
        <v>34</v>
      </c>
      <c r="AW3" t="s">
        <v>19</v>
      </c>
      <c r="AX3" t="s">
        <v>20</v>
      </c>
      <c r="AY3" t="s">
        <v>43</v>
      </c>
      <c r="AZ3" t="s">
        <v>44</v>
      </c>
      <c r="BA3" t="s">
        <v>45</v>
      </c>
      <c r="BB3" t="s">
        <v>46</v>
      </c>
      <c r="BC3" t="s">
        <v>47</v>
      </c>
      <c r="BD3" t="s">
        <v>48</v>
      </c>
      <c r="BE3" t="s">
        <v>49</v>
      </c>
      <c r="BF3" t="s">
        <v>50</v>
      </c>
      <c r="BG3" t="s">
        <v>51</v>
      </c>
      <c r="BH3" t="s">
        <v>52</v>
      </c>
      <c r="BI3" t="s">
        <v>53</v>
      </c>
      <c r="BJ3" t="s">
        <v>54</v>
      </c>
      <c r="BK3" t="s">
        <v>55</v>
      </c>
      <c r="BL3" t="s">
        <v>56</v>
      </c>
      <c r="BM3" t="s">
        <v>57</v>
      </c>
      <c r="BN3" t="s">
        <v>58</v>
      </c>
      <c r="BO3" t="s">
        <v>59</v>
      </c>
      <c r="BP3" t="s">
        <v>60</v>
      </c>
      <c r="BQ3" t="s">
        <v>61</v>
      </c>
      <c r="BR3" t="s">
        <v>62</v>
      </c>
      <c r="BS3" t="s">
        <v>63</v>
      </c>
      <c r="BT3" t="s">
        <v>64</v>
      </c>
      <c r="BU3" t="s">
        <v>65</v>
      </c>
      <c r="BV3" t="s">
        <v>66</v>
      </c>
      <c r="BW3" t="s">
        <v>67</v>
      </c>
      <c r="BX3" t="s">
        <v>68</v>
      </c>
      <c r="BY3" t="s">
        <v>69</v>
      </c>
      <c r="BZ3" t="s">
        <v>70</v>
      </c>
      <c r="CA3" t="s">
        <v>71</v>
      </c>
      <c r="CB3" t="s">
        <v>72</v>
      </c>
      <c r="CC3" t="s">
        <v>73</v>
      </c>
      <c r="CD3" t="s">
        <v>74</v>
      </c>
      <c r="CE3" t="s">
        <v>75</v>
      </c>
      <c r="CF3" t="s">
        <v>76</v>
      </c>
      <c r="CG3" t="s">
        <v>77</v>
      </c>
      <c r="CH3" t="s">
        <v>78</v>
      </c>
      <c r="CI3" t="s">
        <v>79</v>
      </c>
      <c r="CJ3" t="s">
        <v>80</v>
      </c>
      <c r="CK3" t="s">
        <v>81</v>
      </c>
      <c r="CL3" t="s">
        <v>82</v>
      </c>
      <c r="CM3" t="s">
        <v>83</v>
      </c>
      <c r="CN3" t="s">
        <v>84</v>
      </c>
      <c r="CO3" t="s">
        <v>85</v>
      </c>
      <c r="CP3" t="s">
        <v>86</v>
      </c>
    </row>
    <row r="4" spans="1:94">
      <c r="A4" s="35" t="s">
        <v>8</v>
      </c>
      <c r="B4" s="35">
        <v>1</v>
      </c>
      <c r="C4" s="35">
        <v>2</v>
      </c>
      <c r="D4" s="35">
        <v>769</v>
      </c>
      <c r="E4" s="35" t="b">
        <v>0</v>
      </c>
      <c r="F4" s="35"/>
      <c r="G4" s="8" t="str">
        <f t="shared" ref="G4:G67" si="0">$A4&amp;$B4</f>
        <v>A1</v>
      </c>
      <c r="H4" s="6" t="str">
        <f>IF(ISBLANK(F4),"",F4)</f>
        <v/>
      </c>
      <c r="I4" t="str">
        <f t="shared" ref="I4:I67" si="1">$A4&amp;$C4</f>
        <v>A2</v>
      </c>
      <c r="J4" s="3">
        <f t="shared" ref="J4:J67" si="2">D4/K4</f>
        <v>0.61618589743589747</v>
      </c>
      <c r="K4">
        <f>VLOOKUP(G4,$U$3:$V$136,2,)</f>
        <v>1248</v>
      </c>
      <c r="L4" t="str">
        <f t="shared" ref="L4:L67" si="3">IF(E4=TRUE,VLOOKUP(G4,I:I,1,FALSE),"")</f>
        <v/>
      </c>
      <c r="M4" t="str">
        <f>IFERROR(VLOOKUP(N4,G:H,2,FALSE),"")</f>
        <v/>
      </c>
      <c r="N4" t="str">
        <f>IFERROR(VLOOKUP(I4,L4:L:L,1,FALSE),"")</f>
        <v/>
      </c>
      <c r="O4" s="56" t="str">
        <f>A4&amp;"_"&amp;B4&amp;"_"&amp;C4</f>
        <v>A_1_2</v>
      </c>
      <c r="U4" t="s">
        <v>12</v>
      </c>
      <c r="V4">
        <f>SUMIFS(D:D,A:A,"A",B:B,"1")</f>
        <v>1248</v>
      </c>
      <c r="Z4" t="e">
        <f>VLOOKUP($AB4,$N:$N,1,)</f>
        <v>#N/A</v>
      </c>
      <c r="AA4" t="str">
        <f>VLOOKUP($AB4,$G:$G,1,)</f>
        <v>A1</v>
      </c>
      <c r="AB4" t="s">
        <v>12</v>
      </c>
      <c r="AC4" s="43">
        <f>SUMIFS($D:$D,$O:$O,"A_1_1")</f>
        <v>0</v>
      </c>
      <c r="AD4" s="43">
        <f>SUMIFS($D:$D,$O:$O,"A_1_2")</f>
        <v>769</v>
      </c>
      <c r="AE4" s="43">
        <f>SUMIFS($D:$D,$O:$O,"A_1_3")</f>
        <v>0</v>
      </c>
      <c r="AF4" s="43">
        <f>SUMIFS($D:$D,$O:$O,"A_1_4")</f>
        <v>462</v>
      </c>
      <c r="AG4" s="43">
        <f>SUMIFS($D:$D,$O:$O,"A_1_5")</f>
        <v>17</v>
      </c>
      <c r="AH4" s="36">
        <f>SUMIFS($D:$D,$O:$O,"A_1_6")</f>
        <v>0</v>
      </c>
      <c r="AI4" s="43">
        <f>SUMIFS($D:$D,$E:$E,"FAUX",$G:$G,"A1",$M:$M,"B",$N:$N,"A*")*SUMIFS($J:$J,$O:$O,"B_1_1")</f>
        <v>0</v>
      </c>
      <c r="AJ4" s="44">
        <f>SUMIFS($D:$D,$E:$E,"FAUX",$G:$G,"A1",$M:$M,"B",$N:$N,"A*")*SUMIFS($J:$J,$O:$O,"B_1_2")</f>
        <v>0</v>
      </c>
      <c r="AK4" s="44">
        <f>SUMIFS($D:$D,$E:$E,"FAUX",$G:$G,"A1",$M:$M,"B",$N:$N,"A*")*SUMIFS($J:$J,$O:$O,"B_1_3")</f>
        <v>267.49896049896051</v>
      </c>
      <c r="AL4" s="44">
        <f>SUMIFS($D:$D,$E:$E,"FAUX",$G:$G,"A1",$M:$M,"B",$N:$N,"A*")*SUMIFS($J:$J,$O:$O,"B_1_4")</f>
        <v>194.50103950103949</v>
      </c>
      <c r="AM4" s="44">
        <f>SUMIFS($D:$D,$E:$E,"FAUX",$G:$G,"A1",$M:$M,"B",$N:$N,"A*")*SUMIFS($J:$J,$O:$O,"B_1_5")</f>
        <v>0</v>
      </c>
      <c r="AN4" s="45">
        <f>SUMIFS($D:$D,$E:$E,"FAUX",$G:$G,"A1",$M:$M,"B",$N:$N,"A*")*SUMIFS($J:$J,$O:$O,"B_1_6")</f>
        <v>0</v>
      </c>
      <c r="AO4" s="43">
        <f t="shared" ref="AO4:AO9" si="4">SUMIFS($D:$D,$E:$E,"FAUX",$G:$G,"A1",$M:$M,"B",$N:$N,"A*")*SUMIFS($J:$J,$E:$E,"VRAI",$F:$F,"A",$M:$M,"C")*SUMIFS($J:$J,$E:$E,"VRAI",$H:$H,"B",$I:$I,"C1")</f>
        <v>0</v>
      </c>
      <c r="AP4" s="44">
        <f>SUMIFS($D:$D,$E:$E,"FAUX",$G:$G,"A1",$M:$M,"B",$N:$N,"A*")*SUMIFS($J:$J,$E:$E,"VRAI",$F:$F,"A",$M:$M,"C")*SUMIFS($J:$J,$E:$E,"VRAI",$H:$H,"B",$I:$I,"C2")</f>
        <v>0</v>
      </c>
      <c r="AQ4" s="44">
        <f>SUMIFS($D:$D,$E:$E,"FAUX",$G:$G,"A1",$M:$M,"B",$N:$N,"A*")*SUMIFS($J:$J,$E:$E,"VRAI",$F:$F,"A",$M:$M,"C")*SUMIFS($J:$J,$E:$E,"VRAI",$H:$H,"B",$I:$I,"C3")</f>
        <v>267.49896049896051</v>
      </c>
      <c r="AR4" s="44">
        <f>SUMIFS($D:$D,$E:$E,"FAUX",$G:$G,"A1",$M:$M,"B",$N:$N,"A*")*SUMIFS($J:$J,$E:$E,"VRAI",$F:$F,"A",$M:$M,"C")*SUMIFS($J:$J,$E:$E,"VRAI",$H:$H,"B",$I:$I,"C4")</f>
        <v>0</v>
      </c>
      <c r="AS4" s="44">
        <f>SUMIFS($D:$D,$E:$E,"FAUX",$G:$G,"A1",$M:$M,"B",$N:$N,"A*")*SUMIFS($J:$J,$E:$E,"VRAI",$F:$F,"A",$M:$M,"C")*SUMIFS($J:$J,$E:$E,"VRAI",$H:$H,"B",$I:$I,"C5")</f>
        <v>0</v>
      </c>
      <c r="AT4" s="45">
        <f>SUMIFS($D:$D,$E:$E,"FAUX",$G:$G,"A1",$M:$M,"B",$N:$N,"A*")*SUMIFS($J:$J,$E:$E,"VRAI",$F:$F,"A",$M:$M,"C")*SUMIFS($J:$J,$E:$E,"VRAI",$H:$H,"B",$I:$I,"C6")</f>
        <v>0</v>
      </c>
      <c r="AU4" s="43">
        <f>SUMIFS($D:$D,$E:$E,"FAUX",$G:$G,"A1",$M:$M,"B",$N:$N,"A*")*SUMIFS($J:$J,$E:$E,"VRAI",$F:$F,"A",$M:$M,"C")*SUMIFS($J:$J,$E:$E,"VRAI",$F:$F,"B",$M:$M,"D")*SUMIFS($J:$J,$E:$E,"VRAI",$F:$F,"C",$I:$I,"D1")</f>
        <v>0</v>
      </c>
      <c r="AV4" s="44">
        <f>SUMIFS($D:$D,$E:$E,"FAUX",$G:$G,"A1",$M:$M,"B",$N:$N,"A*")*SUMIFS($J:$J,$E:$E,"VRAI",$F:$F,"A",$M:$M,"C")*SUMIFS($J:$J,$E:$E,"VRAI",$F:$F,"B",$M:$M,"D")*SUMIFS($J:$J,$E:$E,"VRAI",$F:$F,"C",$I:$I,"D2")</f>
        <v>30.084887449316398</v>
      </c>
      <c r="AW4" s="44">
        <f>SUMIFS($D:$D,$E:$E,"FAUX",$G:$G,"A1",$M:$M,"B",$N:$N,"A*")*SUMIFS($J:$J,$E:$E,"VRAI",$F:$F,"A",$M:$M,"C")*SUMIFS($J:$J,$E:$E,"VRAI",$F:$F,"B",$M:$M,"D")*SUMIFS($J:$J,$E:$E,"VRAI",$F:$F,"C",$I:$I,"D3")</f>
        <v>221.08894032520888</v>
      </c>
      <c r="AX4" s="44">
        <f>SUMIFS($D:$D,$E:$E,"FAUX",$G:$G,"A1",$M:$M,"B",$N:$N,"A*")*SUMIFS($J:$J,$E:$E,"VRAI",$F:$F,"A",$M:$M,"C")*SUMIFS($J:$J,$E:$E,"VRAI",$F:$F,"B",$M:$M,"D")*SUMIFS($J:$J,$E:$E,"VRAI",$F:$F,"C",$I:$I,"D4")</f>
        <v>16.325132724435253</v>
      </c>
      <c r="AY4" s="44">
        <f>SUMIFS($D:$D,$E:$E,"FAUX",$G:$G,"A1",$M:$M,"B",$N:$N,"A*")*SUMIFS($J:$J,$E:$E,"VRAI",$F:$F,"A",$M:$M,"C")*SUMIFS($J:$J,$E:$E,"VRAI",$F:$F,"B",$M:$M,"D")*SUMIFS($J:$J,$E:$E,"VRAI",$F:$F,"C",$I:$I,"D5")</f>
        <v>0</v>
      </c>
      <c r="AZ4" s="45">
        <f>SUMIFS($D:$D,$E:$E,"FAUX",$G:$G,"A1",$M:$M,"B",$N:$N,"A*")*SUMIFS($J:$J,$E:$E,"VRAI",$F:$F,"A",$M:$M,"C")*SUMIFS($J:$J,$E:$E,"VRAI",$F:$F,"B",$M:$M,"D")*SUMIFS($J:$J,$E:$E,"VRAI",$F:$F,"C",$I:$I,"D6")</f>
        <v>0</v>
      </c>
      <c r="BA4" s="43">
        <f>SUMIFS($D:$D,$E:$E,"FAUX",$G:$G,"A1",$M:$M,"B",$N:$N,"A*")*SUMIFS($J:$J,$E:$E,"VRAI",$F:$F,"A",$M:$M,"C")*SUMIFS($J:$J,$E:$E,"VRAI",$F:$F,"B",$M:$M,"D")*SUMIFS($J:$J,$E:$E,"VRAI",$F:$F,"C",$M:$M,"E")*SUMIFS($J:$J,$E:$E,"VRAI",$F:$F,"D",$I:$I,"E1")</f>
        <v>0</v>
      </c>
      <c r="BB4" s="44">
        <f>SUMIFS($D:$D,$E:$E,"FAUX",$G:$G,"A1",$M:$M,"B",$N:$N,"A*")*SUMIFS($J:$J,$E:$E,"VRAI",$F:$F,"A",$M:$M,"C")*SUMIFS($J:$J,$E:$E,"VRAI",$F:$F,"B",$M:$M,"D")*SUMIFS($J:$J,$E:$E,"VRAI",$F:$F,"C",$M:$M,"E")*SUMIFS($J:$J,$E:$E,"VRAI",$F:$F,"D",$I:$I,"E2")</f>
        <v>208.7933329409108</v>
      </c>
      <c r="BC4" s="44">
        <f>SUMIFS($D:$D,$E:$E,"FAUX",$G:$G,"A1",$M:$M,"B",$N:$N,"A*")*SUMIFS($J:$J,$E:$E,"VRAI",$F:$F,"A",$M:$M,"C")*SUMIFS($J:$J,$E:$E,"VRAI",$F:$F,"B",$M:$M,"D")*SUMIFS($J:$J,$E:$E,"VRAI",$F:$F,"C",$M:$M,"E")*SUMIFS($J:$J,$E:$E,"VRAI",$F:$F,"D",$I:$I,"E3")</f>
        <v>12.29560738429808</v>
      </c>
      <c r="BD4" s="44">
        <f>SUMIFS($D:$D,$E:$E,"FAUX",$G:$G,"A1",$M:$M,"B",$N:$N,"A*")*SUMIFS($J:$J,$E:$E,"VRAI",$F:$F,"A",$M:$M,"C")*SUMIFS($J:$J,$E:$E,"VRAI",$F:$F,"B",$M:$M,"D")*SUMIFS($J:$J,$E:$E,"VRAI",$F:$F,"C",$M:$M,"E")*SUMIFS($J:$J,$E:$E,"VRAI",$F:$F,"D",$I:$I,"E4")</f>
        <v>0</v>
      </c>
      <c r="BE4" s="44">
        <f>SUMIFS($D:$D,$E:$E,"FAUX",$G:$G,"A1",$M:$M,"B",$N:$N,"A*")*SUMIFS($J:$J,$E:$E,"VRAI",$F:$F,"A",$M:$M,"C")*SUMIFS($J:$J,$E:$E,"VRAI",$F:$F,"B",$M:$M,"D")*SUMIFS($J:$J,$E:$E,"VRAI",$F:$F,"C",$M:$M,"E")*SUMIFS($J:$J,$E:$E,"VRAI",$F:$F,"D",$I:$I,"E5")</f>
        <v>0</v>
      </c>
      <c r="BF4" s="45">
        <f>SUMIFS($D:$D,$E:$E,"FAUX",$G:$G,"A1",$M:$M,"B",$N:$N,"A*")*SUMIFS($J:$J,$E:$E,"VRAI",$F:$F,"A",$M:$M,"C")*SUMIFS($J:$J,$E:$E,"VRAI",$F:$F,"B",$M:$M,"D")*SUMIFS($J:$J,$E:$E,"VRAI",$F:$F,"C",$M:$M,"E")*SUMIFS($J:$J,$E:$E,"VRAI",$F:$F,"D",$I:$I,"E5")</f>
        <v>0</v>
      </c>
      <c r="BG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2")</f>
        <v>12.626415401334658</v>
      </c>
      <c r="BI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3")</f>
        <v>169.08417146135108</v>
      </c>
      <c r="BJ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4")</f>
        <v>27.082746078225064</v>
      </c>
      <c r="BK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4" s="22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167.83976173578455</v>
      </c>
      <c r="BO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1.2444097255665212</v>
      </c>
      <c r="BP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4" s="45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152.78096778213839</v>
      </c>
      <c r="BV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15.058793953646175</v>
      </c>
      <c r="BW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152.78096778213839</v>
      </c>
      <c r="CA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26.360483298140341</v>
      </c>
      <c r="CG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100.60917792123563</v>
      </c>
      <c r="CH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25.811306562762418</v>
      </c>
      <c r="CI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4" s="43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61.434783039826975</v>
      </c>
      <c r="CM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39.174394881408652</v>
      </c>
      <c r="CN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4" s="44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4" s="45">
        <f>SUMIFS($D:$D,$E:$E,"FAUX",$G:$G,"A1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5" spans="1:94">
      <c r="A5" s="35" t="s">
        <v>8</v>
      </c>
      <c r="B5" s="35">
        <v>1</v>
      </c>
      <c r="C5" s="35">
        <v>3</v>
      </c>
      <c r="D5" s="35">
        <v>0</v>
      </c>
      <c r="E5" s="35" t="b">
        <v>0</v>
      </c>
      <c r="F5" s="35"/>
      <c r="G5" s="53" t="str">
        <f t="shared" si="0"/>
        <v>A1</v>
      </c>
      <c r="H5" s="52" t="str">
        <f t="shared" ref="H5:H68" si="5">IF(ISBLANK(F5),"",F5)</f>
        <v/>
      </c>
      <c r="I5" s="41" t="str">
        <f t="shared" si="1"/>
        <v>A3</v>
      </c>
      <c r="J5" s="42">
        <f t="shared" si="2"/>
        <v>0</v>
      </c>
      <c r="K5" s="41">
        <f t="shared" ref="K5:K68" si="6">VLOOKUP(G5,$U$3:$V$136,2,)</f>
        <v>1248</v>
      </c>
      <c r="L5" s="41" t="str">
        <f t="shared" si="3"/>
        <v/>
      </c>
      <c r="M5" s="41" t="str">
        <f t="shared" ref="M5:M68" si="7">IFERROR(VLOOKUP(N5,G:H,2,FALSE),"")</f>
        <v/>
      </c>
      <c r="N5" s="41" t="str">
        <f>IFERROR(VLOOKUP(I5,L5:L:L,1,FALSE),"")</f>
        <v/>
      </c>
      <c r="O5" s="56" t="str">
        <f t="shared" ref="O5:O68" si="8">A5&amp;"_"&amp;B5&amp;"_"&amp;C5</f>
        <v>A_1_3</v>
      </c>
      <c r="U5" t="s">
        <v>13</v>
      </c>
      <c r="V5">
        <f>SUMIFS(D:D,A:A,"A",B:B,"2")</f>
        <v>838</v>
      </c>
      <c r="Z5" t="e">
        <f t="shared" ref="Z5:Z68" si="9">VLOOKUP($AB5,$N:$N,1,)</f>
        <v>#N/A</v>
      </c>
      <c r="AA5" t="str">
        <f t="shared" ref="AA5:AA68" si="10">VLOOKUP($AB5,$G:$G,1,)</f>
        <v>A2</v>
      </c>
      <c r="AB5" t="s">
        <v>13</v>
      </c>
      <c r="AC5" s="43">
        <f>SUMIFS($D:$D,$O:$O,"A_2_1")</f>
        <v>838</v>
      </c>
      <c r="AD5" s="43">
        <f>SUMIFS($D:$D,$O:$O,"A_2_2")</f>
        <v>0</v>
      </c>
      <c r="AE5" s="43">
        <f>SUMIFS($D:$D,$O:$O,"A_2_3")</f>
        <v>0</v>
      </c>
      <c r="AF5" s="43">
        <f>SUMIFS($D:$D,$O:$O,"A_2_4")</f>
        <v>0</v>
      </c>
      <c r="AG5" s="43">
        <f>SUMIFS($D:$D,$O:$O,"A_2_5")</f>
        <v>0</v>
      </c>
      <c r="AH5" s="36">
        <f>SUMIFS($D:$D,$O:$O,"A_2_6")</f>
        <v>0</v>
      </c>
      <c r="AI5" s="46">
        <f>SUMIFS($D:$D,$E:$E,"FAUX",$G:$G,"A2",$M:$M,"B",$N:$N,"A*")*SUMIFS($J:$J,$O:$O,"B_1_1")</f>
        <v>0</v>
      </c>
      <c r="AJ5" s="47">
        <f>SUMIFS($D:$D,$E:$E,"FAUX",$G:$G,"A2",$M:$M,"B",$N:$N,"A*")*SUMIFS($J:$J,$O:$O,"B_1_2")</f>
        <v>0</v>
      </c>
      <c r="AK5" s="47">
        <f>SUMIFS($D:$D,$E:$E,"FAUX",$G:$G,"A2",$M:$M,"B",$N:$N,"A*")*SUMIFS($J:$J,$O:$O,"B_1_3")</f>
        <v>0</v>
      </c>
      <c r="AL5" s="47">
        <f>SUMIFS($D:$D,$E:$E,"FAUX",$G:$G,"A2",$M:$M,"B",$N:$N,"A*")*SUMIFS($J:$J,$O:$O,"B_1_4")</f>
        <v>0</v>
      </c>
      <c r="AM5" s="47">
        <f>SUMIFS($D:$D,$E:$E,"FAUX",$G:$G,"A2",$M:$M,"B",$N:$N,"A*")*SUMIFS($J:$J,$O:$O,"B_1_5")</f>
        <v>0</v>
      </c>
      <c r="AN5" s="48">
        <f>SUMIFS($D:$D,$E:$E,"FAUX",$G:$G,"A2",$M:$M,"B",$N:$N,"A*")*SUMIFS($J:$J,$O:$O,"B_1_6")</f>
        <v>0</v>
      </c>
      <c r="AO5" s="46">
        <f t="shared" si="4"/>
        <v>0</v>
      </c>
      <c r="AP5" s="47">
        <f>SUMIFS($D:$D,$E:$E,"FAUX",$G:$G,"A2",$M:$M,"B",$N:$N,"A*")*SUMIFS($J:$J,$E:$E,"VRAI",$F:$F,"A",$M:$M,"C")*SUMIFS($J:$J,$E:$E,"VRAI",$H:$H,"B",$I:$I,"C2")</f>
        <v>0</v>
      </c>
      <c r="AQ5" s="47">
        <f>SUMIFS($D:$D,$E:$E,"FAUX",$G:$G,"A2",$M:$M,"B",$N:$N,"A*")*SUMIFS($J:$J,$E:$E,"VRAI",$F:$F,"A",$M:$M,"C")*SUMIFS($J:$J,$E:$E,"VRAI",$H:$H,"B",$I:$I,"C3")</f>
        <v>0</v>
      </c>
      <c r="AR5" s="47">
        <f>SUMIFS($D:$D,$E:$E,"FAUX",$G:$G,"A2",$M:$M,"B",$N:$N,"A*")*SUMIFS($J:$J,$E:$E,"VRAI",$F:$F,"A",$M:$M,"C")*SUMIFS($J:$J,$E:$E,"VRAI",$H:$H,"B",$I:$I,"C4")</f>
        <v>0</v>
      </c>
      <c r="AS5" s="47">
        <f>SUMIFS($D:$D,$E:$E,"FAUX",$G:$G,"A2",$M:$M,"B",$N:$N,"A*")*SUMIFS($J:$J,$E:$E,"VRAI",$F:$F,"A",$M:$M,"C")*SUMIFS($J:$J,$E:$E,"VRAI",$H:$H,"B",$I:$I,"C5")</f>
        <v>0</v>
      </c>
      <c r="AT5" s="48">
        <f>SUMIFS($D:$D,$E:$E,"FAUX",$G:$G,"A2",$M:$M,"B",$N:$N,"A*")*SUMIFS($J:$J,$E:$E,"VRAI",$F:$F,"A",$M:$M,"C")*SUMIFS($J:$J,$E:$E,"VRAI",$H:$H,"B",$I:$I,"C6")</f>
        <v>0</v>
      </c>
      <c r="AU5" s="46">
        <f>SUMIFS($D:$D,$E:$E,"FAUX",$G:$G,"A2",$M:$M,"B",$N:$N,"A*")*SUMIFS($J:$J,$E:$E,"VRAI",$F:$F,"A",$M:$M,"C")*SUMIFS($J:$J,$E:$E,"VRAI",$F:$F,"B",$M:$M,"D")*SUMIFS($J:$J,$E:$E,"VRAI",$F:$F,"C",$I:$I,"D1")</f>
        <v>0</v>
      </c>
      <c r="AV5" s="47">
        <f>SUMIFS($D:$D,$E:$E,"FAUX",$G:$G,"A2",$M:$M,"B",$N:$N,"A*")*SUMIFS($J:$J,$E:$E,"VRAI",$F:$F,"A",$M:$M,"C")*SUMIFS($J:$J,$E:$E,"VRAI",$F:$F,"B",$M:$M,"D")*SUMIFS($J:$J,$E:$E,"VRAI",$F:$F,"C",$I:$I,"D2")</f>
        <v>0</v>
      </c>
      <c r="AW5" s="47">
        <f>SUMIFS($D:$D,$E:$E,"FAUX",$G:$G,"A2",$M:$M,"B",$N:$N,"A*")*SUMIFS($J:$J,$E:$E,"VRAI",$F:$F,"A",$M:$M,"C")*SUMIFS($J:$J,$E:$E,"VRAI",$F:$F,"B",$M:$M,"D")*SUMIFS($J:$J,$E:$E,"VRAI",$F:$F,"C",$I:$I,"D3")</f>
        <v>0</v>
      </c>
      <c r="AX5" s="47">
        <f>SUMIFS($D:$D,$E:$E,"FAUX",$G:$G,"A2",$M:$M,"B",$N:$N,"A*")*SUMIFS($J:$J,$E:$E,"VRAI",$F:$F,"A",$M:$M,"C")*SUMIFS($J:$J,$E:$E,"VRAI",$F:$F,"B",$M:$M,"D")*SUMIFS($J:$J,$E:$E,"VRAI",$F:$F,"C",$I:$I,"D4")</f>
        <v>0</v>
      </c>
      <c r="AY5" s="47">
        <f>SUMIFS($D:$D,$E:$E,"FAUX",$G:$G,"A2",$M:$M,"B",$N:$N,"A*")*SUMIFS($J:$J,$E:$E,"VRAI",$F:$F,"A",$M:$M,"C")*SUMIFS($J:$J,$E:$E,"VRAI",$F:$F,"B",$M:$M,"D")*SUMIFS($J:$J,$E:$E,"VRAI",$F:$F,"C",$I:$I,"D5")</f>
        <v>0</v>
      </c>
      <c r="AZ5" s="48">
        <f>SUMIFS($D:$D,$E:$E,"FAUX",$G:$G,"A2",$M:$M,"B",$N:$N,"A*")*SUMIFS($J:$J,$E:$E,"VRAI",$F:$F,"A",$M:$M,"C")*SUMIFS($J:$J,$E:$E,"VRAI",$F:$F,"B",$M:$M,"D")*SUMIFS($J:$J,$E:$E,"VRAI",$F:$F,"C",$I:$I,"D6")</f>
        <v>0</v>
      </c>
      <c r="BA5" s="46">
        <f>SUMIFS($D:$D,$E:$E,"FAUX",$G:$G,"A2",$M:$M,"B",$N:$N,"A*")*SUMIFS($J:$J,$E:$E,"VRAI",$F:$F,"A",$M:$M,"C")*SUMIFS($J:$J,$E:$E,"VRAI",$F:$F,"B",$M:$M,"D")*SUMIFS($J:$J,$E:$E,"VRAI",$F:$F,"C",$M:$M,"E")*SUMIFS($J:$J,$E:$E,"VRAI",$F:$F,"D",$I:$I,"E1")</f>
        <v>0</v>
      </c>
      <c r="BB5" s="47">
        <f>SUMIFS($D:$D,$E:$E,"FAUX",$G:$G,"A2",$M:$M,"B",$N:$N,"A*")*SUMIFS($J:$J,$E:$E,"VRAI",$F:$F,"A",$M:$M,"C")*SUMIFS($J:$J,$E:$E,"VRAI",$F:$F,"B",$M:$M,"D")*SUMIFS($J:$J,$E:$E,"VRAI",$F:$F,"C",$M:$M,"E")*SUMIFS($J:$J,$E:$E,"VRAI",$F:$F,"D",$I:$I,"E2")</f>
        <v>0</v>
      </c>
      <c r="BC5" s="47">
        <f>SUMIFS($D:$D,$E:$E,"FAUX",$G:$G,"A2",$M:$M,"B",$N:$N,"A*")*SUMIFS($J:$J,$E:$E,"VRAI",$F:$F,"A",$M:$M,"C")*SUMIFS($J:$J,$E:$E,"VRAI",$F:$F,"B",$M:$M,"D")*SUMIFS($J:$J,$E:$E,"VRAI",$F:$F,"C",$M:$M,"E")*SUMIFS($J:$J,$E:$E,"VRAI",$F:$F,"D",$I:$I,"E3")</f>
        <v>0</v>
      </c>
      <c r="BD5" s="47">
        <f>SUMIFS($D:$D,$E:$E,"FAUX",$G:$G,"A2",$M:$M,"B",$N:$N,"A*")*SUMIFS($J:$J,$E:$E,"VRAI",$F:$F,"A",$M:$M,"C")*SUMIFS($J:$J,$E:$E,"VRAI",$F:$F,"B",$M:$M,"D")*SUMIFS($J:$J,$E:$E,"VRAI",$F:$F,"C",$M:$M,"E")*SUMIFS($J:$J,$E:$E,"VRAI",$F:$F,"D",$I:$I,"E4")</f>
        <v>0</v>
      </c>
      <c r="BE5" s="47">
        <f>SUMIFS($D:$D,$E:$E,"FAUX",$G:$G,"A2",$M:$M,"B",$N:$N,"A*")*SUMIFS($J:$J,$E:$E,"VRAI",$F:$F,"A",$M:$M,"C")*SUMIFS($J:$J,$E:$E,"VRAI",$F:$F,"B",$M:$M,"D")*SUMIFS($J:$J,$E:$E,"VRAI",$F:$F,"C",$M:$M,"E")*SUMIFS($J:$J,$E:$E,"VRAI",$F:$F,"D",$I:$I,"E5")</f>
        <v>0</v>
      </c>
      <c r="BF5" s="48">
        <f>SUMIFS($D:$D,$E:$E,"FAUX",$G:$G,"A2",$M:$M,"B",$N:$N,"A*")*SUMIFS($J:$J,$E:$E,"VRAI",$F:$F,"A",$M:$M,"C")*SUMIFS($J:$J,$E:$E,"VRAI",$F:$F,"B",$M:$M,"D")*SUMIFS($J:$J,$E:$E,"VRAI",$F:$F,"C",$M:$M,"E")*SUMIFS($J:$J,$E:$E,"VRAI",$F:$F,"D",$I:$I,"E6")</f>
        <v>0</v>
      </c>
      <c r="BG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2")</f>
        <v>0</v>
      </c>
      <c r="BI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3")</f>
        <v>0</v>
      </c>
      <c r="BJ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4")</f>
        <v>0</v>
      </c>
      <c r="BK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5" s="48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5" s="46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5" s="47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5" s="48">
        <f>SUMIFS($D:$D,$E:$E,"FAUX",$G:$G,"A2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6" spans="1:94">
      <c r="A6" s="35" t="s">
        <v>8</v>
      </c>
      <c r="B6" s="35">
        <v>1</v>
      </c>
      <c r="C6" s="35">
        <v>4</v>
      </c>
      <c r="D6" s="35">
        <v>462</v>
      </c>
      <c r="E6" s="35" t="b">
        <v>0</v>
      </c>
      <c r="F6" s="35"/>
      <c r="G6" s="53" t="str">
        <f t="shared" si="0"/>
        <v>A1</v>
      </c>
      <c r="H6" s="52" t="str">
        <f t="shared" si="5"/>
        <v/>
      </c>
      <c r="I6" s="41" t="str">
        <f t="shared" si="1"/>
        <v>A4</v>
      </c>
      <c r="J6" s="42">
        <f t="shared" si="2"/>
        <v>0.37019230769230771</v>
      </c>
      <c r="K6" s="41">
        <f t="shared" si="6"/>
        <v>1248</v>
      </c>
      <c r="L6" s="41" t="str">
        <f t="shared" si="3"/>
        <v/>
      </c>
      <c r="M6" s="41" t="str">
        <f t="shared" si="7"/>
        <v>B</v>
      </c>
      <c r="N6" s="41" t="str">
        <f>IFERROR(VLOOKUP(I6,L6:L:L,1,FALSE),"")</f>
        <v>A4</v>
      </c>
      <c r="O6" s="56" t="str">
        <f t="shared" si="8"/>
        <v>A_1_4</v>
      </c>
      <c r="U6" t="s">
        <v>29</v>
      </c>
      <c r="V6">
        <f>SUMIFS(D:D,A:A,"A",B:B,"3")</f>
        <v>1186</v>
      </c>
      <c r="Z6" t="e">
        <f t="shared" si="9"/>
        <v>#N/A</v>
      </c>
      <c r="AA6" t="str">
        <f t="shared" si="10"/>
        <v>A3</v>
      </c>
      <c r="AB6" t="s">
        <v>29</v>
      </c>
      <c r="AC6" s="43">
        <f>SUMIFS($D:$D,$O:$O,"A_3_1")</f>
        <v>728</v>
      </c>
      <c r="AD6" s="43">
        <f>SUMIFS($D:$D,$O:$O,"A_3_2")</f>
        <v>0</v>
      </c>
      <c r="AE6" s="43">
        <f>SUMIFS($D:$D,$O:$O,"A_3_3")</f>
        <v>0</v>
      </c>
      <c r="AF6" s="43">
        <f>SUMIFS($D:$D,$O:$O,"A_3_4")</f>
        <v>431</v>
      </c>
      <c r="AG6" s="43">
        <f>SUMIFS($D:$D,$O:$O,"A_3_5")</f>
        <v>27</v>
      </c>
      <c r="AH6" s="36">
        <f>SUMIFS($D:$D,$O:$O,"A_3_6")</f>
        <v>0</v>
      </c>
      <c r="AI6" s="46">
        <f>SUMIFS($D:$D,$E:$E,"FAUX",$G:$G,"A3",$M:$M,"B",$N:$N,"A*")*SUMIFS($J:$J,$O:$O,"B_1_1")</f>
        <v>0</v>
      </c>
      <c r="AJ6" s="47">
        <f>SUMIFS($D:$D,$E:$E,"FAUX",$G:$G,"A3",$M:$M,"B",$N:$N,"A*")*SUMIFS($J:$J,$O:$O,"B_1_2")</f>
        <v>0</v>
      </c>
      <c r="AK6" s="47">
        <f>SUMIFS($D:$D,$E:$E,"FAUX",$G:$G,"A3",$M:$M,"B",$N:$N,"A*")*SUMIFS($J:$J,$O:$O,"B_1_3")</f>
        <v>249.54989604989606</v>
      </c>
      <c r="AL6" s="47">
        <f>SUMIFS($D:$D,$E:$E,"FAUX",$G:$G,"A3",$M:$M,"B",$N:$N,"A*")*SUMIFS($J:$J,$O:$O,"B_1_4")</f>
        <v>181.45010395010394</v>
      </c>
      <c r="AM6" s="47">
        <f>SUMIFS($D:$D,$E:$E,"FAUX",$G:$G,"A3",$M:$M,"B",$N:$N,"A*")*SUMIFS($J:$J,$O:$O,"B_1_5")</f>
        <v>0</v>
      </c>
      <c r="AN6" s="48">
        <f>SUMIFS($D:$D,$E:$E,"FAUX",$G:$G,"A3",$M:$M,"B",$N:$N,"A*")*SUMIFS($J:$J,$O:$O,"B_1_6")</f>
        <v>0</v>
      </c>
      <c r="AO6" s="46">
        <f t="shared" si="4"/>
        <v>0</v>
      </c>
      <c r="AP6" s="47">
        <f>SUMIFS($D:$D,$E:$E,"FAUX",$G:$G,"A3",$M:$M,"B",$N:$N,"A*")*SUMIFS($J:$J,$E:$E,"VRAI",$F:$F,"A",$M:$M,"C")*SUMIFS($J:$J,$E:$E,"VRAI",$H:$H,"B",$I:$I,"C2")</f>
        <v>0</v>
      </c>
      <c r="AQ6" s="47">
        <f>SUMIFS($D:$D,$E:$E,"FAUX",$G:$G,"A3",$M:$M,"B",$N:$N,"A*")*SUMIFS($J:$J,$E:$E,"VRAI",$F:$F,"A",$M:$M,"C")*SUMIFS($J:$J,$E:$E,"VRAI",$H:$H,"B",$I:$I,"C3")</f>
        <v>249.54989604989606</v>
      </c>
      <c r="AR6" s="47">
        <f>SUMIFS($D:$D,$E:$E,"FAUX",$G:$G,"A3",$M:$M,"B",$N:$N,"A*")*SUMIFS($J:$J,$E:$E,"VRAI",$F:$F,"A",$M:$M,"C")*SUMIFS($J:$J,$E:$E,"VRAI",$H:$H,"B",$I:$I,"C4")</f>
        <v>0</v>
      </c>
      <c r="AS6" s="47">
        <f>SUMIFS($D:$D,$E:$E,"FAUX",$G:$G,"A3",$M:$M,"B",$N:$N,"A*")*SUMIFS($J:$J,$E:$E,"VRAI",$F:$F,"A",$M:$M,"C")*SUMIFS($J:$J,$E:$E,"VRAI",$H:$H,"B",$I:$I,"C5")</f>
        <v>0</v>
      </c>
      <c r="AT6" s="48">
        <f>SUMIFS($D:$D,$E:$E,"FAUX",$G:$G,"A3",$M:$M,"B",$N:$N,"A*")*SUMIFS($J:$J,$E:$E,"VRAI",$F:$F,"A",$M:$M,"C")*SUMIFS($J:$J,$E:$E,"VRAI",$H:$H,"B",$I:$I,"C6")</f>
        <v>0</v>
      </c>
      <c r="AU6" s="46">
        <f>SUMIFS($D:$D,$E:$E,"FAUX",$G:$G,"A3",$M:$M,"B",$N:$N,"A*")*SUMIFS($J:$J,$E:$E,"VRAI",$F:$F,"A",$M:$M,"C")*SUMIFS($J:$J,$E:$E,"VRAI",$F:$F,"B",$M:$M,"D")*SUMIFS($J:$J,$E:$E,"VRAI",$F:$F,"C",$I:$I,"D1")</f>
        <v>0</v>
      </c>
      <c r="AV6" s="47">
        <f>SUMIFS($D:$D,$E:$E,"FAUX",$G:$G,"A3",$M:$M,"B",$N:$N,"A*")*SUMIFS($J:$J,$E:$E,"VRAI",$F:$F,"A",$M:$M,"C")*SUMIFS($J:$J,$E:$E,"VRAI",$F:$F,"B",$M:$M,"D")*SUMIFS($J:$J,$E:$E,"VRAI",$F:$F,"C",$I:$I,"D2")</f>
        <v>28.066204525228066</v>
      </c>
      <c r="AW6" s="47">
        <f>SUMIFS($D:$D,$E:$E,"FAUX",$G:$G,"A3",$M:$M,"B",$N:$N,"A*")*SUMIFS($J:$J,$E:$E,"VRAI",$F:$F,"A",$M:$M,"C")*SUMIFS($J:$J,$E:$E,"VRAI",$F:$F,"B",$M:$M,"D")*SUMIFS($J:$J,$E:$E,"VRAI",$F:$F,"C",$I:$I,"D3")</f>
        <v>206.25396813888534</v>
      </c>
      <c r="AX6" s="47">
        <f>SUMIFS($D:$D,$E:$E,"FAUX",$G:$G,"A3",$M:$M,"B",$N:$N,"A*")*SUMIFS($J:$J,$E:$E,"VRAI",$F:$F,"A",$M:$M,"C")*SUMIFS($J:$J,$E:$E,"VRAI",$F:$F,"B",$M:$M,"D")*SUMIFS($J:$J,$E:$E,"VRAI",$F:$F,"C",$I:$I,"D4")</f>
        <v>15.229723385782671</v>
      </c>
      <c r="AY6" s="47">
        <f>SUMIFS($D:$D,$E:$E,"FAUX",$G:$G,"A3",$M:$M,"B",$N:$N,"A*")*SUMIFS($J:$J,$E:$E,"VRAI",$F:$F,"A",$M:$M,"C")*SUMIFS($J:$J,$E:$E,"VRAI",$F:$F,"B",$M:$M,"D")*SUMIFS($J:$J,$E:$E,"VRAI",$F:$F,"C",$I:$I,"D5")</f>
        <v>0</v>
      </c>
      <c r="AZ6" s="48">
        <f>SUMIFS($D:$D,$E:$E,"FAUX",$G:$G,"A3",$M:$M,"B",$N:$N,"A*")*SUMIFS($J:$J,$E:$E,"VRAI",$F:$F,"A",$M:$M,"C")*SUMIFS($J:$J,$E:$E,"VRAI",$F:$F,"B",$M:$M,"D")*SUMIFS($J:$J,$E:$E,"VRAI",$F:$F,"C",$I:$I,"D6")</f>
        <v>0</v>
      </c>
      <c r="BA6" s="46">
        <f>SUMIFS($D:$D,$E:$E,"FAUX",$G:$G,"A3",$M:$M,"B",$N:$N,"A*")*SUMIFS($J:$J,$E:$E,"VRAI",$F:$F,"A",$M:$M,"C")*SUMIFS($J:$J,$E:$E,"VRAI",$F:$F,"B",$M:$M,"D")*SUMIFS($J:$J,$E:$E,"VRAI",$F:$F,"C",$M:$M,"E")*SUMIFS($J:$J,$E:$E,"VRAI",$F:$F,"D",$I:$I,"E1")</f>
        <v>0</v>
      </c>
      <c r="BB6" s="47">
        <f>SUMIFS($D:$D,$E:$E,"FAUX",$G:$G,"A3",$M:$M,"B",$N:$N,"A*")*SUMIFS($J:$J,$E:$E,"VRAI",$F:$F,"A",$M:$M,"C")*SUMIFS($J:$J,$E:$E,"VRAI",$F:$F,"B",$M:$M,"D")*SUMIFS($J:$J,$E:$E,"VRAI",$F:$F,"C",$M:$M,"E")*SUMIFS($J:$J,$E:$E,"VRAI",$F:$F,"D",$I:$I,"E2")</f>
        <v>194.78339068729991</v>
      </c>
      <c r="BC6" s="47">
        <f>SUMIFS($D:$D,$E:$E,"FAUX",$G:$G,"A3",$M:$M,"B",$N:$N,"A*")*SUMIFS($J:$J,$E:$E,"VRAI",$F:$F,"A",$M:$M,"C")*SUMIFS($J:$J,$E:$E,"VRAI",$F:$F,"B",$M:$M,"D")*SUMIFS($J:$J,$E:$E,"VRAI",$F:$F,"C",$M:$M,"E")*SUMIFS($J:$J,$E:$E,"VRAI",$F:$F,"D",$I:$I,"E3")</f>
        <v>11.470577451585438</v>
      </c>
      <c r="BD6" s="47">
        <f>SUMIFS($D:$D,$E:$E,"FAUX",$G:$G,"A3",$M:$M,"B",$N:$N,"A*")*SUMIFS($J:$J,$E:$E,"VRAI",$F:$F,"A",$M:$M,"C")*SUMIFS($J:$J,$E:$E,"VRAI",$F:$F,"B",$M:$M,"D")*SUMIFS($J:$J,$E:$E,"VRAI",$F:$F,"C",$M:$M,"E")*SUMIFS($J:$J,$E:$E,"VRAI",$F:$F,"D",$I:$I,"E4")</f>
        <v>0</v>
      </c>
      <c r="BE6" s="47">
        <f>SUMIFS($D:$D,$E:$E,"FAUX",$G:$G,"A3",$M:$M,"B",$N:$N,"A*")*SUMIFS($J:$J,$E:$E,"VRAI",$F:$F,"A",$M:$M,"C")*SUMIFS($J:$J,$E:$E,"VRAI",$F:$F,"B",$M:$M,"D")*SUMIFS($J:$J,$E:$E,"VRAI",$F:$F,"C",$M:$M,"E")*SUMIFS($J:$J,$E:$E,"VRAI",$F:$F,"D",$I:$I,"E5")</f>
        <v>0</v>
      </c>
      <c r="BF6" s="48">
        <f>SUMIFS($D:$D,$E:$E,"FAUX",$G:$G,"A3",$M:$M,"B",$N:$N,"A*")*SUMIFS($J:$J,$E:$E,"VRAI",$F:$F,"A",$M:$M,"C")*SUMIFS($J:$J,$E:$E,"VRAI",$F:$F,"B",$M:$M,"D")*SUMIFS($J:$J,$E:$E,"VRAI",$F:$F,"C",$M:$M,"E")*SUMIFS($J:$J,$E:$E,"VRAI",$F:$F,"D",$I:$I,"E6")</f>
        <v>0</v>
      </c>
      <c r="BG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2")</f>
        <v>11.779188393885796</v>
      </c>
      <c r="BI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3")</f>
        <v>157.73869675290544</v>
      </c>
      <c r="BJ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4")</f>
        <v>25.265505540508663</v>
      </c>
      <c r="BK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156.57778638121891</v>
      </c>
      <c r="BO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1.1609103716865166</v>
      </c>
      <c r="BP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6" s="48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142.52943098290399</v>
      </c>
      <c r="BV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14.048355398314937</v>
      </c>
      <c r="BW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142.52943098290399</v>
      </c>
      <c r="CA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24.591706280299753</v>
      </c>
      <c r="CG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93.858345636477381</v>
      </c>
      <c r="CH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24.079379066126844</v>
      </c>
      <c r="CI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6" s="46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57.31253569299875</v>
      </c>
      <c r="CM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36.545809943478631</v>
      </c>
      <c r="CN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6" s="47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6" s="48">
        <f>SUMIFS($D:$D,$E:$E,"FAUX",$G:$G,"A3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7" spans="1:94" ht="14.25" customHeight="1">
      <c r="A7" s="35" t="s">
        <v>8</v>
      </c>
      <c r="B7" s="35">
        <v>1</v>
      </c>
      <c r="C7" s="35">
        <v>5</v>
      </c>
      <c r="D7" s="35">
        <v>17</v>
      </c>
      <c r="E7" s="35" t="b">
        <v>0</v>
      </c>
      <c r="F7" s="35"/>
      <c r="G7" s="53" t="str">
        <f t="shared" si="0"/>
        <v>A1</v>
      </c>
      <c r="H7" s="52" t="str">
        <f t="shared" si="5"/>
        <v/>
      </c>
      <c r="I7" s="41" t="str">
        <f t="shared" si="1"/>
        <v>A5</v>
      </c>
      <c r="J7" s="42">
        <f t="shared" si="2"/>
        <v>1.3621794871794872E-2</v>
      </c>
      <c r="K7" s="41">
        <f t="shared" si="6"/>
        <v>1248</v>
      </c>
      <c r="L7" s="41" t="str">
        <f t="shared" si="3"/>
        <v/>
      </c>
      <c r="M7" s="41" t="str">
        <f t="shared" si="7"/>
        <v/>
      </c>
      <c r="N7" s="41" t="str">
        <f>IFERROR(VLOOKUP(I7,L7:L:L,1,FALSE),"")</f>
        <v/>
      </c>
      <c r="O7" s="56" t="str">
        <f t="shared" si="8"/>
        <v>A_1_5</v>
      </c>
      <c r="U7" t="s">
        <v>28</v>
      </c>
      <c r="V7">
        <f>SUMIFS(D:D,A:A,"A",B:B,"4")</f>
        <v>1433</v>
      </c>
      <c r="Z7" t="str">
        <f t="shared" si="9"/>
        <v>A4</v>
      </c>
      <c r="AA7" t="str">
        <f t="shared" si="10"/>
        <v>A4</v>
      </c>
      <c r="AB7" t="s">
        <v>28</v>
      </c>
      <c r="AC7" s="43">
        <f>SUMIFS($D:$D,$O:$O,"A_4_1")</f>
        <v>877</v>
      </c>
      <c r="AD7" s="43">
        <f>SUMIFS($D:$D,$O:$O,"A_4_2")</f>
        <v>0</v>
      </c>
      <c r="AE7" s="43">
        <f>SUMIFS($D:$D,$O:$O,"A_4_3")</f>
        <v>556</v>
      </c>
      <c r="AF7" s="43">
        <f>SUMIFS($D:$D,$O:$O,"A_4_4")</f>
        <v>0</v>
      </c>
      <c r="AG7" s="43">
        <f>SUMIFS($D:$D,$O:$O,"A_4_5")</f>
        <v>0</v>
      </c>
      <c r="AH7" s="36">
        <f>SUMIFS($D:$D,$O:$O,"A_4_6")</f>
        <v>0</v>
      </c>
      <c r="AI7" s="46">
        <f>SUMIFS($D:$D,$E:$E,"FAUX",$G:$G,"A4",$M:$M,"B",$N:$N,"A*")*SUMIFS($J:$J,$O:$O,"B_1_1")</f>
        <v>0</v>
      </c>
      <c r="AJ7" s="47">
        <f>SUMIFS($D:$D,$E:$E,"FAUX",$G:$G,"A4",$M:$M,"B",$N:$N,"A*")*SUMIFS($J:$J,$O:$O,"B_1_2")</f>
        <v>0</v>
      </c>
      <c r="AK7" s="47">
        <f>SUMIFS($D:$D,$E:$E,"FAUX",$G:$G,"A4",$M:$M,"B",$N:$N,"A*")*SUMIFS($J:$J,$O:$O,"B_1_3")</f>
        <v>0</v>
      </c>
      <c r="AL7" s="47">
        <f>SUMIFS($D:$D,$E:$E,"FAUX",$G:$G,"A4",$M:$M,"B",$N:$N,"A*")*SUMIFS($J:$J,$O:$O,"B_1_4")</f>
        <v>0</v>
      </c>
      <c r="AM7" s="47">
        <f>SUMIFS($D:$D,$E:$E,"FAUX",$G:$G,"A4",$M:$M,"B",$N:$N,"A*")*SUMIFS($J:$J,$O:$O,"B_1_5")</f>
        <v>0</v>
      </c>
      <c r="AN7" s="48">
        <f>SUMIFS($D:$D,$E:$E,"FAUX",$G:$G,"A4",$M:$M,"B",$N:$N,"A*")*SUMIFS($J:$J,$O:$O,"B_1_6")</f>
        <v>0</v>
      </c>
      <c r="AO7" s="46">
        <f t="shared" si="4"/>
        <v>0</v>
      </c>
      <c r="AP7" s="47">
        <f>SUMIFS($D:$D,$E:$E,"FAUX",$G:$G,"A4",$M:$M,"B",$N:$N,"A*")*SUMIFS($J:$J,$E:$E,"VRAI",$F:$F,"A",$M:$M,"C")*SUMIFS($J:$J,$E:$E,"VRAI",$H:$H,"B",$I:$I,"C2")</f>
        <v>0</v>
      </c>
      <c r="AQ7" s="47">
        <f>SUMIFS($D:$D,$E:$E,"FAUX",$G:$G,"A4",$M:$M,"B",$N:$N,"A*")*SUMIFS($J:$J,$E:$E,"VRAI",$F:$F,"A",$M:$M,"C")*SUMIFS($J:$J,$E:$E,"VRAI",$H:$H,"B",$I:$I,"C3")</f>
        <v>0</v>
      </c>
      <c r="AR7" s="47">
        <f>SUMIFS($D:$D,$E:$E,"FAUX",$G:$G,"A4",$M:$M,"B",$N:$N,"A*")*SUMIFS($J:$J,$E:$E,"VRAI",$F:$F,"A",$M:$M,"C")*SUMIFS($J:$J,$E:$E,"VRAI",$H:$H,"B",$I:$I,"C4")</f>
        <v>0</v>
      </c>
      <c r="AS7" s="47">
        <f>SUMIFS($D:$D,$E:$E,"FAUX",$G:$G,"A4",$M:$M,"B",$N:$N,"A*")*SUMIFS($J:$J,$E:$E,"VRAI",$F:$F,"A",$M:$M,"C")*SUMIFS($J:$J,$E:$E,"VRAI",$H:$H,"B",$I:$I,"C5")</f>
        <v>0</v>
      </c>
      <c r="AT7" s="48">
        <f>SUMIFS($D:$D,$E:$E,"FAUX",$G:$G,"A4",$M:$M,"B",$N:$N,"A*")*SUMIFS($J:$J,$E:$E,"VRAI",$F:$F,"A",$M:$M,"C")*SUMIFS($J:$J,$E:$E,"VRAI",$H:$H,"B",$I:$I,"C6")</f>
        <v>0</v>
      </c>
      <c r="AU7" s="46">
        <f>SUMIFS($D:$D,$E:$E,"FAUX",$G:$G,"A4",$M:$M,"B",$N:$N,"A*")*SUMIFS($J:$J,$E:$E,"VRAI",$F:$F,"A",$M:$M,"C")*SUMIFS($J:$J,$E:$E,"VRAI",$F:$F,"B",$M:$M,"D")*SUMIFS($J:$J,$E:$E,"VRAI",$F:$F,"C",$I:$I,"D1")</f>
        <v>0</v>
      </c>
      <c r="AV7" s="47">
        <f>SUMIFS($D:$D,$E:$E,"FAUX",$G:$G,"A4",$M:$M,"B",$N:$N,"A*")*SUMIFS($J:$J,$E:$E,"VRAI",$F:$F,"A",$M:$M,"C")*SUMIFS($J:$J,$E:$E,"VRAI",$F:$F,"B",$M:$M,"D")*SUMIFS($J:$J,$E:$E,"VRAI",$F:$F,"C",$I:$I,"D2")</f>
        <v>0</v>
      </c>
      <c r="AW7" s="47">
        <f>SUMIFS($D:$D,$E:$E,"FAUX",$G:$G,"A4",$M:$M,"B",$N:$N,"A*")*SUMIFS($J:$J,$E:$E,"VRAI",$F:$F,"A",$M:$M,"C")*SUMIFS($J:$J,$E:$E,"VRAI",$F:$F,"B",$M:$M,"D")*SUMIFS($J:$J,$E:$E,"VRAI",$F:$F,"C",$I:$I,"D3")</f>
        <v>0</v>
      </c>
      <c r="AX7" s="47">
        <f>SUMIFS($D:$D,$E:$E,"FAUX",$G:$G,"A4",$M:$M,"B",$N:$N,"A*")*SUMIFS($J:$J,$E:$E,"VRAI",$F:$F,"A",$M:$M,"C")*SUMIFS($J:$J,$E:$E,"VRAI",$F:$F,"B",$M:$M,"D")*SUMIFS($J:$J,$E:$E,"VRAI",$F:$F,"C",$I:$I,"D4")</f>
        <v>0</v>
      </c>
      <c r="AY7" s="47">
        <f>SUMIFS($D:$D,$E:$E,"FAUX",$G:$G,"A4",$M:$M,"B",$N:$N,"A*")*SUMIFS($J:$J,$E:$E,"VRAI",$F:$F,"A",$M:$M,"C")*SUMIFS($J:$J,$E:$E,"VRAI",$F:$F,"B",$M:$M,"D")*SUMIFS($J:$J,$E:$E,"VRAI",$F:$F,"C",$I:$I,"D5")</f>
        <v>0</v>
      </c>
      <c r="AZ7" s="48">
        <f>SUMIFS($D:$D,$E:$E,"FAUX",$G:$G,"A4",$M:$M,"B",$N:$N,"A*")*SUMIFS($J:$J,$E:$E,"VRAI",$F:$F,"A",$M:$M,"C")*SUMIFS($J:$J,$E:$E,"VRAI",$F:$F,"B",$M:$M,"D")*SUMIFS($J:$J,$E:$E,"VRAI",$F:$F,"C",$I:$I,"D6")</f>
        <v>0</v>
      </c>
      <c r="BA7" s="46">
        <f>SUMIFS($D:$D,$E:$E,"FAUX",$G:$G,"A4",$M:$M,"B",$N:$N,"A*")*SUMIFS($J:$J,$E:$E,"VRAI",$F:$F,"A",$M:$M,"C")*SUMIFS($J:$J,$E:$E,"VRAI",$F:$F,"B",$M:$M,"D")*SUMIFS($J:$J,$E:$E,"VRAI",$F:$F,"C",$M:$M,"E")*SUMIFS($J:$J,$E:$E,"VRAI",$F:$F,"D",$I:$I,"E1")</f>
        <v>0</v>
      </c>
      <c r="BB7" s="47">
        <f>SUMIFS($D:$D,$E:$E,"FAUX",$G:$G,"A4",$M:$M,"B",$N:$N,"A*")*SUMIFS($J:$J,$E:$E,"VRAI",$F:$F,"A",$M:$M,"C")*SUMIFS($J:$J,$E:$E,"VRAI",$F:$F,"B",$M:$M,"D")*SUMIFS($J:$J,$E:$E,"VRAI",$F:$F,"C",$M:$M,"E")*SUMIFS($J:$J,$E:$E,"VRAI",$F:$F,"D",$I:$I,"E2")</f>
        <v>0</v>
      </c>
      <c r="BC7" s="47">
        <f>SUMIFS($D:$D,$E:$E,"FAUX",$G:$G,"A4",$M:$M,"B",$N:$N,"A*")*SUMIFS($J:$J,$E:$E,"VRAI",$F:$F,"A",$M:$M,"C")*SUMIFS($J:$J,$E:$E,"VRAI",$F:$F,"B",$M:$M,"D")*SUMIFS($J:$J,$E:$E,"VRAI",$F:$F,"C",$M:$M,"E")*SUMIFS($J:$J,$E:$E,"VRAI",$F:$F,"D",$I:$I,"E3")</f>
        <v>0</v>
      </c>
      <c r="BD7" s="47">
        <f>SUMIFS($D:$D,$E:$E,"FAUX",$G:$G,"A4",$M:$M,"B",$N:$N,"A*")*SUMIFS($J:$J,$E:$E,"VRAI",$F:$F,"A",$M:$M,"C")*SUMIFS($J:$J,$E:$E,"VRAI",$F:$F,"B",$M:$M,"D")*SUMIFS($J:$J,$E:$E,"VRAI",$F:$F,"C",$M:$M,"E")*SUMIFS($J:$J,$E:$E,"VRAI",$F:$F,"D",$I:$I,"E4")</f>
        <v>0</v>
      </c>
      <c r="BE7" s="47">
        <f>SUMIFS($D:$D,$E:$E,"FAUX",$G:$G,"A4",$M:$M,"B",$N:$N,"A*")*SUMIFS($J:$J,$E:$E,"VRAI",$F:$F,"A",$M:$M,"C")*SUMIFS($J:$J,$E:$E,"VRAI",$F:$F,"B",$M:$M,"D")*SUMIFS($J:$J,$E:$E,"VRAI",$F:$F,"C",$M:$M,"E")*SUMIFS($J:$J,$E:$E,"VRAI",$F:$F,"D",$I:$I,"E5")</f>
        <v>0</v>
      </c>
      <c r="BF7" s="48">
        <f>SUMIFS($D:$D,$E:$E,"FAUX",$G:$G,"A4",$M:$M,"B",$N:$N,"A*")*SUMIFS($J:$J,$E:$E,"VRAI",$F:$F,"A",$M:$M,"C")*SUMIFS($J:$J,$E:$E,"VRAI",$F:$F,"B",$M:$M,"D")*SUMIFS($J:$J,$E:$E,"VRAI",$F:$F,"C",$M:$M,"E")*SUMIFS($J:$J,$E:$E,"VRAI",$F:$F,"D",$I:$I,"E6")</f>
        <v>0</v>
      </c>
      <c r="BG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2")</f>
        <v>0</v>
      </c>
      <c r="BI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3")</f>
        <v>0</v>
      </c>
      <c r="BJ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4")</f>
        <v>0</v>
      </c>
      <c r="BK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7" s="48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7" s="46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7" s="47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7" s="48">
        <f>SUMIFS($D:$D,$E:$E,"FAUX",$G:$G,"A4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8" spans="1:94">
      <c r="A8" s="35" t="s">
        <v>8</v>
      </c>
      <c r="B8" s="35">
        <v>1</v>
      </c>
      <c r="C8" s="35">
        <v>1</v>
      </c>
      <c r="D8" s="35">
        <v>0</v>
      </c>
      <c r="E8" s="35" t="b">
        <v>0</v>
      </c>
      <c r="F8" s="35"/>
      <c r="G8" s="53" t="str">
        <f t="shared" si="0"/>
        <v>A1</v>
      </c>
      <c r="H8" s="52" t="str">
        <f t="shared" si="5"/>
        <v/>
      </c>
      <c r="I8" s="41" t="str">
        <f t="shared" si="1"/>
        <v>A1</v>
      </c>
      <c r="J8" s="42">
        <f t="shared" si="2"/>
        <v>0</v>
      </c>
      <c r="K8" s="41">
        <f t="shared" si="6"/>
        <v>1248</v>
      </c>
      <c r="L8" s="41" t="str">
        <f t="shared" si="3"/>
        <v/>
      </c>
      <c r="M8" s="41" t="str">
        <f t="shared" si="7"/>
        <v/>
      </c>
      <c r="N8" s="41" t="str">
        <f>IFERROR(VLOOKUP(I8,L8:L:L,1,FALSE),"")</f>
        <v/>
      </c>
      <c r="O8" s="56" t="str">
        <f t="shared" si="8"/>
        <v>A_1_1</v>
      </c>
      <c r="U8" t="s">
        <v>37</v>
      </c>
      <c r="V8">
        <f>SUMIFS(D:D,A:A,"A",B:B,"5")</f>
        <v>188</v>
      </c>
      <c r="Z8" t="e">
        <f t="shared" si="9"/>
        <v>#N/A</v>
      </c>
      <c r="AA8" t="str">
        <f t="shared" si="10"/>
        <v>A5</v>
      </c>
      <c r="AB8" s="5" t="s">
        <v>37</v>
      </c>
      <c r="AC8" s="43">
        <f>SUMIFS($D:$D,$O:$O,"A_5_1")</f>
        <v>1</v>
      </c>
      <c r="AD8" s="43">
        <f>SUMIFS($D:$D,$O:$O,"A_5_2")</f>
        <v>0</v>
      </c>
      <c r="AE8" s="43">
        <f>SUMIFS($D:$D,$O:$O,"A_5_3")</f>
        <v>0</v>
      </c>
      <c r="AF8" s="43">
        <f>SUMIFS($D:$D,$O:$O,"A_5_4")</f>
        <v>187</v>
      </c>
      <c r="AG8" s="43">
        <f>SUMIFS($D:$D,$O:$O,"A_5_5")</f>
        <v>0</v>
      </c>
      <c r="AH8" s="36">
        <f>SUMIFS($D:$D,$O:$O,"A_5_6")</f>
        <v>0</v>
      </c>
      <c r="AI8" s="46">
        <f>SUMIFS($D:$D,$E:$E,"FAUX",$G:$G,"A5",$M:$M,"B",$N:$N,"A*")*SUMIFS($J:$J,$O:$O,"B_1_1")</f>
        <v>0</v>
      </c>
      <c r="AJ8" s="47">
        <f>SUMIFS($D:$D,$E:$E,"FAUX",$G:$G,"A5",$M:$M,"B",$N:$N,"A*")*SUMIFS($J:$J,$O:$O,"B_1_2")</f>
        <v>0</v>
      </c>
      <c r="AK8" s="47">
        <f>SUMIFS($D:$D,$E:$E,"FAUX",$G:$G,"A5",$M:$M,"B",$N:$N,"A*")*SUMIFS($J:$J,$O:$O,"B_1_3")</f>
        <v>108.27338877338877</v>
      </c>
      <c r="AL8" s="47">
        <f>SUMIFS($D:$D,$E:$E,"FAUX",$G:$G,"A5",$M:$M,"B",$N:$N,"A*")*SUMIFS($J:$J,$O:$O,"B_1_4")</f>
        <v>78.726611226611226</v>
      </c>
      <c r="AM8" s="47">
        <f>SUMIFS($D:$D,$E:$E,"FAUX",$G:$G,"A5",$M:$M,"B",$N:$N,"A*")*SUMIFS($J:$J,$O:$O,"B_1_5")</f>
        <v>0</v>
      </c>
      <c r="AN8" s="48">
        <f>SUMIFS($D:$D,$E:$E,"FAUX",$G:$G,"A5",$M:$M,"B",$N:$N,"A*")*SUMIFS($J:$J,$O:$O,"B_1_6")</f>
        <v>0</v>
      </c>
      <c r="AO8" s="46">
        <f t="shared" si="4"/>
        <v>0</v>
      </c>
      <c r="AP8" s="47">
        <f>SUMIFS($D:$D,$E:$E,"FAUX",$G:$G,"A5",$M:$M,"B",$N:$N,"A*")*SUMIFS($J:$J,$E:$E,"VRAI",$F:$F,"A",$M:$M,"C")*SUMIFS($J:$J,$E:$E,"VRAI",$H:$H,"B",$I:$I,"C2")</f>
        <v>0</v>
      </c>
      <c r="AQ8" s="47">
        <f>SUMIFS($D:$D,$E:$E,"FAUX",$G:$G,"A5",$M:$M,"B",$N:$N,"A*")*SUMIFS($J:$J,$E:$E,"VRAI",$F:$F,"A",$M:$M,"C")*SUMIFS($J:$J,$E:$E,"VRAI",$H:$H,"B",$I:$I,"C3")</f>
        <v>108.27338877338877</v>
      </c>
      <c r="AR8" s="47">
        <f>SUMIFS($D:$D,$E:$E,"FAUX",$G:$G,"A5",$M:$M,"B",$N:$N,"A*")*SUMIFS($J:$J,$E:$E,"VRAI",$F:$F,"A",$M:$M,"C")*SUMIFS($J:$J,$E:$E,"VRAI",$H:$H,"B",$I:$I,"C4")</f>
        <v>0</v>
      </c>
      <c r="AS8" s="47">
        <f>SUMIFS($D:$D,$E:$E,"FAUX",$G:$G,"A5",$M:$M,"B",$N:$N,"A*")*SUMIFS($J:$J,$E:$E,"VRAI",$F:$F,"A",$M:$M,"C")*SUMIFS($J:$J,$E:$E,"VRAI",$H:$H,"B",$I:$I,"C5")</f>
        <v>0</v>
      </c>
      <c r="AT8" s="48">
        <f>SUMIFS($D:$D,$E:$E,"FAUX",$G:$G,"A5",$M:$M,"B",$N:$N,"A*")*SUMIFS($J:$J,$E:$E,"VRAI",$F:$F,"A",$M:$M,"C")*SUMIFS($J:$J,$E:$E,"VRAI",$H:$H,"B",$I:$I,"C6")</f>
        <v>0</v>
      </c>
      <c r="AU8" s="46">
        <f>SUMIFS($D:$D,$E:$E,"FAUX",$G:$G,"A5",$M:$M,"B",$N:$N,"A*")*SUMIFS($J:$J,$E:$E,"VRAI",$F:$F,"A",$M:$M,"C")*SUMIFS($J:$J,$E:$E,"VRAI",$F:$F,"B",$M:$M,"D")*SUMIFS($J:$J,$E:$E,"VRAI",$F:$F,"C",$I:$I,"D1")</f>
        <v>0</v>
      </c>
      <c r="AV8" s="47">
        <f>SUMIFS($D:$D,$E:$E,"FAUX",$G:$G,"A5",$M:$M,"B",$N:$N,"A*")*SUMIFS($J:$J,$E:$E,"VRAI",$F:$F,"A",$M:$M,"C")*SUMIFS($J:$J,$E:$E,"VRAI",$F:$F,"B",$M:$M,"D")*SUMIFS($J:$J,$E:$E,"VRAI",$F:$F,"C",$I:$I,"D2")</f>
        <v>12.177216348532827</v>
      </c>
      <c r="AW8" s="47">
        <f>SUMIFS($D:$D,$E:$E,"FAUX",$G:$G,"A5",$M:$M,"B",$N:$N,"A*")*SUMIFS($J:$J,$E:$E,"VRAI",$F:$F,"A",$M:$M,"C")*SUMIFS($J:$J,$E:$E,"VRAI",$F:$F,"B",$M:$M,"D")*SUMIFS($J:$J,$E:$E,"VRAI",$F:$F,"C",$I:$I,"D3")</f>
        <v>89.488380607822634</v>
      </c>
      <c r="AX8" s="47">
        <f>SUMIFS($D:$D,$E:$E,"FAUX",$G:$G,"A5",$M:$M,"B",$N:$N,"A*")*SUMIFS($J:$J,$E:$E,"VRAI",$F:$F,"A",$M:$M,"C")*SUMIFS($J:$J,$E:$E,"VRAI",$F:$F,"B",$M:$M,"D")*SUMIFS($J:$J,$E:$E,"VRAI",$F:$F,"C",$I:$I,"D4")</f>
        <v>6.6077918170333163</v>
      </c>
      <c r="AY8" s="47">
        <f>SUMIFS($D:$D,$E:$E,"FAUX",$G:$G,"A5",$M:$M,"B",$N:$N,"A*")*SUMIFS($J:$J,$E:$E,"VRAI",$F:$F,"A",$M:$M,"C")*SUMIFS($J:$J,$E:$E,"VRAI",$F:$F,"B",$M:$M,"D")*SUMIFS($J:$J,$E:$E,"VRAI",$F:$F,"C",$I:$I,"D5")</f>
        <v>0</v>
      </c>
      <c r="AZ8" s="48">
        <f>SUMIFS($D:$D,$E:$E,"FAUX",$G:$G,"A5",$M:$M,"B",$N:$N,"A*")*SUMIFS($J:$J,$E:$E,"VRAI",$F:$F,"A",$M:$M,"C")*SUMIFS($J:$J,$E:$E,"VRAI",$F:$F,"B",$M:$M,"D")*SUMIFS($J:$J,$E:$E,"VRAI",$F:$F,"C",$I:$I,"D6")</f>
        <v>0</v>
      </c>
      <c r="BA8" s="46">
        <f>SUMIFS($D:$D,$E:$E,"FAUX",$G:$G,"A5",$M:$M,"B",$N:$N,"A*")*SUMIFS($J:$J,$E:$E,"VRAI",$F:$F,"A",$M:$M,"C")*SUMIFS($J:$J,$E:$E,"VRAI",$F:$F,"B",$M:$M,"D")*SUMIFS($J:$J,$E:$E,"VRAI",$F:$F,"C",$M:$M,"E")*SUMIFS($J:$J,$E:$E,"VRAI",$F:$F,"D",$I:$I,"E1")</f>
        <v>0</v>
      </c>
      <c r="BB8" s="47">
        <f>SUMIFS($D:$D,$E:$E,"FAUX",$G:$G,"A5",$M:$M,"B",$N:$N,"A*")*SUMIFS($J:$J,$E:$E,"VRAI",$F:$F,"A",$M:$M,"C")*SUMIFS($J:$J,$E:$E,"VRAI",$F:$F,"B",$M:$M,"D")*SUMIFS($J:$J,$E:$E,"VRAI",$F:$F,"C",$M:$M,"E")*SUMIFS($J:$J,$E:$E,"VRAI",$F:$F,"D",$I:$I,"E2")</f>
        <v>84.511587142749605</v>
      </c>
      <c r="BC8" s="47">
        <f>SUMIFS($D:$D,$E:$E,"FAUX",$G:$G,"A5",$M:$M,"B",$N:$N,"A*")*SUMIFS($J:$J,$E:$E,"VRAI",$F:$F,"A",$M:$M,"C")*SUMIFS($J:$J,$E:$E,"VRAI",$F:$F,"B",$M:$M,"D")*SUMIFS($J:$J,$E:$E,"VRAI",$F:$F,"C",$M:$M,"E")*SUMIFS($J:$J,$E:$E,"VRAI",$F:$F,"D",$I:$I,"E3")</f>
        <v>4.9767934650730323</v>
      </c>
      <c r="BD8" s="47">
        <f>SUMIFS($D:$D,$E:$E,"FAUX",$G:$G,"A5",$M:$M,"B",$N:$N,"A*")*SUMIFS($J:$J,$E:$E,"VRAI",$F:$F,"A",$M:$M,"C")*SUMIFS($J:$J,$E:$E,"VRAI",$F:$F,"B",$M:$M,"D")*SUMIFS($J:$J,$E:$E,"VRAI",$F:$F,"C",$M:$M,"E")*SUMIFS($J:$J,$E:$E,"VRAI",$F:$F,"D",$I:$I,"E4")</f>
        <v>0</v>
      </c>
      <c r="BE8" s="47">
        <f>SUMIFS($D:$D,$E:$E,"FAUX",$G:$G,"A5",$M:$M,"B",$N:$N,"A*")*SUMIFS($J:$J,$E:$E,"VRAI",$F:$F,"A",$M:$M,"C")*SUMIFS($J:$J,$E:$E,"VRAI",$F:$F,"B",$M:$M,"D")*SUMIFS($J:$J,$E:$E,"VRAI",$F:$F,"C",$M:$M,"E")*SUMIFS($J:$J,$E:$E,"VRAI",$F:$F,"D",$I:$I,"E5")</f>
        <v>0</v>
      </c>
      <c r="BF8" s="48">
        <f>SUMIFS($D:$D,$E:$E,"FAUX",$G:$G,"A5",$M:$M,"B",$N:$N,"A*")*SUMIFS($J:$J,$E:$E,"VRAI",$F:$F,"A",$M:$M,"C")*SUMIFS($J:$J,$E:$E,"VRAI",$F:$F,"B",$M:$M,"D")*SUMIFS($J:$J,$E:$E,"VRAI",$F:$F,"C",$M:$M,"E")*SUMIFS($J:$J,$E:$E,"VRAI",$F:$F,"D",$I:$I,"E6")</f>
        <v>0</v>
      </c>
      <c r="BG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2")</f>
        <v>5.1106919481592659</v>
      </c>
      <c r="BI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3")</f>
        <v>68.438831305784959</v>
      </c>
      <c r="BJ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4")</f>
        <v>10.962063888805382</v>
      </c>
      <c r="BK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67.935141654960418</v>
      </c>
      <c r="BO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0.50368965082454431</v>
      </c>
      <c r="BP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8" s="48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61.839915530865539</v>
      </c>
      <c r="BV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6.0952261240948804</v>
      </c>
      <c r="BW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61.839915530865539</v>
      </c>
      <c r="CA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10.669719430199663</v>
      </c>
      <c r="CG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40.722762491928705</v>
      </c>
      <c r="CH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10.447433608737169</v>
      </c>
      <c r="CI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8" s="46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24.866459801834726</v>
      </c>
      <c r="CM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15.85630269009398</v>
      </c>
      <c r="CN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8" s="47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8" s="48">
        <f>SUMIFS($D:$D,$E:$E,"FAUX",$G:$G,"A5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9" spans="1:94">
      <c r="A9" s="35" t="s">
        <v>8</v>
      </c>
      <c r="B9" s="35">
        <v>2</v>
      </c>
      <c r="C9" s="35">
        <v>3</v>
      </c>
      <c r="D9" s="35">
        <v>0</v>
      </c>
      <c r="E9" s="35" t="b">
        <v>0</v>
      </c>
      <c r="F9" s="35"/>
      <c r="G9" s="53" t="str">
        <f t="shared" si="0"/>
        <v>A2</v>
      </c>
      <c r="H9" s="52" t="str">
        <f t="shared" si="5"/>
        <v/>
      </c>
      <c r="I9" s="41" t="str">
        <f t="shared" si="1"/>
        <v>A3</v>
      </c>
      <c r="J9" s="42">
        <f t="shared" si="2"/>
        <v>0</v>
      </c>
      <c r="K9" s="41">
        <f t="shared" si="6"/>
        <v>838</v>
      </c>
      <c r="L9" s="41" t="str">
        <f t="shared" si="3"/>
        <v/>
      </c>
      <c r="M9" s="41" t="str">
        <f t="shared" si="7"/>
        <v/>
      </c>
      <c r="N9" s="41" t="str">
        <f>IFERROR(VLOOKUP(I9,L9:L:L,1,FALSE),"")</f>
        <v/>
      </c>
      <c r="O9" s="56" t="str">
        <f t="shared" si="8"/>
        <v>A_2_3</v>
      </c>
      <c r="U9" t="s">
        <v>38</v>
      </c>
      <c r="V9">
        <f>SUMIFS(D:D,A:A,"A",B:B,"6")</f>
        <v>0</v>
      </c>
      <c r="Z9" t="e">
        <f t="shared" si="9"/>
        <v>#N/A</v>
      </c>
      <c r="AA9" t="e">
        <f t="shared" si="10"/>
        <v>#N/A</v>
      </c>
      <c r="AB9" s="5" t="s">
        <v>38</v>
      </c>
      <c r="AC9" s="40">
        <f>SUMIFS($D:$D,$O:$O,"A_6_1")</f>
        <v>0</v>
      </c>
      <c r="AD9" s="40">
        <f>SUMIFS($D:$D,$O:$O,"A_6_2")</f>
        <v>0</v>
      </c>
      <c r="AE9" s="40">
        <f>SUMIFS($D:$D,$O:$O,"A_6_3")</f>
        <v>0</v>
      </c>
      <c r="AF9" s="40">
        <f>SUMIFS($D:$D,$O:$O,"A_6_4")</f>
        <v>0</v>
      </c>
      <c r="AG9" s="40">
        <f>SUMIFS($D:$D,$O:$O,"A_6_5")</f>
        <v>0</v>
      </c>
      <c r="AH9" s="39">
        <f>SUMIFS($D:$D,$O:$O,"A_6_6")</f>
        <v>0</v>
      </c>
      <c r="AI9" s="49">
        <f>SUMIFS($D:$D,$E:$E,"FAUX",$G:$G,"A6",$M:$M,"B",$N:$N,"A*")*SUMIFS($J:$J,$O:$O,"B_1_1")</f>
        <v>0</v>
      </c>
      <c r="AJ9" s="50">
        <f>SUMIFS($D:$D,$E:$E,"FAUX",$G:$G,"A6",$M:$M,"B",$N:$N,"A*")*SUMIFS($J:$J,$O:$O,"B_1_2")</f>
        <v>0</v>
      </c>
      <c r="AK9" s="50">
        <f>SUMIFS($D:$D,$E:$E,"FAUX",$G:$G,"A6",$M:$M,"B",$N:$N,"A*")*SUMIFS($J:$J,$O:$O,"B_1_3")</f>
        <v>0</v>
      </c>
      <c r="AL9" s="50">
        <f>SUMIFS($D:$D,$E:$E,"FAUX",$G:$G,"A6",$M:$M,"B",$N:$N,"A*")*SUMIFS($J:$J,$O:$O,"B_1_4")</f>
        <v>0</v>
      </c>
      <c r="AM9" s="50">
        <f>SUMIFS($D:$D,$E:$E,"FAUX",$G:$G,"A6",$M:$M,"B",$N:$N,"A*")*SUMIFS($J:$J,$O:$O,"B_1_5")</f>
        <v>0</v>
      </c>
      <c r="AN9" s="51">
        <f>SUMIFS($D:$D,$E:$E,"FAUX",$G:$G,"A6",$M:$M,"B",$N:$N,"A*")*SUMIFS($J:$J,$O:$O,"B_1_6")</f>
        <v>0</v>
      </c>
      <c r="AO9" s="49">
        <f t="shared" si="4"/>
        <v>0</v>
      </c>
      <c r="AP9" s="50">
        <f>SUMIFS($D:$D,$E:$E,"FAUX",$G:$G,"A6",$M:$M,"B",$N:$N,"A*")*SUMIFS($J:$J,$E:$E,"VRAI",$F:$F,"A",$M:$M,"C")*SUMIFS($J:$J,$E:$E,"VRAI",$H:$H,"B",$I:$I,"C2")</f>
        <v>0</v>
      </c>
      <c r="AQ9" s="50">
        <f>SUMIFS($D:$D,$E:$E,"FAUX",$G:$G,"A6",$M:$M,"B",$N:$N,"A*")*SUMIFS($J:$J,$E:$E,"VRAI",$F:$F,"A",$M:$M,"C")*SUMIFS($J:$J,$E:$E,"VRAI",$H:$H,"B",$I:$I,"C3")</f>
        <v>0</v>
      </c>
      <c r="AR9" s="50">
        <f>SUMIFS($D:$D,$E:$E,"FAUX",$G:$G,"A6",$M:$M,"B",$N:$N,"A*")*SUMIFS($J:$J,$E:$E,"VRAI",$F:$F,"A",$M:$M,"C")*SUMIFS($J:$J,$E:$E,"VRAI",$H:$H,"B",$I:$I,"C4")</f>
        <v>0</v>
      </c>
      <c r="AS9" s="50">
        <f>SUMIFS($D:$D,$E:$E,"FAUX",$G:$G,"A6",$M:$M,"B",$N:$N,"A*")*SUMIFS($J:$J,$E:$E,"VRAI",$F:$F,"A",$M:$M,"C")*SUMIFS($J:$J,$E:$E,"VRAI",$H:$H,"B",$I:$I,"C5")</f>
        <v>0</v>
      </c>
      <c r="AT9" s="51">
        <f>SUMIFS($D:$D,$E:$E,"FAUX",$G:$G,"A6",$M:$M,"B",$N:$N,"A*")*SUMIFS($J:$J,$E:$E,"VRAI",$F:$F,"A",$M:$M,"C")*SUMIFS($J:$J,$E:$E,"VRAI",$H:$H,"B",$I:$I,"C6")</f>
        <v>0</v>
      </c>
      <c r="AU9" s="49">
        <f>SUMIFS($D:$D,$E:$E,"FAUX",$G:$G,"A6",$M:$M,"B",$N:$N,"A*")*SUMIFS($J:$J,$E:$E,"VRAI",$F:$F,"A",$M:$M,"C")*SUMIFS($J:$J,$E:$E,"VRAI",$F:$F,"B",$M:$M,"D")*SUMIFS($J:$J,$E:$E,"VRAI",$F:$F,"C",$I:$I,"D1")</f>
        <v>0</v>
      </c>
      <c r="AV9" s="50">
        <f>SUMIFS($D:$D,$E:$E,"FAUX",$G:$G,"A6",$M:$M,"B",$N:$N,"A*")*SUMIFS($J:$J,$E:$E,"VRAI",$F:$F,"A",$M:$M,"C")*SUMIFS($J:$J,$E:$E,"VRAI",$F:$F,"B",$M:$M,"D")*SUMIFS($J:$J,$E:$E,"VRAI",$F:$F,"C",$I:$I,"D2")</f>
        <v>0</v>
      </c>
      <c r="AW9" s="50">
        <f>SUMIFS($D:$D,$E:$E,"FAUX",$G:$G,"A6",$M:$M,"B",$N:$N,"A*")*SUMIFS($J:$J,$E:$E,"VRAI",$F:$F,"A",$M:$M,"C")*SUMIFS($J:$J,$E:$E,"VRAI",$F:$F,"B",$M:$M,"D")*SUMIFS($J:$J,$E:$E,"VRAI",$F:$F,"C",$I:$I,"D3")</f>
        <v>0</v>
      </c>
      <c r="AX9" s="50">
        <f>SUMIFS($D:$D,$E:$E,"FAUX",$G:$G,"A6",$M:$M,"B",$N:$N,"A*")*SUMIFS($J:$J,$E:$E,"VRAI",$F:$F,"A",$M:$M,"C")*SUMIFS($J:$J,$E:$E,"VRAI",$F:$F,"B",$M:$M,"D")*SUMIFS($J:$J,$E:$E,"VRAI",$F:$F,"C",$I:$I,"D4")</f>
        <v>0</v>
      </c>
      <c r="AY9" s="50">
        <f>SUMIFS($D:$D,$E:$E,"FAUX",$G:$G,"A6",$M:$M,"B",$N:$N,"A*")*SUMIFS($J:$J,$E:$E,"VRAI",$F:$F,"A",$M:$M,"C")*SUMIFS($J:$J,$E:$E,"VRAI",$F:$F,"B",$M:$M,"D")*SUMIFS($J:$J,$E:$E,"VRAI",$F:$F,"C",$I:$I,"D5")</f>
        <v>0</v>
      </c>
      <c r="AZ9" s="51">
        <f>SUMIFS($D:$D,$E:$E,"FAUX",$G:$G,"A6",$M:$M,"B",$N:$N,"A*")*SUMIFS($J:$J,$E:$E,"VRAI",$F:$F,"A",$M:$M,"C")*SUMIFS($J:$J,$E:$E,"VRAI",$F:$F,"B",$M:$M,"D")*SUMIFS($J:$J,$E:$E,"VRAI",$F:$F,"C",$I:$I,"D6")</f>
        <v>0</v>
      </c>
      <c r="BA9" s="49">
        <f>SUMIFS($D:$D,$E:$E,"FAUX",$G:$G,"A6",$M:$M,"B",$N:$N,"A*")*SUMIFS($J:$J,$E:$E,"VRAI",$F:$F,"A",$M:$M,"C")*SUMIFS($J:$J,$E:$E,"VRAI",$F:$F,"B",$M:$M,"D")*SUMIFS($J:$J,$E:$E,"VRAI",$F:$F,"C",$M:$M,"E")*SUMIFS($J:$J,$E:$E,"VRAI",$F:$F,"D",$I:$I,"E1")</f>
        <v>0</v>
      </c>
      <c r="BB9" s="50">
        <f>SUMIFS($D:$D,$E:$E,"FAUX",$G:$G,"A6",$M:$M,"B",$N:$N,"A*")*SUMIFS($J:$J,$E:$E,"VRAI",$F:$F,"A",$M:$M,"C")*SUMIFS($J:$J,$E:$E,"VRAI",$F:$F,"B",$M:$M,"D")*SUMIFS($J:$J,$E:$E,"VRAI",$F:$F,"C",$M:$M,"E")*SUMIFS($J:$J,$E:$E,"VRAI",$F:$F,"D",$I:$I,"E2")</f>
        <v>0</v>
      </c>
      <c r="BC9" s="50">
        <f>SUMIFS($D:$D,$E:$E,"FAUX",$G:$G,"A6",$M:$M,"B",$N:$N,"A*")*SUMIFS($J:$J,$E:$E,"VRAI",$F:$F,"A",$M:$M,"C")*SUMIFS($J:$J,$E:$E,"VRAI",$F:$F,"B",$M:$M,"D")*SUMIFS($J:$J,$E:$E,"VRAI",$F:$F,"C",$M:$M,"E")*SUMIFS($J:$J,$E:$E,"VRAI",$F:$F,"D",$I:$I,"E3")</f>
        <v>0</v>
      </c>
      <c r="BD9" s="50">
        <f>SUMIFS($D:$D,$E:$E,"FAUX",$G:$G,"A6",$M:$M,"B",$N:$N,"A*")*SUMIFS($J:$J,$E:$E,"VRAI",$F:$F,"A",$M:$M,"C")*SUMIFS($J:$J,$E:$E,"VRAI",$F:$F,"B",$M:$M,"D")*SUMIFS($J:$J,$E:$E,"VRAI",$F:$F,"C",$M:$M,"E")*SUMIFS($J:$J,$E:$E,"VRAI",$F:$F,"D",$I:$I,"E4")</f>
        <v>0</v>
      </c>
      <c r="BE9" s="50">
        <f>SUMIFS($D:$D,$E:$E,"FAUX",$G:$G,"A6",$M:$M,"B",$N:$N,"A*")*SUMIFS($J:$J,$E:$E,"VRAI",$F:$F,"A",$M:$M,"C")*SUMIFS($J:$J,$E:$E,"VRAI",$F:$F,"B",$M:$M,"D")*SUMIFS($J:$J,$E:$E,"VRAI",$F:$F,"C",$M:$M,"E")*SUMIFS($J:$J,$E:$E,"VRAI",$F:$F,"D",$I:$I,"E5")</f>
        <v>0</v>
      </c>
      <c r="BF9" s="51">
        <f>SUMIFS($D:$D,$E:$E,"FAUX",$G:$G,"A6",$M:$M,"B",$N:$N,"A*")*SUMIFS($J:$J,$E:$E,"VRAI",$F:$F,"A",$M:$M,"C")*SUMIFS($J:$J,$E:$E,"VRAI",$F:$F,"B",$M:$M,"D")*SUMIFS($J:$J,$E:$E,"VRAI",$F:$F,"C",$M:$M,"E")*SUMIFS($J:$J,$E:$E,"VRAI",$F:$F,"D",$I:$I,"E6")</f>
        <v>0</v>
      </c>
      <c r="BG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1")</f>
        <v>0</v>
      </c>
      <c r="BH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2")</f>
        <v>0</v>
      </c>
      <c r="BI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3")</f>
        <v>0</v>
      </c>
      <c r="BJ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4")</f>
        <v>0</v>
      </c>
      <c r="BK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5")</f>
        <v>0</v>
      </c>
      <c r="BL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I:$I,"F6")</f>
        <v>0</v>
      </c>
      <c r="BM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9" s="51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9" s="49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9" s="50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9" s="51">
        <f>SUMIFS($D:$D,$E:$E,"FAUX",$G:$G,"A6",$M:$M,"B",$N:$N,"A*")*SUMIFS($J:$J,$E:$E,"VRAI",$F:$F,"A",$M:$M,"C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0" spans="1:94">
      <c r="A10" s="35" t="s">
        <v>8</v>
      </c>
      <c r="B10" s="35">
        <v>2</v>
      </c>
      <c r="C10" s="35">
        <v>4</v>
      </c>
      <c r="D10" s="35">
        <v>0</v>
      </c>
      <c r="E10" s="35" t="b">
        <v>0</v>
      </c>
      <c r="F10" s="35"/>
      <c r="G10" s="53" t="str">
        <f t="shared" si="0"/>
        <v>A2</v>
      </c>
      <c r="H10" s="52" t="str">
        <f t="shared" si="5"/>
        <v/>
      </c>
      <c r="I10" s="41" t="str">
        <f t="shared" si="1"/>
        <v>A4</v>
      </c>
      <c r="J10" s="42">
        <f t="shared" si="2"/>
        <v>0</v>
      </c>
      <c r="K10" s="41">
        <f t="shared" si="6"/>
        <v>838</v>
      </c>
      <c r="L10" s="41" t="str">
        <f t="shared" si="3"/>
        <v/>
      </c>
      <c r="M10" s="41" t="str">
        <f t="shared" si="7"/>
        <v>B</v>
      </c>
      <c r="N10" s="41" t="str">
        <f>IFERROR(VLOOKUP(I10,L10:L:L,1,FALSE),"")</f>
        <v>A4</v>
      </c>
      <c r="O10" s="56" t="str">
        <f t="shared" si="8"/>
        <v>A_2_4</v>
      </c>
      <c r="Z10" t="str">
        <f t="shared" si="9"/>
        <v>B1</v>
      </c>
      <c r="AA10" t="str">
        <f t="shared" si="10"/>
        <v>B1</v>
      </c>
      <c r="AB10" s="5" t="s">
        <v>30</v>
      </c>
      <c r="AC10" s="13">
        <f>SUMIFS($D:$D,$E:$E,"FAUX",$G:$G,"B1",$M:$M,"A",$N:$N,"B*")*SUMIFS($J:$J,$E:$E,"VRAI",$I:$I,"A1",$F:$F,"B")</f>
        <v>0</v>
      </c>
      <c r="AD10" s="14">
        <f>SUMIFS($D:$D,$E:$E,"FAUX",$G:$G,"B1",$M:$M,"A",$N:$N,"B*")*SUMIFS($J:$J,$E:$E,"VRAI",$I:$I,"A2",$F:$F,"B")</f>
        <v>0</v>
      </c>
      <c r="AE10" s="14">
        <f>SUMIFS($D:$D,$E:$E,"FAUX",$G:$G,"B1",$M:$M,"A",$N:$N,"B*")*SUMIFS($J:$J,$E:$E,"VRAI",$I:$I,"A3",$F:$F,"B")</f>
        <v>0</v>
      </c>
      <c r="AF10" s="14">
        <f>SUMIFS($D:$D,$E:$E,"FAUX",$G:$G,"B1",$M:$M,"A",$N:$N,"B*")*SUMIFS($J:$J,$E:$E,"VRAI",$I:$I,"A4",$F:$F,"B")</f>
        <v>0</v>
      </c>
      <c r="AG10" s="14">
        <f>SUMIFS($D:$D,$E:$E,"FAUX",$G:$G,"B1",$M:$M,"A",$N:$N,"B*")*SUMIFS($J:$J,$E:$E,"VRAI",$I:$I,"A5",$F:$F,"B")</f>
        <v>0</v>
      </c>
      <c r="AH10" s="15">
        <f>SUMIFS($D:$D,$E:$E,"FAUX",$G:$G,"B1",$M:$M,"A",$N:$N,"B*")*SUMIFS($J:$J,$E:$E,"VRAI",$I:$I,"A6",$F:$F,"B")</f>
        <v>0</v>
      </c>
      <c r="AI10" s="43">
        <f>SUMIFS($D:$D,$O:$O,"B_1_1")</f>
        <v>0</v>
      </c>
      <c r="AJ10" s="43">
        <f>SUMIFS($D:$D,$O:$O,"B_1_2")</f>
        <v>0</v>
      </c>
      <c r="AK10" s="43">
        <f>SUMIFS($D:$D,$O:$O,"B_1_3")</f>
        <v>557</v>
      </c>
      <c r="AL10" s="43">
        <f>SUMIFS($D:$D,$O:$O,"B_1_4")</f>
        <v>405</v>
      </c>
      <c r="AM10" s="43">
        <f>SUMIFS($D:$D,$O:$O,"B_1_5")</f>
        <v>0</v>
      </c>
      <c r="AN10" s="36">
        <f>SUMIFS($D:$D,$O:$O,"B_1_6")</f>
        <v>0</v>
      </c>
      <c r="AO10" s="13">
        <f>SUMIFS($D:$D,$E:$E,"FAUX",$G:$G,"B1",$M:$M,"C",$N:$N,"B*")*SUMIFS($J:$J,$O:$O,"C_1_1")</f>
        <v>0</v>
      </c>
      <c r="AP10" s="14">
        <f>SUMIFS($D:$D,$E:$E,"FAUX",$G:$G,"B1",$M:$M,"C",$N:$N,"B*")</f>
        <v>0</v>
      </c>
      <c r="AQ10" s="14">
        <f>SUMIFS($D:$D,$E:$E,"FAUX",$G:$G,"B1",$M:$M,"C",$N:$N,"B*")*SUMIFS($J:$J,$O:$O,"C_1_3")</f>
        <v>0</v>
      </c>
      <c r="AR10" s="14">
        <f>SUMIFS($D:$D,$E:$E,"FAUX",$G:$G,"B1",$M:$M,"C",$N:$N,"B*")*SUMIFS($J:$J,$O:$O,"C_1_4")</f>
        <v>0</v>
      </c>
      <c r="AS10" s="14">
        <f>SUMIFS($D:$D,$E:$E,"FAUX",$G:$G,"B1",$M:$M,"C",$N:$N,"B*")*SUMIFS($J:$J,$O:$O,"C_1_5")</f>
        <v>0</v>
      </c>
      <c r="AT10" s="15">
        <f>SUMIFS($D:$D,$E:$E,"FAUX",$G:$G,"B1",$M:$M,"C",$N:$N,"B*")*SUMIFS($J:$J,$O:$O,"C_1_6")</f>
        <v>0</v>
      </c>
      <c r="AU10" s="43">
        <f>SUMIFS($D:$D,$E:$E,"FAUX",$G:$G,"B1",$M:$M,"C",$N:$N,"B*")*SUMIFS($J:$J,$E:$E,"VRAI",$F:$F,"B",$M:$M,"D")*SUMIFS($J:$J,$E:$E,"VRAI",$H:$H,"C",$I:$I,"D1")</f>
        <v>0</v>
      </c>
      <c r="AV10" s="44">
        <f>SUMIFS($D:$D,$E:$E,"FAUX",$G:$G,"B1",$M:$M,"C",$N:$N,"B*")*SUMIFS($J:$J,$E:$E,"VRAI",$F:$F,"B",$M:$M,"D")*SUMIFS($J:$J,$E:$E,"VRAI",$H:$H,"C",$I:$I,"D2")</f>
        <v>0</v>
      </c>
      <c r="AW10" s="44">
        <f>SUMIFS($D:$D,$E:$E,"FAUX",$G:$G,"B1",$M:$M,"C",$N:$N,"B*")*SUMIFS($J:$J,$E:$E,"VRAI",$F:$F,"B",$M:$M,"D")*SUMIFS($J:$J,$E:$E,"VRAI",$H:$H,"C",$I:$I,"D3")</f>
        <v>0</v>
      </c>
      <c r="AX10" s="44">
        <f>SUMIFS($D:$D,$E:$E,"FAUX",$G:$G,"B1",$M:$M,"C",$N:$N,"B*")*SUMIFS($J:$J,$E:$E,"VRAI",$F:$F,"B",$M:$M,"D")*SUMIFS($J:$J,$E:$E,"VRAI",$H:$H,"C",$I:$I,"D4")</f>
        <v>0</v>
      </c>
      <c r="AY10" s="44">
        <f>SUMIFS($D:$D,$E:$E,"FAUX",$G:$G,"B1",$M:$M,"C",$N:$N,"B*")*SUMIFS($J:$J,$E:$E,"VRAI",$F:$F,"B",$M:$M,"D")*SUMIFS($J:$J,$E:$E,"VRAI",$H:$H,"C",$I:$I,"D5")</f>
        <v>0</v>
      </c>
      <c r="AZ10" s="45">
        <f>SUMIFS($D:$D,$E:$E,"FAUX",$G:$G,"B1",$M:$M,"C",$N:$N,"B*")*SUMIFS($J:$J,$E:$E,"VRAI",$F:$F,"B",$M:$M,"D")*SUMIFS($J:$J,$E:$E,"VRAI",$H:$H,"C",$I:$I,"D6")</f>
        <v>0</v>
      </c>
      <c r="BA10" s="43">
        <f>SUMIFS($D:$D,$E:$E,"FAUX",$G:$G,"B1",$M:$M,"C",$N:$N,"B*")*SUMIFS($J:$J,$E:$E,"VRAI",$F:$F,"B",$M:$M,"D")*SUMIFS($J:$J,$E:$E,"VRAI",$F:$F,"C",$M:$M,"E")*SUMIFS($J:$J,$E:$E,"VRAI",$H:$H,"D",$I:$I,"E1")</f>
        <v>0</v>
      </c>
      <c r="BB10" s="44">
        <f>SUMIFS($D:$D,$E:$E,"FAUX",$G:$G,"B1",$M:$M,"C",$N:$N,"B*")*SUMIFS($J:$J,$E:$E,"VRAI",$F:$F,"B",$M:$M,"D")*SUMIFS($J:$J,$E:$E,"VRAI",$F:$F,"C",$M:$M,"E")*SUMIFS($J:$J,$E:$E,"VRAI",$H:$H,"D",$I:$I,"E2")</f>
        <v>0</v>
      </c>
      <c r="BC10" s="44">
        <f>SUMIFS($D:$D,$E:$E,"FAUX",$G:$G,"B1",$M:$M,"C",$N:$N,"B*")*SUMIFS($J:$J,$E:$E,"VRAI",$F:$F,"B",$M:$M,"D")*SUMIFS($J:$J,$E:$E,"VRAI",$F:$F,"C",$M:$M,"E")*SUMIFS($J:$J,$E:$E,"VRAI",$H:$H,"D",$I:$I,"E3")</f>
        <v>0</v>
      </c>
      <c r="BD10" s="44">
        <f>SUMIFS($D:$D,$E:$E,"FAUX",$G:$G,"B1",$M:$M,"C",$N:$N,"B*")*SUMIFS($J:$J,$E:$E,"VRAI",$F:$F,"B",$M:$M,"D")*SUMIFS($J:$J,$E:$E,"VRAI",$F:$F,"C",$M:$M,"E")*SUMIFS($J:$J,$E:$E,"VRAI",$H:$H,"D",$I:$I,"E4")</f>
        <v>0</v>
      </c>
      <c r="BE10" s="44">
        <f>SUMIFS($D:$D,$E:$E,"FAUX",$G:$G,"B1",$M:$M,"C",$N:$N,"B*")*SUMIFS($J:$J,$E:$E,"VRAI",$F:$F,"B",$M:$M,"D")*SUMIFS($J:$J,$E:$E,"VRAI",$F:$F,"C",$M:$M,"E")*SUMIFS($J:$J,$E:$E,"VRAI",$H:$H,"D",$I:$I,"E5")</f>
        <v>0</v>
      </c>
      <c r="BF10" s="45">
        <f>SUMIFS($D:$D,$E:$E,"FAUX",$G:$G,"B1",$M:$M,"C",$N:$N,"B*")*SUMIFS($J:$J,$E:$E,"VRAI",$F:$F,"B",$M:$M,"D")*SUMIFS($J:$J,$E:$E,"VRAI",$F:$F,"C",$M:$M,"E")*SUMIFS($J:$J,$E:$E,"VRAI",$H:$H,"D",$I:$I,"E6")</f>
        <v>0</v>
      </c>
      <c r="BG10" s="43">
        <f>SUMIFS($D:$D,$E:$E,"FAUX",$G:$G,"B1",$M:$M,"C",$N:$N,"B*")*SUMIFS($J:$J,$E:$E,"VRAI",$F:$F,"B",$M:$M,"D")*SUMIFS($J:$J,$E:$E,"VRAI",$F:$F,"C",$M:$M,"E")*SUMIFS($J:$J,$E:$E,"VRAI",$F:$F,"D",$M:$M,"F")*SUMIFS($J:$J,$E:$E,"VRAI",$H:$H,"E",$I:$I,"F1")</f>
        <v>0</v>
      </c>
      <c r="BH10" s="44">
        <f>SUMIFS($D:$D,$E:$E,"FAUX",$G:$G,"B1",$M:$M,"C",$N:$N,"B*")*SUMIFS($J:$J,$E:$E,"VRAI",$F:$F,"B",$M:$M,"D")*SUMIFS($J:$J,$E:$E,"VRAI",$F:$F,"C",$M:$M,"E")*SUMIFS($J:$J,$E:$E,"VRAI",$F:$F,"D",$M:$M,"F")*SUMIFS($J:$J,$E:$E,"VRAI",$H:$H,"E",$I:$I,"F2")</f>
        <v>0</v>
      </c>
      <c r="BI10" s="44">
        <f>SUMIFS($D:$D,$E:$E,"FAUX",$G:$G,"B1",$M:$M,"C",$N:$N,"B*")*SUMIFS($J:$J,$E:$E,"VRAI",$F:$F,"B",$M:$M,"D")*SUMIFS($J:$J,$E:$E,"VRAI",$F:$F,"C",$M:$M,"E")*SUMIFS($J:$J,$E:$E,"VRAI",$F:$F,"D",$M:$M,"F")*SUMIFS($J:$J,$E:$E,"VRAI",$H:$H,"E",$I:$I,"F3")</f>
        <v>0</v>
      </c>
      <c r="BJ10" s="44">
        <f>SUMIFS($D:$D,$E:$E,"FAUX",$G:$G,"B1",$M:$M,"C",$N:$N,"B*")*SUMIFS($J:$J,$E:$E,"VRAI",$F:$F,"B",$M:$M,"D")*SUMIFS($J:$J,$E:$E,"VRAI",$F:$F,"C",$M:$M,"E")*SUMIFS($J:$J,$E:$E,"VRAI",$F:$F,"D",$M:$M,"F")*SUMIFS($J:$J,$E:$E,"VRAI",$H:$H,"E",$I:$I,"F4")</f>
        <v>0</v>
      </c>
      <c r="BK10" s="44">
        <f>SUMIFS($D:$D,$E:$E,"FAUX",$G:$G,"B1",$M:$M,"C",$N:$N,"B*")*SUMIFS($J:$J,$E:$E,"VRAI",$F:$F,"B",$M:$M,"D")*SUMIFS($J:$J,$E:$E,"VRAI",$F:$F,"C",$M:$M,"E")*SUMIFS($J:$J,$E:$E,"VRAI",$F:$F,"D",$M:$M,"F")*SUMIFS($J:$J,$E:$E,"VRAI",$H:$H,"E",$I:$I,"F5")</f>
        <v>0</v>
      </c>
      <c r="BL10" s="44">
        <f>SUMIFS($D:$D,$E:$E,"FAUX",$G:$G,"B1",$M:$M,"C",$N:$N,"B*")*SUMIFS($J:$J,$E:$E,"VRAI",$F:$F,"B",$M:$M,"D")*SUMIFS($J:$J,$E:$E,"VRAI",$F:$F,"C",$M:$M,"E")*SUMIFS($J:$J,$E:$E,"VRAI",$F:$F,"D",$M:$M,"F")*SUMIFS($J:$J,$E:$E,"VRAI",$H:$H,"E",$I:$I,"F6")</f>
        <v>0</v>
      </c>
      <c r="BM10" s="43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0" s="45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0" s="43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0" s="43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0" s="43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0" s="43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0" s="44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0" s="45">
        <f>SUMIFS($D:$D,$E:$E,"FAUX",$G:$G,"B1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1" spans="1:94">
      <c r="A11" s="35" t="s">
        <v>8</v>
      </c>
      <c r="B11" s="35">
        <v>2</v>
      </c>
      <c r="C11" s="35">
        <v>5</v>
      </c>
      <c r="D11" s="35">
        <v>0</v>
      </c>
      <c r="E11" s="35" t="b">
        <v>0</v>
      </c>
      <c r="F11" s="35"/>
      <c r="G11" s="53" t="str">
        <f t="shared" si="0"/>
        <v>A2</v>
      </c>
      <c r="H11" s="52" t="str">
        <f t="shared" si="5"/>
        <v/>
      </c>
      <c r="I11" s="41" t="str">
        <f t="shared" si="1"/>
        <v>A5</v>
      </c>
      <c r="J11" s="42">
        <f t="shared" si="2"/>
        <v>0</v>
      </c>
      <c r="K11" s="41">
        <f t="shared" si="6"/>
        <v>838</v>
      </c>
      <c r="L11" s="41" t="str">
        <f t="shared" si="3"/>
        <v/>
      </c>
      <c r="M11" s="41" t="str">
        <f t="shared" si="7"/>
        <v/>
      </c>
      <c r="N11" s="41" t="str">
        <f>IFERROR(VLOOKUP(I11,L11:L:L,1,FALSE),"")</f>
        <v/>
      </c>
      <c r="O11" s="56" t="str">
        <f t="shared" si="8"/>
        <v>A_2_5</v>
      </c>
      <c r="U11" s="1" t="s">
        <v>9</v>
      </c>
      <c r="V11" s="2">
        <f>SUMIF(A:A,"B",D:D)</f>
        <v>2790</v>
      </c>
      <c r="Z11" t="e">
        <f t="shared" si="9"/>
        <v>#N/A</v>
      </c>
      <c r="AA11" t="str">
        <f t="shared" si="10"/>
        <v>B2</v>
      </c>
      <c r="AB11" s="5" t="s">
        <v>14</v>
      </c>
      <c r="AC11" s="16">
        <f>SUMIFS($D:$D,$E:$E,"FAUX",$G:$G,"B2",$M:$M,"A",$N:$N,"B*")*SUMIFS($J:$J,$E:$E,"VRAI",$I:$I,"A1",$F:$F,"B")</f>
        <v>29.98813677599442</v>
      </c>
      <c r="AD11" s="17">
        <f>SUMIFS($D:$D,$E:$E,"FAUX",$G:$G,"B2",$M:$M,"A",$N:$N,"B*")*SUMIFS($J:$J,$E:$E,"VRAI",$I:$I,"A2",$F:$F,"B")</f>
        <v>0</v>
      </c>
      <c r="AE11" s="17">
        <f>SUMIFS($D:$D,$E:$E,"FAUX",$G:$G,"B2",$M:$M,"A",$N:$N,"B*")*SUMIFS($J:$J,$E:$E,"VRAI",$I:$I,"A3",$F:$F,"B")</f>
        <v>19.011863224005584</v>
      </c>
      <c r="AF11" s="17">
        <f>SUMIFS($D:$D,$E:$E,"FAUX",$G:$G,"B2",$M:$M,"A",$N:$N,"B*")*SUMIFS($J:$J,$E:$E,"VRAI",$I:$I,"A4",$F:$F,"B")</f>
        <v>0</v>
      </c>
      <c r="AG11" s="17">
        <f>SUMIFS($D:$D,$E:$E,"FAUX",$G:$G,"B2",$M:$M,"A",$N:$N,"B*")*SUMIFS($J:$J,$E:$E,"VRAI",$I:$I,"A5",$F:$F,"B")</f>
        <v>0</v>
      </c>
      <c r="AH11" s="18">
        <f>SUMIFS($D:$D,$E:$E,"FAUX",$G:$G,"B2",$M:$M,"A",$N:$N,"B*")*SUMIFS($J:$J,$E:$E,"VRAI",$I:$I,"A6",$F:$F,"B")</f>
        <v>0</v>
      </c>
      <c r="AI11" s="43">
        <f>SUMIFS($D:$D,$O:$O,"B_2_1")</f>
        <v>49</v>
      </c>
      <c r="AJ11" s="43">
        <f>SUMIFS($D:$D,$O:$O,"B_2_2")</f>
        <v>0</v>
      </c>
      <c r="AK11" s="43">
        <f>SUMIFS($D:$D,$O:$O,"B_2_3")</f>
        <v>42</v>
      </c>
      <c r="AL11" s="43">
        <f>SUMIFS($D:$D,$O:$O,"B_2_4")</f>
        <v>108</v>
      </c>
      <c r="AM11" s="43">
        <f>SUMIFS($D:$D,$O:$O,"B_2_5")</f>
        <v>0</v>
      </c>
      <c r="AN11" s="36">
        <f>SUMIFS($D:$D,$O:$O,"B_2_6")</f>
        <v>0</v>
      </c>
      <c r="AO11" s="16">
        <f>SUMIFS($D:$D,$E:$E,"FAUX",$G:$G,"B2",$M:$M,"C",$N:$N,"B*")*SUMIFS($J:$J,$O:$O,"C_1_1")</f>
        <v>0</v>
      </c>
      <c r="AP11" s="17">
        <f>SUMIFS($D:$D,$E:$E,"FAUX",$G:$G,"B2",$M:$M,"C",$N:$N,"B*")*SUMIF(O:O,"C_1_2",J:J)</f>
        <v>0</v>
      </c>
      <c r="AQ11" s="17">
        <f>SUMIFS($D:$D,$E:$E,"FAUX",$G:$G,"B2",$M:$M,"C",$N:$N,"B*")*SUMIFS($J:$J,$O:$O,"C_1_3")</f>
        <v>42</v>
      </c>
      <c r="AR11" s="17">
        <f>SUMIFS($D:$D,$E:$E,"FAUX",$G:$G,"B2",$M:$M,"C",$N:$N,"B*")*SUMIFS($J:$J,$O:$O,"C_1_4")</f>
        <v>0</v>
      </c>
      <c r="AS11" s="17">
        <f>SUMIFS($D:$D,$E:$E,"FAUX",$G:$G,"B2",$M:$M,"C",$N:$N,"B*")*SUMIFS($J:$J,$O:$O,"C_1_5")</f>
        <v>0</v>
      </c>
      <c r="AT11" s="18">
        <f>SUMIFS($D:$D,$E:$E,"FAUX",$G:$G,"B2",$M:$M,"C",$N:$N,"B*")*SUMIFS($J:$J,$O:$O,"C_1_6")</f>
        <v>0</v>
      </c>
      <c r="AU11" s="46">
        <f>SUMIFS($D:$D,$E:$E,"FAUX",$G:$G,"B2",$M:$M,"C",$N:$N,"B*")*SUMIFS($J:$J,$E:$E,"VRAI",$F:$F,"B",$M:$M,"D")*SUMIFS($J:$J,$E:$E,"VRAI",$H:$H,"C",$I:$I,"D1")</f>
        <v>0</v>
      </c>
      <c r="AV11" s="47">
        <f>SUMIFS($D:$D,$E:$E,"FAUX",$G:$G,"B2",$M:$M,"C",$N:$N,"B*")*SUMIFS($J:$J,$E:$E,"VRAI",$F:$F,"B",$M:$M,"D")*SUMIFS($J:$J,$E:$E,"VRAI",$H:$H,"C",$I:$I,"D2")</f>
        <v>4.7236268526591108</v>
      </c>
      <c r="AW11" s="47">
        <f>SUMIFS($D:$D,$E:$E,"FAUX",$G:$G,"B2",$M:$M,"C",$N:$N,"B*")*SUMIFS($J:$J,$E:$E,"VRAI",$F:$F,"B",$M:$M,"D")*SUMIFS($J:$J,$E:$E,"VRAI",$H:$H,"C",$I:$I,"D3")</f>
        <v>34.713164777680909</v>
      </c>
      <c r="AX11" s="47">
        <f>SUMIFS($D:$D,$E:$E,"FAUX",$G:$G,"B2",$M:$M,"C",$N:$N,"B*")*SUMIFS($J:$J,$E:$E,"VRAI",$F:$F,"B",$M:$M,"D")*SUMIFS($J:$J,$E:$E,"VRAI",$H:$H,"C",$I:$I,"D4")</f>
        <v>2.5632083696599826</v>
      </c>
      <c r="AY11" s="47">
        <f>SUMIFS($D:$D,$E:$E,"FAUX",$G:$G,"B2",$M:$M,"C",$N:$N,"B*")*SUMIFS($J:$J,$E:$E,"VRAI",$F:$F,"B",$M:$M,"D")*SUMIFS($J:$J,$E:$E,"VRAI",$H:$H,"C",$I:$I,"D5")</f>
        <v>0</v>
      </c>
      <c r="AZ11" s="48">
        <f>SUMIFS($D:$D,$E:$E,"FAUX",$G:$G,"B2",$M:$M,"C",$N:$N,"B*")*SUMIFS($J:$J,$E:$E,"VRAI",$F:$F,"B",$M:$M,"D")*SUMIFS($J:$J,$E:$E,"VRAI",$H:$H,"C",$I:$I,"D6")</f>
        <v>0</v>
      </c>
      <c r="BA11" s="46">
        <f>SUMIFS($D:$D,$E:$E,"FAUX",$G:$G,"B2",$M:$M,"C",$N:$N,"B*")*SUMIFS($J:$J,$E:$E,"VRAI",$F:$F,"B",$M:$M,"D")*SUMIFS($J:$J,$E:$E,"VRAI",$F:$F,"C",$M:$M,"E")*SUMIFS($J:$J,$E:$E,"VRAI",$H:$H,"D",$I:$I,"E1")</f>
        <v>0</v>
      </c>
      <c r="BB11" s="47">
        <f>SUMIFS($D:$D,$E:$E,"FAUX",$G:$G,"B2",$M:$M,"C",$N:$N,"B*")*SUMIFS($J:$J,$E:$E,"VRAI",$F:$F,"B",$M:$M,"D")*SUMIFS($J:$J,$E:$E,"VRAI",$F:$F,"C",$M:$M,"E")*SUMIFS($J:$J,$E:$E,"VRAI",$H:$H,"D",$I:$I,"E2")</f>
        <v>32.782632004105793</v>
      </c>
      <c r="BC11" s="47">
        <f>SUMIFS($D:$D,$E:$E,"FAUX",$G:$G,"B2",$M:$M,"C",$N:$N,"B*")*SUMIFS($J:$J,$E:$E,"VRAI",$F:$F,"B",$M:$M,"D")*SUMIFS($J:$J,$E:$E,"VRAI",$F:$F,"C",$M:$M,"E")*SUMIFS($J:$J,$E:$E,"VRAI",$H:$H,"D",$I:$I,"E3")</f>
        <v>1.9305327735751188</v>
      </c>
      <c r="BD11" s="47">
        <f>SUMIFS($D:$D,$E:$E,"FAUX",$G:$G,"B2",$M:$M,"C",$N:$N,"B*")*SUMIFS($J:$J,$E:$E,"VRAI",$F:$F,"B",$M:$M,"D")*SUMIFS($J:$J,$E:$E,"VRAI",$F:$F,"C",$M:$M,"E")*SUMIFS($J:$J,$E:$E,"VRAI",$H:$H,"D",$I:$I,"E4")</f>
        <v>0</v>
      </c>
      <c r="BE11" s="47">
        <f>SUMIFS($D:$D,$E:$E,"FAUX",$G:$G,"B2",$M:$M,"C",$N:$N,"B*")*SUMIFS($J:$J,$E:$E,"VRAI",$F:$F,"B",$M:$M,"D")*SUMIFS($J:$J,$E:$E,"VRAI",$F:$F,"C",$M:$M,"E")*SUMIFS($J:$J,$E:$E,"VRAI",$H:$H,"D",$I:$I,"E5")</f>
        <v>0</v>
      </c>
      <c r="BF11" s="48">
        <f>SUMIFS($D:$D,$E:$E,"FAUX",$G:$G,"B2",$M:$M,"C",$N:$N,"B*")*SUMIFS($J:$J,$E:$E,"VRAI",$F:$F,"B",$M:$M,"D")*SUMIFS($J:$J,$E:$E,"VRAI",$F:$F,"C",$M:$M,"E")*SUMIFS($J:$J,$E:$E,"VRAI",$H:$H,"D",$I:$I,"E6")</f>
        <v>0</v>
      </c>
      <c r="BG11" s="46">
        <f>SUMIFS($D:$D,$E:$E,"FAUX",$G:$G,"B2",$M:$M,"C",$N:$N,"B*")*SUMIFS($J:$J,$E:$E,"VRAI",$F:$F,"B",$M:$M,"D")*SUMIFS($J:$J,$E:$E,"VRAI",$F:$F,"C",$M:$M,"E")*SUMIFS($J:$J,$E:$E,"VRAI",$F:$F,"D",$M:$M,"F")*SUMIFS($J:$J,$E:$E,"VRAI",$H:$H,"E",$I:$I,"F1")</f>
        <v>0</v>
      </c>
      <c r="BH11" s="47">
        <f>SUMIFS($D:$D,$E:$E,"FAUX",$G:$G,"B2",$M:$M,"C",$N:$N,"B*")*SUMIFS($J:$J,$E:$E,"VRAI",$F:$F,"B",$M:$M,"D")*SUMIFS($J:$J,$E:$E,"VRAI",$F:$F,"C",$M:$M,"E")*SUMIFS($J:$J,$E:$E,"VRAI",$F:$F,"D",$M:$M,"F")*SUMIFS($J:$J,$E:$E,"VRAI",$H:$H,"E",$I:$I,"F2")</f>
        <v>1.9824729257522347</v>
      </c>
      <c r="BI11" s="47">
        <f>SUMIFS($D:$D,$E:$E,"FAUX",$G:$G,"B2",$M:$M,"C",$N:$N,"B*")*SUMIFS($J:$J,$E:$E,"VRAI",$F:$F,"B",$M:$M,"D")*SUMIFS($J:$J,$E:$E,"VRAI",$F:$F,"C",$M:$M,"E")*SUMIFS($J:$J,$E:$E,"VRAI",$F:$F,"D",$M:$M,"F")*SUMIFS($J:$J,$E:$E,"VRAI",$H:$H,"E",$I:$I,"F3")</f>
        <v>26.547898310073403</v>
      </c>
      <c r="BJ11" s="47">
        <f>SUMIFS($D:$D,$E:$E,"FAUX",$G:$G,"B2",$M:$M,"C",$N:$N,"B*")*SUMIFS($J:$J,$E:$E,"VRAI",$F:$F,"B",$M:$M,"D")*SUMIFS($J:$J,$E:$E,"VRAI",$F:$F,"C",$M:$M,"E")*SUMIFS($J:$J,$E:$E,"VRAI",$F:$F,"D",$M:$M,"F")*SUMIFS($J:$J,$E:$E,"VRAI",$H:$H,"E",$I:$I,"F4")</f>
        <v>4.2522607682801548</v>
      </c>
      <c r="BK11" s="47">
        <f>SUMIFS($D:$D,$E:$E,"FAUX",$G:$G,"B2",$M:$M,"C",$N:$N,"B*")*SUMIFS($J:$J,$E:$E,"VRAI",$F:$F,"B",$M:$M,"D")*SUMIFS($J:$J,$E:$E,"VRAI",$F:$F,"C",$M:$M,"E")*SUMIFS($J:$J,$E:$E,"VRAI",$F:$F,"D",$M:$M,"F")*SUMIFS($J:$J,$E:$E,"VRAI",$H:$H,"E",$I:$I,"F5")</f>
        <v>0</v>
      </c>
      <c r="BL11" s="47">
        <f>SUMIFS($D:$D,$E:$E,"FAUX",$G:$G,"B2",$M:$M,"C",$N:$N,"B*")*SUMIFS($J:$J,$E:$E,"VRAI",$F:$F,"B",$M:$M,"D")*SUMIFS($J:$J,$E:$E,"VRAI",$F:$F,"C",$M:$M,"E")*SUMIFS($J:$J,$E:$E,"VRAI",$F:$F,"D",$M:$M,"F")*SUMIFS($J:$J,$E:$E,"VRAI",$H:$H,"E",$I:$I,"F6")</f>
        <v>0</v>
      </c>
      <c r="BM11" s="46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2")</f>
        <v>26.352513593899911</v>
      </c>
      <c r="BO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3")</f>
        <v>0.19538471617349332</v>
      </c>
      <c r="BP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1" s="48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1" s="46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23.988133018837463</v>
      </c>
      <c r="BV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2.3643805750624485</v>
      </c>
      <c r="BW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1" s="46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23.988133018837463</v>
      </c>
      <c r="CA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1" s="46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4.1388583210071825</v>
      </c>
      <c r="CG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15.79664259184408</v>
      </c>
      <c r="CH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4.0526321059862003</v>
      </c>
      <c r="CI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1" s="46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9.6458725778216987</v>
      </c>
      <c r="CM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6.1507700140223811</v>
      </c>
      <c r="CN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1" s="47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1" s="48">
        <f>SUMIFS($D:$D,$E:$E,"FAUX",$G:$G,"B2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2" spans="1:94">
      <c r="A12" s="35" t="s">
        <v>8</v>
      </c>
      <c r="B12" s="35">
        <v>2</v>
      </c>
      <c r="C12" s="35">
        <v>1</v>
      </c>
      <c r="D12" s="35">
        <v>838</v>
      </c>
      <c r="E12" s="35" t="b">
        <v>0</v>
      </c>
      <c r="F12" s="35"/>
      <c r="G12" s="53" t="str">
        <f t="shared" si="0"/>
        <v>A2</v>
      </c>
      <c r="H12" s="52" t="str">
        <f t="shared" si="5"/>
        <v/>
      </c>
      <c r="I12" s="41" t="str">
        <f t="shared" si="1"/>
        <v>A1</v>
      </c>
      <c r="J12" s="42">
        <f t="shared" si="2"/>
        <v>1</v>
      </c>
      <c r="K12" s="41">
        <f t="shared" si="6"/>
        <v>838</v>
      </c>
      <c r="L12" s="41" t="str">
        <f t="shared" si="3"/>
        <v/>
      </c>
      <c r="M12" s="41" t="str">
        <f t="shared" si="7"/>
        <v/>
      </c>
      <c r="N12" s="41" t="str">
        <f>IFERROR(VLOOKUP(I12,L12:L:L,1,FALSE),"")</f>
        <v/>
      </c>
      <c r="O12" s="56" t="str">
        <f t="shared" si="8"/>
        <v>A_2_1</v>
      </c>
      <c r="U12" t="s">
        <v>30</v>
      </c>
      <c r="V12">
        <f>SUMIFS(D:D,A:A,"B",B:B,"1")</f>
        <v>962</v>
      </c>
      <c r="Z12" t="str">
        <f t="shared" si="9"/>
        <v>B3</v>
      </c>
      <c r="AA12" t="str">
        <f t="shared" si="10"/>
        <v>B3</v>
      </c>
      <c r="AB12" s="5" t="s">
        <v>31</v>
      </c>
      <c r="AC12" s="16">
        <f>SUMIFS($D:$D,$E:$E,"FAUX",$G:$G,"B3",$M:$M,"A",$N:$N,"B*")*SUMIFS($J:$J,$E:$E,"VRAI",$I:$I,"A1",$F:$F,"B")</f>
        <v>0</v>
      </c>
      <c r="AD12" s="17">
        <f>SUMIFS($D:$D,$E:$E,"FAUX",$G:$G,"B3",$M:$M,"A",$N:$N,"B*")*SUMIFS($J:$J,$E:$E,"VRAI",$I:$I,"A2",$F:$F,"B")</f>
        <v>0</v>
      </c>
      <c r="AE12" s="17">
        <f>SUMIFS($D:$D,$E:$E,"FAUX",$G:$G,"B3",$M:$M,"A",$N:$N,"B*")*SUMIFS($J:$J,$E:$E,"VRAI",$I:$I,"A3",$F:$F,"B")</f>
        <v>0</v>
      </c>
      <c r="AF12" s="17">
        <f>SUMIFS($D:$D,$E:$E,"FAUX",$G:$G,"B3",$M:$M,"A",$N:$N,"B*")*SUMIFS($J:$J,$E:$E,"VRAI",$I:$I,"A4",$F:$F,"B")</f>
        <v>0</v>
      </c>
      <c r="AG12" s="17">
        <f>SUMIFS($D:$D,$E:$E,"FAUX",$G:$G,"B3",$M:$M,"A",$N:$N,"B*")*SUMIFS($J:$J,$E:$E,"VRAI",$I:$I,"A5",$F:$F,"B")</f>
        <v>0</v>
      </c>
      <c r="AH12" s="18">
        <f>SUMIFS($D:$D,$E:$E,"FAUX",$G:$G,"B3",$M:$M,"A",$N:$N,"B*")*SUMIFS($J:$J,$E:$E,"VRAI",$I:$I,"A6",$F:$F,"B")</f>
        <v>0</v>
      </c>
      <c r="AI12" s="43">
        <f>SUMIFS($D:$D,$O:$O,"B_3_1")</f>
        <v>831</v>
      </c>
      <c r="AJ12" s="43">
        <f>SUMIFS($D:$D,$O:$O,"B_3_2")</f>
        <v>0</v>
      </c>
      <c r="AK12" s="43">
        <f>SUMIFS($D:$D,$O:$O,"B_3_3")</f>
        <v>0</v>
      </c>
      <c r="AL12" s="43">
        <f>SUMIFS($D:$D,$O:$O,"B_3_4")</f>
        <v>67</v>
      </c>
      <c r="AM12" s="43">
        <f>SUMIFS($D:$D,$O:$O,"B_3_5")</f>
        <v>0</v>
      </c>
      <c r="AN12" s="36">
        <f>SUMIFS($D:$D,$O:$O,"B_3_6")</f>
        <v>0</v>
      </c>
      <c r="AO12" s="16">
        <f>SUMIFS($D:$D,$E:$E,"FAUX",$G:$G,"B3",$M:$M,"C",$N:$N,"B*")*SUMIFS($J:$J,$O:$O,"C_1_1")</f>
        <v>0</v>
      </c>
      <c r="AP12" s="17">
        <f>SUMIFS($D:$D,$E:$E,"FAUX",$G:$G,"B3",$M:$M,"C",$N:$N,"B*")*SUMIF(O:O,"C_1_2",J:J)</f>
        <v>0</v>
      </c>
      <c r="AQ12" s="17">
        <f>SUMIFS($D:$D,$E:$E,"FAUX",$G:$G,"B3",$M:$M,"C",$N:$N,"B*")*SUMIFS($J:$J,$O:$O,"C_1_3")</f>
        <v>0</v>
      </c>
      <c r="AR12" s="17">
        <f>SUMIFS($D:$D,$E:$E,"FAUX",$G:$G,"B3",$M:$M,"C",$N:$N,"B*")*SUMIFS($J:$J,$O:$O,"C_1_4")</f>
        <v>0</v>
      </c>
      <c r="AS12" s="17">
        <f>SUMIFS($D:$D,$E:$E,"FAUX",$G:$G,"B3",$M:$M,"C",$N:$N,"B*")*SUMIFS($J:$J,$O:$O,"C_1_5")</f>
        <v>0</v>
      </c>
      <c r="AT12" s="18">
        <f>SUMIFS($D:$D,$E:$E,"FAUX",$G:$G,"B3",$M:$M,"C",$N:$N,"B*")*SUMIFS($J:$J,$O:$O,"C_1_6")</f>
        <v>0</v>
      </c>
      <c r="AU12" s="46">
        <f>SUMIFS($D:$D,$E:$E,"FAUX",$G:$G,"B3",$M:$M,"C",$N:$N,"B*")*SUMIFS($J:$J,$E:$E,"VRAI",$F:$F,"B",$M:$M,"D")*SUMIFS($J:$J,$E:$E,"VRAI",$H:$H,"C",$I:$I,"D1")</f>
        <v>0</v>
      </c>
      <c r="AV12" s="47">
        <f>SUMIFS($D:$D,$E:$E,"FAUX",$G:$G,"B3",$M:$M,"C",$N:$N,"B*")*SUMIFS($J:$J,$E:$E,"VRAI",$F:$F,"B",$M:$M,"D")*SUMIFS($J:$J,$E:$E,"VRAI",$H:$H,"C",$I:$I,"D2")</f>
        <v>0</v>
      </c>
      <c r="AW12" s="47">
        <f>SUMIFS($D:$D,$E:$E,"FAUX",$G:$G,"B3",$M:$M,"C",$N:$N,"B*")*SUMIFS($J:$J,$E:$E,"VRAI",$F:$F,"B",$M:$M,"D")*SUMIFS($J:$J,$E:$E,"VRAI",$H:$H,"C",$I:$I,"D3")</f>
        <v>0</v>
      </c>
      <c r="AX12" s="47">
        <f>SUMIFS($D:$D,$E:$E,"FAUX",$G:$G,"B3",$M:$M,"C",$N:$N,"B*")*SUMIFS($J:$J,$E:$E,"VRAI",$F:$F,"B",$M:$M,"D")*SUMIFS($J:$J,$E:$E,"VRAI",$H:$H,"C",$I:$I,"D4")</f>
        <v>0</v>
      </c>
      <c r="AY12" s="47">
        <f>SUMIFS($D:$D,$E:$E,"FAUX",$G:$G,"B3",$M:$M,"C",$N:$N,"B*")*SUMIFS($J:$J,$E:$E,"VRAI",$F:$F,"B",$M:$M,"D")*SUMIFS($J:$J,$E:$E,"VRAI",$H:$H,"C",$I:$I,"D5")</f>
        <v>0</v>
      </c>
      <c r="AZ12" s="48">
        <f>SUMIFS($D:$D,$E:$E,"FAUX",$G:$G,"B3",$M:$M,"C",$N:$N,"B*")*SUMIFS($J:$J,$E:$E,"VRAI",$F:$F,"B",$M:$M,"D")*SUMIFS($J:$J,$E:$E,"VRAI",$H:$H,"C",$I:$I,"D6")</f>
        <v>0</v>
      </c>
      <c r="BA12" s="46">
        <f>SUMIFS($D:$D,$E:$E,"FAUX",$G:$G,"B3",$M:$M,"C",$N:$N,"B*")*SUMIFS($J:$J,$E:$E,"VRAI",$F:$F,"B",$M:$M,"D")*SUMIFS($J:$J,$E:$E,"VRAI",$F:$F,"C",$M:$M,"E")*SUMIFS($J:$J,$E:$E,"VRAI",$H:$H,"D",$I:$I,"E1")</f>
        <v>0</v>
      </c>
      <c r="BB12" s="47">
        <f>SUMIFS($D:$D,$E:$E,"FAUX",$G:$G,"B3",$M:$M,"C",$N:$N,"B*")*SUMIFS($J:$J,$E:$E,"VRAI",$F:$F,"B",$M:$M,"D")*SUMIFS($J:$J,$E:$E,"VRAI",$F:$F,"C",$M:$M,"E")*SUMIFS($J:$J,$E:$E,"VRAI",$H:$H,"D",$I:$I,"E2")</f>
        <v>0</v>
      </c>
      <c r="BC12" s="47">
        <f>SUMIFS($D:$D,$E:$E,"FAUX",$G:$G,"B3",$M:$M,"C",$N:$N,"B*")*SUMIFS($J:$J,$E:$E,"VRAI",$F:$F,"B",$M:$M,"D")*SUMIFS($J:$J,$E:$E,"VRAI",$F:$F,"C",$M:$M,"E")*SUMIFS($J:$J,$E:$E,"VRAI",$H:$H,"D",$I:$I,"E3")</f>
        <v>0</v>
      </c>
      <c r="BD12" s="47">
        <f>SUMIFS($D:$D,$E:$E,"FAUX",$G:$G,"B3",$M:$M,"C",$N:$N,"B*")*SUMIFS($J:$J,$E:$E,"VRAI",$F:$F,"B",$M:$M,"D")*SUMIFS($J:$J,$E:$E,"VRAI",$F:$F,"C",$M:$M,"E")*SUMIFS($J:$J,$E:$E,"VRAI",$H:$H,"D",$I:$I,"E4")</f>
        <v>0</v>
      </c>
      <c r="BE12" s="47">
        <f>SUMIFS($D:$D,$E:$E,"FAUX",$G:$G,"B3",$M:$M,"C",$N:$N,"B*")*SUMIFS($J:$J,$E:$E,"VRAI",$F:$F,"B",$M:$M,"D")*SUMIFS($J:$J,$E:$E,"VRAI",$F:$F,"C",$M:$M,"E")*SUMIFS($J:$J,$E:$E,"VRAI",$H:$H,"D",$I:$I,"E5")</f>
        <v>0</v>
      </c>
      <c r="BF12" s="48">
        <f>SUMIFS($D:$D,$E:$E,"FAUX",$G:$G,"B3",$M:$M,"C",$N:$N,"B*")*SUMIFS($J:$J,$E:$E,"VRAI",$F:$F,"B",$M:$M,"D")*SUMIFS($J:$J,$E:$E,"VRAI",$F:$F,"C",$M:$M,"E")*SUMIFS($J:$J,$E:$E,"VRAI",$H:$H,"D",$I:$I,"E6")</f>
        <v>0</v>
      </c>
      <c r="BG12" s="46">
        <f>SUMIFS($D:$D,$E:$E,"FAUX",$G:$G,"B3",$M:$M,"C",$N:$N,"B*")*SUMIFS($J:$J,$E:$E,"VRAI",$F:$F,"B",$M:$M,"D")*SUMIFS($J:$J,$E:$E,"VRAI",$F:$F,"C",$M:$M,"E")*SUMIFS($J:$J,$E:$E,"VRAI",$F:$F,"D",$M:$M,"F")*SUMIFS($J:$J,$E:$E,"VRAI",$H:$H,"E",$I:$I,"F1")</f>
        <v>0</v>
      </c>
      <c r="BH12" s="47">
        <f>SUMIFS($D:$D,$E:$E,"FAUX",$G:$G,"B3",$M:$M,"C",$N:$N,"B*")*SUMIFS($J:$J,$E:$E,"VRAI",$F:$F,"B",$M:$M,"D")*SUMIFS($J:$J,$E:$E,"VRAI",$F:$F,"C",$M:$M,"E")*SUMIFS($J:$J,$E:$E,"VRAI",$F:$F,"D",$M:$M,"F")*SUMIFS($J:$J,$E:$E,"VRAI",$H:$H,"E",$I:$I,"F2")</f>
        <v>0</v>
      </c>
      <c r="BI12" s="47">
        <f>SUMIFS($D:$D,$E:$E,"FAUX",$G:$G,"B3",$M:$M,"C",$N:$N,"B*")*SUMIFS($J:$J,$E:$E,"VRAI",$F:$F,"B",$M:$M,"D")*SUMIFS($J:$J,$E:$E,"VRAI",$F:$F,"C",$M:$M,"E")*SUMIFS($J:$J,$E:$E,"VRAI",$F:$F,"D",$M:$M,"F")*SUMIFS($J:$J,$E:$E,"VRAI",$H:$H,"E",$I:$I,"F3")</f>
        <v>0</v>
      </c>
      <c r="BJ12" s="47">
        <f>SUMIFS($D:$D,$E:$E,"FAUX",$G:$G,"B3",$M:$M,"C",$N:$N,"B*")*SUMIFS($J:$J,$E:$E,"VRAI",$F:$F,"B",$M:$M,"D")*SUMIFS($J:$J,$E:$E,"VRAI",$F:$F,"C",$M:$M,"E")*SUMIFS($J:$J,$E:$E,"VRAI",$F:$F,"D",$M:$M,"F")*SUMIFS($J:$J,$E:$E,"VRAI",$H:$H,"E",$I:$I,"F4")</f>
        <v>0</v>
      </c>
      <c r="BK12" s="47">
        <f>SUMIFS($D:$D,$E:$E,"FAUX",$G:$G,"B3",$M:$M,"C",$N:$N,"B*")*SUMIFS($J:$J,$E:$E,"VRAI",$F:$F,"B",$M:$M,"D")*SUMIFS($J:$J,$E:$E,"VRAI",$F:$F,"C",$M:$M,"E")*SUMIFS($J:$J,$E:$E,"VRAI",$F:$F,"D",$M:$M,"F")*SUMIFS($J:$J,$E:$E,"VRAI",$H:$H,"E",$I:$I,"F5")</f>
        <v>0</v>
      </c>
      <c r="BL12" s="47">
        <f>SUMIFS($D:$D,$E:$E,"FAUX",$G:$G,"B3",$M:$M,"C",$N:$N,"B*")*SUMIFS($J:$J,$E:$E,"VRAI",$F:$F,"B",$M:$M,"D")*SUMIFS($J:$J,$E:$E,"VRAI",$F:$F,"C",$M:$M,"E")*SUMIFS($J:$J,$E:$E,"VRAI",$F:$F,"D",$M:$M,"F")*SUMIFS($J:$J,$E:$E,"VRAI",$H:$H,"E",$I:$I,"F6")</f>
        <v>0</v>
      </c>
      <c r="BM12" s="46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2" s="48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2" s="46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2" s="46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2" s="46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2" s="46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2" s="47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2" s="48">
        <f>SUMIFS($D:$D,$E:$E,"FAUX",$G:$G,"B3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3" spans="1:94">
      <c r="A13" s="35" t="s">
        <v>8</v>
      </c>
      <c r="B13" s="35">
        <v>2</v>
      </c>
      <c r="C13" s="35">
        <v>2</v>
      </c>
      <c r="D13" s="35">
        <v>0</v>
      </c>
      <c r="E13" s="35" t="b">
        <v>0</v>
      </c>
      <c r="F13" s="35"/>
      <c r="G13" s="53" t="str">
        <f t="shared" si="0"/>
        <v>A2</v>
      </c>
      <c r="H13" s="52" t="str">
        <f t="shared" si="5"/>
        <v/>
      </c>
      <c r="I13" s="41" t="str">
        <f t="shared" si="1"/>
        <v>A2</v>
      </c>
      <c r="J13" s="42">
        <f t="shared" si="2"/>
        <v>0</v>
      </c>
      <c r="K13" s="41">
        <f t="shared" si="6"/>
        <v>838</v>
      </c>
      <c r="L13" s="41" t="str">
        <f t="shared" si="3"/>
        <v/>
      </c>
      <c r="M13" s="41" t="str">
        <f t="shared" si="7"/>
        <v/>
      </c>
      <c r="N13" s="41" t="str">
        <f>IFERROR(VLOOKUP(I13,L13:L:L,1,FALSE),"")</f>
        <v/>
      </c>
      <c r="O13" s="56" t="str">
        <f t="shared" si="8"/>
        <v>A_2_2</v>
      </c>
      <c r="U13" t="s">
        <v>14</v>
      </c>
      <c r="V13">
        <f>SUMIFS(D:D,A:A,"B",B:B,"2")</f>
        <v>199</v>
      </c>
      <c r="Z13" t="e">
        <f t="shared" si="9"/>
        <v>#N/A</v>
      </c>
      <c r="AA13" t="str">
        <f t="shared" si="10"/>
        <v>B4</v>
      </c>
      <c r="AB13" s="5" t="s">
        <v>15</v>
      </c>
      <c r="AC13" s="16">
        <f>SUMIFS($D:$D,$E:$E,"FAUX",$G:$G,"B4",$M:$M,"A",$N:$N,"B*")*SUMIFS($J:$J,$E:$E,"VRAI",$I:$I,"A1",$F:$F,"B")</f>
        <v>376.38171667829732</v>
      </c>
      <c r="AD13" s="17">
        <f>SUMIFS($D:$D,$E:$E,"FAUX",$G:$G,"B4",$M:$M,"A",$N:$N,"B*")*SUMIFS($J:$J,$E:$E,"VRAI",$I:$I,"A2",$F:$F,"B")</f>
        <v>0</v>
      </c>
      <c r="AE13" s="17">
        <f>SUMIFS($D:$D,$E:$E,"FAUX",$G:$G,"B4",$M:$M,"A",$N:$N,"B*")*SUMIFS($J:$J,$E:$E,"VRAI",$I:$I,"A3",$F:$F,"B")</f>
        <v>238.61828332170273</v>
      </c>
      <c r="AF13" s="17">
        <f>SUMIFS($D:$D,$E:$E,"FAUX",$G:$G,"B4",$M:$M,"A",$N:$N,"B*")*SUMIFS($J:$J,$E:$E,"VRAI",$I:$I,"A4",$F:$F,"B")</f>
        <v>0</v>
      </c>
      <c r="AG13" s="17">
        <f>SUMIFS($D:$D,$E:$E,"FAUX",$G:$G,"B4",$M:$M,"A",$N:$N,"B*")*SUMIFS($J:$J,$E:$E,"VRAI",$I:$I,"A5",$F:$F,"B")</f>
        <v>0</v>
      </c>
      <c r="AH13" s="18">
        <f>SUMIFS($D:$D,$E:$E,"FAUX",$G:$G,"B4",$M:$M,"A",$N:$N,"B*")*SUMIFS($J:$J,$E:$E,"VRAI",$I:$I,"A6",$F:$F,"B")</f>
        <v>0</v>
      </c>
      <c r="AI13" s="43">
        <f>SUMIFS($D:$D,$O:$O,"B_4_1")</f>
        <v>615</v>
      </c>
      <c r="AJ13" s="43">
        <f>SUMIFS($D:$D,$O:$O,"B_4_2")</f>
        <v>0</v>
      </c>
      <c r="AK13" s="43">
        <f>SUMIFS($D:$D,$O:$O,"B_4_3")</f>
        <v>116</v>
      </c>
      <c r="AL13" s="43">
        <f>SUMIFS($D:$D,$O:$O,"B_4_4")</f>
        <v>0</v>
      </c>
      <c r="AM13" s="43">
        <f>SUMIFS($D:$D,$O:$O,"B_4_5")</f>
        <v>0</v>
      </c>
      <c r="AN13" s="36">
        <f>SUMIFS($D:$D,$O:$O,"B_4_6")</f>
        <v>0</v>
      </c>
      <c r="AO13" s="16">
        <f>SUMIFS($D:$D,$E:$E,"FAUX",$G:$G,"B4",$M:$M,"C",$N:$N,"B*")*SUMIFS($J:$J,$O:$O,"C_1_1")</f>
        <v>0</v>
      </c>
      <c r="AP13" s="17">
        <f>SUMIFS($D:$D,$E:$E,"FAUX",$G:$G,"B4",$M:$M,"C",$N:$N,"B*")*SUMIF(O:O,"C_1_2",J:J)</f>
        <v>0</v>
      </c>
      <c r="AQ13" s="17">
        <f>SUMIFS($D:$D,$E:$E,"FAUX",$G:$G,"B4",$M:$M,"C",$N:$N,"B*")*SUMIFS($J:$J,$O:$O,"C_1_3")</f>
        <v>116</v>
      </c>
      <c r="AR13" s="17">
        <f>SUMIFS($D:$D,$E:$E,"FAUX",$G:$G,"B4",$M:$M,"C",$N:$N,"B*")*SUMIFS($J:$J,$O:$O,"C_1_4")</f>
        <v>0</v>
      </c>
      <c r="AS13" s="17">
        <f>SUMIFS($D:$D,$E:$E,"FAUX",$G:$G,"B4",$M:$M,"C",$N:$N,"B*")*SUMIFS($J:$J,$O:$O,"C_1_5")</f>
        <v>0</v>
      </c>
      <c r="AT13" s="18">
        <f>SUMIFS($D:$D,$E:$E,"FAUX",$G:$G,"B4",$M:$M,"C",$N:$N,"B*")*SUMIFS($J:$J,$O:$O,"C_1_6")</f>
        <v>0</v>
      </c>
      <c r="AU13" s="46">
        <f>SUMIFS($D:$D,$E:$E,"FAUX",$G:$G,"B4",$M:$M,"C",$N:$N,"B*")*SUMIFS($J:$J,$E:$E,"VRAI",$F:$F,"B",$M:$M,"D")*SUMIFS($J:$J,$E:$E,"VRAI",$H:$H,"C",$I:$I,"D1")</f>
        <v>0</v>
      </c>
      <c r="AV13" s="47">
        <f>SUMIFS($D:$D,$E:$E,"FAUX",$G:$G,"B4",$M:$M,"C",$N:$N,"B*")*SUMIFS($J:$J,$E:$E,"VRAI",$F:$F,"B",$M:$M,"D")*SUMIFS($J:$J,$E:$E,"VRAI",$H:$H,"C",$I:$I,"D2")</f>
        <v>13.046207497820401</v>
      </c>
      <c r="AW13" s="47">
        <f>SUMIFS($D:$D,$E:$E,"FAUX",$G:$G,"B4",$M:$M,"C",$N:$N,"B*")*SUMIFS($J:$J,$E:$E,"VRAI",$F:$F,"B",$M:$M,"D")*SUMIFS($J:$J,$E:$E,"VRAI",$H:$H,"C",$I:$I,"D3")</f>
        <v>95.874455100261557</v>
      </c>
      <c r="AX13" s="47">
        <f>SUMIFS($D:$D,$E:$E,"FAUX",$G:$G,"B4",$M:$M,"C",$N:$N,"B*")*SUMIFS($J:$J,$E:$E,"VRAI",$F:$F,"B",$M:$M,"D")*SUMIFS($J:$J,$E:$E,"VRAI",$H:$H,"C",$I:$I,"D4")</f>
        <v>7.0793374019180471</v>
      </c>
      <c r="AY13" s="47">
        <f>SUMIFS($D:$D,$E:$E,"FAUX",$G:$G,"B4",$M:$M,"C",$N:$N,"B*")*SUMIFS($J:$J,$E:$E,"VRAI",$F:$F,"B",$M:$M,"D")*SUMIFS($J:$J,$E:$E,"VRAI",$H:$H,"C",$I:$I,"D5")</f>
        <v>0</v>
      </c>
      <c r="AZ13" s="48">
        <f>SUMIFS($D:$D,$E:$E,"FAUX",$G:$G,"B4",$M:$M,"C",$N:$N,"B*")*SUMIFS($J:$J,$E:$E,"VRAI",$F:$F,"B",$M:$M,"D")*SUMIFS($J:$J,$E:$E,"VRAI",$H:$H,"C",$I:$I,"D6")</f>
        <v>0</v>
      </c>
      <c r="BA13" s="46">
        <f>SUMIFS($D:$D,$E:$E,"FAUX",$G:$G,"B4",$M:$M,"C",$N:$N,"B*")*SUMIFS($J:$J,$E:$E,"VRAI",$F:$F,"B",$M:$M,"D")*SUMIFS($J:$J,$E:$E,"VRAI",$F:$F,"C",$M:$M,"E")*SUMIFS($J:$J,$E:$E,"VRAI",$H:$H,"D",$I:$I,"E1")</f>
        <v>0</v>
      </c>
      <c r="BB13" s="47">
        <f>SUMIFS($D:$D,$E:$E,"FAUX",$G:$G,"B4",$M:$M,"C",$N:$N,"B*")*SUMIFS($J:$J,$E:$E,"VRAI",$F:$F,"B",$M:$M,"D")*SUMIFS($J:$J,$E:$E,"VRAI",$F:$F,"C",$M:$M,"E")*SUMIFS($J:$J,$E:$E,"VRAI",$H:$H,"D",$I:$I,"E2")</f>
        <v>90.542507439911233</v>
      </c>
      <c r="BC13" s="47">
        <f>SUMIFS($D:$D,$E:$E,"FAUX",$G:$G,"B4",$M:$M,"C",$N:$N,"B*")*SUMIFS($J:$J,$E:$E,"VRAI",$F:$F,"B",$M:$M,"D")*SUMIFS($J:$J,$E:$E,"VRAI",$F:$F,"C",$M:$M,"E")*SUMIFS($J:$J,$E:$E,"VRAI",$H:$H,"D",$I:$I,"E3")</f>
        <v>5.3319476603503277</v>
      </c>
      <c r="BD13" s="47">
        <f>SUMIFS($D:$D,$E:$E,"FAUX",$G:$G,"B4",$M:$M,"C",$N:$N,"B*")*SUMIFS($J:$J,$E:$E,"VRAI",$F:$F,"B",$M:$M,"D")*SUMIFS($J:$J,$E:$E,"VRAI",$F:$F,"C",$M:$M,"E")*SUMIFS($J:$J,$E:$E,"VRAI",$H:$H,"D",$I:$I,"E4")</f>
        <v>0</v>
      </c>
      <c r="BE13" s="47">
        <f>SUMIFS($D:$D,$E:$E,"FAUX",$G:$G,"B4",$M:$M,"C",$N:$N,"B*")*SUMIFS($J:$J,$E:$E,"VRAI",$F:$F,"B",$M:$M,"D")*SUMIFS($J:$J,$E:$E,"VRAI",$F:$F,"C",$M:$M,"E")*SUMIFS($J:$J,$E:$E,"VRAI",$H:$H,"D",$I:$I,"E5")</f>
        <v>0</v>
      </c>
      <c r="BF13" s="48">
        <f>SUMIFS($D:$D,$E:$E,"FAUX",$G:$G,"B4",$M:$M,"C",$N:$N,"B*")*SUMIFS($J:$J,$E:$E,"VRAI",$F:$F,"B",$M:$M,"D")*SUMIFS($J:$J,$E:$E,"VRAI",$F:$F,"C",$M:$M,"E")*SUMIFS($J:$J,$E:$E,"VRAI",$H:$H,"D",$I:$I,"E6")</f>
        <v>0</v>
      </c>
      <c r="BG13" s="46">
        <f>SUMIFS($D:$D,$E:$E,"FAUX",$G:$G,"B4",$M:$M,"C",$N:$N,"B*")*SUMIFS($J:$J,$E:$E,"VRAI",$F:$F,"B",$M:$M,"D")*SUMIFS($J:$J,$E:$E,"VRAI",$F:$F,"C",$M:$M,"E")*SUMIFS($J:$J,$E:$E,"VRAI",$F:$F,"D",$M:$M,"F")*SUMIFS($J:$J,$E:$E,"VRAI",$H:$H,"E",$I:$I,"F1")</f>
        <v>0</v>
      </c>
      <c r="BH13" s="47">
        <f>SUMIFS($D:$D,$E:$E,"FAUX",$G:$G,"B4",$M:$M,"C",$N:$N,"B*")*SUMIFS($J:$J,$E:$E,"VRAI",$F:$F,"B",$M:$M,"D")*SUMIFS($J:$J,$E:$E,"VRAI",$F:$F,"C",$M:$M,"E")*SUMIFS($J:$J,$E:$E,"VRAI",$F:$F,"D",$M:$M,"F")*SUMIFS($J:$J,$E:$E,"VRAI",$H:$H,"E",$I:$I,"F2")</f>
        <v>5.4754014139823619</v>
      </c>
      <c r="BI13" s="47">
        <f>SUMIFS($D:$D,$E:$E,"FAUX",$G:$G,"B4",$M:$M,"C",$N:$N,"B*")*SUMIFS($J:$J,$E:$E,"VRAI",$F:$F,"B",$M:$M,"D")*SUMIFS($J:$J,$E:$E,"VRAI",$F:$F,"C",$M:$M,"E")*SUMIFS($J:$J,$E:$E,"VRAI",$F:$F,"D",$M:$M,"F")*SUMIFS($J:$J,$E:$E,"VRAI",$H:$H,"E",$I:$I,"F3")</f>
        <v>73.322766761155108</v>
      </c>
      <c r="BJ13" s="47">
        <f>SUMIFS($D:$D,$E:$E,"FAUX",$G:$G,"B4",$M:$M,"C",$N:$N,"B*")*SUMIFS($J:$J,$E:$E,"VRAI",$F:$F,"B",$M:$M,"D")*SUMIFS($J:$J,$E:$E,"VRAI",$F:$F,"C",$M:$M,"E")*SUMIFS($J:$J,$E:$E,"VRAI",$F:$F,"D",$M:$M,"F")*SUMIFS($J:$J,$E:$E,"VRAI",$H:$H,"E",$I:$I,"F4")</f>
        <v>11.744339264773762</v>
      </c>
      <c r="BK13" s="47">
        <f>SUMIFS($D:$D,$E:$E,"FAUX",$G:$G,"B4",$M:$M,"C",$N:$N,"B*")*SUMIFS($J:$J,$E:$E,"VRAI",$F:$F,"B",$M:$M,"D")*SUMIFS($J:$J,$E:$E,"VRAI",$F:$F,"C",$M:$M,"E")*SUMIFS($J:$J,$E:$E,"VRAI",$F:$F,"D",$M:$M,"F")*SUMIFS($J:$J,$E:$E,"VRAI",$H:$H,"E",$I:$I,"F5")</f>
        <v>0</v>
      </c>
      <c r="BL13" s="47">
        <f>SUMIFS($D:$D,$E:$E,"FAUX",$G:$G,"B4",$M:$M,"C",$N:$N,"B*")*SUMIFS($J:$J,$E:$E,"VRAI",$F:$F,"B",$M:$M,"D")*SUMIFS($J:$J,$E:$E,"VRAI",$F:$F,"C",$M:$M,"E")*SUMIFS($J:$J,$E:$E,"VRAI",$F:$F,"D",$M:$M,"F")*SUMIFS($J:$J,$E:$E,"VRAI",$H:$H,"E",$I:$I,"F6")</f>
        <v>0</v>
      </c>
      <c r="BM13" s="46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2")</f>
        <v>72.783132783152126</v>
      </c>
      <c r="BO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3")</f>
        <v>0.53963397800298152</v>
      </c>
      <c r="BP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3" s="48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3" s="46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66.252938813932033</v>
      </c>
      <c r="BV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6.530193969220095</v>
      </c>
      <c r="BW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3" s="46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66.252938813932033</v>
      </c>
      <c r="CA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3" s="46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11.431132505638885</v>
      </c>
      <c r="CG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43.628822396521741</v>
      </c>
      <c r="CH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11.192983911771409</v>
      </c>
      <c r="CI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3" s="46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26.640981405412308</v>
      </c>
      <c r="CM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16.987840991109433</v>
      </c>
      <c r="CN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3" s="47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3" s="48">
        <f>SUMIFS($D:$D,$E:$E,"FAUX",$G:$G,"B4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4" spans="1:94">
      <c r="A14" s="35" t="s">
        <v>8</v>
      </c>
      <c r="B14" s="35">
        <v>3</v>
      </c>
      <c r="C14" s="35">
        <v>4</v>
      </c>
      <c r="D14" s="35">
        <v>431</v>
      </c>
      <c r="E14" s="35" t="b">
        <v>0</v>
      </c>
      <c r="F14" s="35"/>
      <c r="G14" s="53" t="str">
        <f t="shared" si="0"/>
        <v>A3</v>
      </c>
      <c r="H14" s="52" t="str">
        <f t="shared" si="5"/>
        <v/>
      </c>
      <c r="I14" s="41" t="str">
        <f t="shared" si="1"/>
        <v>A4</v>
      </c>
      <c r="J14" s="42">
        <f t="shared" si="2"/>
        <v>0.36340640809443508</v>
      </c>
      <c r="K14" s="41">
        <f t="shared" si="6"/>
        <v>1186</v>
      </c>
      <c r="L14" s="41" t="str">
        <f t="shared" si="3"/>
        <v/>
      </c>
      <c r="M14" s="41" t="str">
        <f t="shared" si="7"/>
        <v>B</v>
      </c>
      <c r="N14" s="41" t="str">
        <f>IFERROR(VLOOKUP(I14,L14:L:L,1,FALSE),"")</f>
        <v>A4</v>
      </c>
      <c r="O14" s="56" t="str">
        <f t="shared" si="8"/>
        <v>A_3_4</v>
      </c>
      <c r="U14" t="s">
        <v>31</v>
      </c>
      <c r="V14">
        <f>SUMIFS(D:D,A:A,"B",B:B,"3")</f>
        <v>898</v>
      </c>
      <c r="Z14" t="e">
        <f t="shared" si="9"/>
        <v>#N/A</v>
      </c>
      <c r="AA14" t="e">
        <f t="shared" si="10"/>
        <v>#N/A</v>
      </c>
      <c r="AB14" s="5" t="s">
        <v>39</v>
      </c>
      <c r="AC14" s="16">
        <f>SUMIFS($D:$D,$E:$E,"FAUX",$G:$G,"B5",$M:$M,"A",$N:$N,"B*")*SUMIFS($J:$J,$E:$E,"VRAI",$I:$I,"A1",$F:$F,"B")</f>
        <v>0</v>
      </c>
      <c r="AD14" s="17">
        <f>SUMIFS($D:$D,$E:$E,"FAUX",$G:$G,"B5",$M:$M,"A",$N:$N,"B*")*SUMIFS($J:$J,$E:$E,"VRAI",$I:$I,"A2",$F:$F,"B")</f>
        <v>0</v>
      </c>
      <c r="AE14" s="17">
        <f>SUMIFS($D:$D,$E:$E,"FAUX",$G:$G,"B5",$M:$M,"A",$N:$N,"B*")*SUMIFS($J:$J,$E:$E,"VRAI",$I:$I,"A3",$F:$F,"B")</f>
        <v>0</v>
      </c>
      <c r="AF14" s="17">
        <f>SUMIFS($D:$D,$E:$E,"FAUX",$G:$G,"B5",$M:$M,"A",$N:$N,"B*")*SUMIFS($J:$J,$E:$E,"VRAI",$I:$I,"A4",$F:$F,"B")</f>
        <v>0</v>
      </c>
      <c r="AG14" s="17">
        <f>SUMIFS($D:$D,$E:$E,"FAUX",$G:$G,"B5",$M:$M,"A",$N:$N,"B*")*SUMIFS($J:$J,$E:$E,"VRAI",$I:$I,"A5",$F:$F,"B")</f>
        <v>0</v>
      </c>
      <c r="AH14" s="18">
        <f>SUMIFS($D:$D,$E:$E,"FAUX",$G:$G,"B5",$M:$M,"A",$N:$N,"B*")*SUMIFS($J:$J,$E:$E,"VRAI",$I:$I,"A6",$F:$F,"B")</f>
        <v>0</v>
      </c>
      <c r="AI14" s="43">
        <f>SUMIFS($D:$D,$O:$O,"B_5_1")</f>
        <v>0</v>
      </c>
      <c r="AJ14" s="43">
        <f>SUMIFS($D:$D,$O:$O,"B_5_2")</f>
        <v>0</v>
      </c>
      <c r="AK14" s="43">
        <f>SUMIFS($D:$D,$O:$O,"B_5_3")</f>
        <v>0</v>
      </c>
      <c r="AL14" s="43">
        <f>SUMIFS($D:$D,$O:$O,"B_5_4")</f>
        <v>0</v>
      </c>
      <c r="AM14" s="43">
        <f>SUMIFS($D:$D,$O:$O,"B_5_5")</f>
        <v>0</v>
      </c>
      <c r="AN14" s="36">
        <f>SUMIFS($D:$D,$O:$O,"B_5_6")</f>
        <v>0</v>
      </c>
      <c r="AO14" s="16">
        <f>SUMIFS($D:$D,$E:$E,"FAUX",$G:$G,"B5",$M:$M,"C",$N:$N,"B*")*SUMIFS($J:$J,$O:$O,"C_1_1")</f>
        <v>0</v>
      </c>
      <c r="AP14" s="17">
        <f>SUMIFS($D:$D,$E:$E,"FAUX",$G:$G,"B5",$M:$M,"C",$N:$N,"B*")*SUMIF(O:O,"C_1_2",J:J)</f>
        <v>0</v>
      </c>
      <c r="AQ14" s="17">
        <f>SUMIFS($D:$D,$E:$E,"FAUX",$G:$G,"B5",$M:$M,"C",$N:$N,"B*")*SUMIFS($J:$J,$O:$O,"C_1_3")</f>
        <v>0</v>
      </c>
      <c r="AR14" s="17">
        <f>SUMIFS($D:$D,$E:$E,"FAUX",$G:$G,"B5",$M:$M,"C",$N:$N,"B*")*SUMIFS($J:$J,$O:$O,"C_1_4")</f>
        <v>0</v>
      </c>
      <c r="AS14" s="17">
        <f>SUMIFS($D:$D,$E:$E,"FAUX",$G:$G,"B5",$M:$M,"C",$N:$N,"B*")*SUMIFS($J:$J,$O:$O,"C_1_5")</f>
        <v>0</v>
      </c>
      <c r="AT14" s="18">
        <f>SUMIFS($D:$D,$E:$E,"FAUX",$G:$G,"B5",$M:$M,"C",$N:$N,"B*")*SUMIFS($J:$J,$O:$O,"C_1_6")</f>
        <v>0</v>
      </c>
      <c r="AU14" s="46">
        <f>SUMIFS($D:$D,$E:$E,"FAUX",$G:$G,"B5",$M:$M,"C",$N:$N,"B*")*SUMIFS($J:$J,$E:$E,"VRAI",$F:$F,"B",$M:$M,"D")*SUMIFS($J:$J,$E:$E,"VRAI",$H:$H,"C",$I:$I,"D1")</f>
        <v>0</v>
      </c>
      <c r="AV14" s="47">
        <f>SUMIFS($D:$D,$E:$E,"FAUX",$G:$G,"B5",$M:$M,"C",$N:$N,"B*")*SUMIFS($J:$J,$E:$E,"VRAI",$F:$F,"B",$M:$M,"D")*SUMIFS($J:$J,$E:$E,"VRAI",$H:$H,"C",$I:$I,"D2")</f>
        <v>0</v>
      </c>
      <c r="AW14" s="47">
        <f>SUMIFS($D:$D,$E:$E,"FAUX",$G:$G,"B5",$M:$M,"C",$N:$N,"B*")*SUMIFS($J:$J,$E:$E,"VRAI",$F:$F,"B",$M:$M,"D")*SUMIFS($J:$J,$E:$E,"VRAI",$H:$H,"C",$I:$I,"D3")</f>
        <v>0</v>
      </c>
      <c r="AX14" s="47">
        <f>SUMIFS($D:$D,$E:$E,"FAUX",$G:$G,"B5",$M:$M,"C",$N:$N,"B*")*SUMIFS($J:$J,$E:$E,"VRAI",$F:$F,"B",$M:$M,"D")*SUMIFS($J:$J,$E:$E,"VRAI",$H:$H,"C",$I:$I,"D4")</f>
        <v>0</v>
      </c>
      <c r="AY14" s="47">
        <f>SUMIFS($D:$D,$E:$E,"FAUX",$G:$G,"B5",$M:$M,"C",$N:$N,"B*")*SUMIFS($J:$J,$E:$E,"VRAI",$F:$F,"B",$M:$M,"D")*SUMIFS($J:$J,$E:$E,"VRAI",$H:$H,"C",$I:$I,"D5")</f>
        <v>0</v>
      </c>
      <c r="AZ14" s="48">
        <f>SUMIFS($D:$D,$E:$E,"FAUX",$G:$G,"B5",$M:$M,"C",$N:$N,"B*")*SUMIFS($J:$J,$E:$E,"VRAI",$F:$F,"B",$M:$M,"D")*SUMIFS($J:$J,$E:$E,"VRAI",$H:$H,"C",$I:$I,"D6")</f>
        <v>0</v>
      </c>
      <c r="BA14" s="46">
        <f>SUMIFS($D:$D,$E:$E,"FAUX",$G:$G,"B5",$M:$M,"C",$N:$N,"B*")*SUMIFS($J:$J,$E:$E,"VRAI",$F:$F,"B",$M:$M,"D")*SUMIFS($J:$J,$E:$E,"VRAI",$F:$F,"C",$M:$M,"E")*SUMIFS($J:$J,$E:$E,"VRAI",$H:$H,"D",$I:$I,"E1")</f>
        <v>0</v>
      </c>
      <c r="BB14" s="47">
        <f>SUMIFS($D:$D,$E:$E,"FAUX",$G:$G,"B5",$M:$M,"C",$N:$N,"B*")*SUMIFS($J:$J,$E:$E,"VRAI",$F:$F,"B",$M:$M,"D")*SUMIFS($J:$J,$E:$E,"VRAI",$F:$F,"C",$M:$M,"E")*SUMIFS($J:$J,$E:$E,"VRAI",$H:$H,"D",$I:$I,"E2")</f>
        <v>0</v>
      </c>
      <c r="BC14" s="47">
        <f>SUMIFS($D:$D,$E:$E,"FAUX",$G:$G,"B5",$M:$M,"C",$N:$N,"B*")*SUMIFS($J:$J,$E:$E,"VRAI",$F:$F,"B",$M:$M,"D")*SUMIFS($J:$J,$E:$E,"VRAI",$F:$F,"C",$M:$M,"E")*SUMIFS($J:$J,$E:$E,"VRAI",$H:$H,"D",$I:$I,"E3")</f>
        <v>0</v>
      </c>
      <c r="BD14" s="47">
        <f>SUMIFS($D:$D,$E:$E,"FAUX",$G:$G,"B5",$M:$M,"C",$N:$N,"B*")*SUMIFS($J:$J,$E:$E,"VRAI",$F:$F,"B",$M:$M,"D")*SUMIFS($J:$J,$E:$E,"VRAI",$F:$F,"C",$M:$M,"E")*SUMIFS($J:$J,$E:$E,"VRAI",$H:$H,"D",$I:$I,"E4")</f>
        <v>0</v>
      </c>
      <c r="BE14" s="47">
        <f>SUMIFS($D:$D,$E:$E,"FAUX",$G:$G,"B5",$M:$M,"C",$N:$N,"B*")*SUMIFS($J:$J,$E:$E,"VRAI",$F:$F,"B",$M:$M,"D")*SUMIFS($J:$J,$E:$E,"VRAI",$F:$F,"C",$M:$M,"E")*SUMIFS($J:$J,$E:$E,"VRAI",$H:$H,"D",$I:$I,"E5")</f>
        <v>0</v>
      </c>
      <c r="BF14" s="48">
        <f>SUMIFS($D:$D,$E:$E,"FAUX",$G:$G,"B5",$M:$M,"C",$N:$N,"B*")*SUMIFS($J:$J,$E:$E,"VRAI",$F:$F,"B",$M:$M,"D")*SUMIFS($J:$J,$E:$E,"VRAI",$F:$F,"C",$M:$M,"E")*SUMIFS($J:$J,$E:$E,"VRAI",$H:$H,"D",$I:$I,"E6")</f>
        <v>0</v>
      </c>
      <c r="BG14" s="46">
        <f>SUMIFS($D:$D,$E:$E,"FAUX",$G:$G,"B5",$M:$M,"C",$N:$N,"B*")*SUMIFS($J:$J,$E:$E,"VRAI",$F:$F,"B",$M:$M,"D")*SUMIFS($J:$J,$E:$E,"VRAI",$F:$F,"C",$M:$M,"E")*SUMIFS($J:$J,$E:$E,"VRAI",$F:$F,"D",$M:$M,"F")*SUMIFS($J:$J,$E:$E,"VRAI",$H:$H,"E",$I:$I,"F1")</f>
        <v>0</v>
      </c>
      <c r="BH14" s="47">
        <f>SUMIFS($D:$D,$E:$E,"FAUX",$G:$G,"B5",$M:$M,"C",$N:$N,"B*")*SUMIFS($J:$J,$E:$E,"VRAI",$F:$F,"B",$M:$M,"D")*SUMIFS($J:$J,$E:$E,"VRAI",$F:$F,"C",$M:$M,"E")*SUMIFS($J:$J,$E:$E,"VRAI",$F:$F,"D",$M:$M,"F")*SUMIFS($J:$J,$E:$E,"VRAI",$H:$H,"E",$I:$I,"F2")</f>
        <v>0</v>
      </c>
      <c r="BI14" s="47">
        <f>SUMIFS($D:$D,$E:$E,"FAUX",$G:$G,"B5",$M:$M,"C",$N:$N,"B*")*SUMIFS($J:$J,$E:$E,"VRAI",$F:$F,"B",$M:$M,"D")*SUMIFS($J:$J,$E:$E,"VRAI",$F:$F,"C",$M:$M,"E")*SUMIFS($J:$J,$E:$E,"VRAI",$F:$F,"D",$M:$M,"F")*SUMIFS($J:$J,$E:$E,"VRAI",$H:$H,"E",$I:$I,"F3")</f>
        <v>0</v>
      </c>
      <c r="BJ14" s="47">
        <f>SUMIFS($D:$D,$E:$E,"FAUX",$G:$G,"B5",$M:$M,"C",$N:$N,"B*")*SUMIFS($J:$J,$E:$E,"VRAI",$F:$F,"B",$M:$M,"D")*SUMIFS($J:$J,$E:$E,"VRAI",$F:$F,"C",$M:$M,"E")*SUMIFS($J:$J,$E:$E,"VRAI",$F:$F,"D",$M:$M,"F")*SUMIFS($J:$J,$E:$E,"VRAI",$H:$H,"E",$I:$I,"F4")</f>
        <v>0</v>
      </c>
      <c r="BK14" s="47">
        <f>SUMIFS($D:$D,$E:$E,"FAUX",$G:$G,"B5",$M:$M,"C",$N:$N,"B*")*SUMIFS($J:$J,$E:$E,"VRAI",$F:$F,"B",$M:$M,"D")*SUMIFS($J:$J,$E:$E,"VRAI",$F:$F,"C",$M:$M,"E")*SUMIFS($J:$J,$E:$E,"VRAI",$F:$F,"D",$M:$M,"F")*SUMIFS($J:$J,$E:$E,"VRAI",$H:$H,"E",$I:$I,"F5")</f>
        <v>0</v>
      </c>
      <c r="BL14" s="47">
        <f>SUMIFS($D:$D,$E:$E,"FAUX",$G:$G,"B5",$M:$M,"C",$N:$N,"B*")*SUMIFS($J:$J,$E:$E,"VRAI",$F:$F,"B",$M:$M,"D")*SUMIFS($J:$J,$E:$E,"VRAI",$F:$F,"C",$M:$M,"E")*SUMIFS($J:$J,$E:$E,"VRAI",$F:$F,"D",$M:$M,"F")*SUMIFS($J:$J,$E:$E,"VRAI",$H:$H,"E",$I:$I,"F6")</f>
        <v>0</v>
      </c>
      <c r="BM14" s="46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4" s="48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4" s="46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4" s="46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4" s="46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4" s="46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4" s="47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4" s="48">
        <f>SUMIFS($D:$D,$E:$E,"FAUX",$G:$G,"B5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5" spans="1:94">
      <c r="A15" s="35" t="s">
        <v>8</v>
      </c>
      <c r="B15" s="35">
        <v>3</v>
      </c>
      <c r="C15" s="35">
        <v>5</v>
      </c>
      <c r="D15" s="35">
        <v>27</v>
      </c>
      <c r="E15" s="35" t="b">
        <v>0</v>
      </c>
      <c r="F15" s="35"/>
      <c r="G15" s="53" t="str">
        <f t="shared" si="0"/>
        <v>A3</v>
      </c>
      <c r="H15" s="52" t="str">
        <f t="shared" si="5"/>
        <v/>
      </c>
      <c r="I15" s="41" t="str">
        <f t="shared" si="1"/>
        <v>A5</v>
      </c>
      <c r="J15" s="42">
        <f t="shared" si="2"/>
        <v>2.2765598650927487E-2</v>
      </c>
      <c r="K15" s="41">
        <f t="shared" si="6"/>
        <v>1186</v>
      </c>
      <c r="L15" s="41" t="str">
        <f t="shared" si="3"/>
        <v/>
      </c>
      <c r="M15" s="41" t="str">
        <f t="shared" si="7"/>
        <v/>
      </c>
      <c r="N15" s="41" t="str">
        <f>IFERROR(VLOOKUP(I15,L15:L:L,1,FALSE),"")</f>
        <v/>
      </c>
      <c r="O15" s="56" t="str">
        <f t="shared" si="8"/>
        <v>A_3_5</v>
      </c>
      <c r="U15" t="s">
        <v>15</v>
      </c>
      <c r="V15">
        <f>SUMIFS(D:D,A:A,"B",B:B,"4")</f>
        <v>731</v>
      </c>
      <c r="Z15" t="e">
        <f t="shared" si="9"/>
        <v>#N/A</v>
      </c>
      <c r="AA15" t="e">
        <f t="shared" si="10"/>
        <v>#N/A</v>
      </c>
      <c r="AB15" s="5" t="s">
        <v>40</v>
      </c>
      <c r="AC15" s="19">
        <f>SUMIFS($D:$D,$E:$E,"FAUX",$G:$G,"B6",$M:$M,"A",$N:$N,"B*")*SUMIFS($J:$J,$E:$E,"VRAI",$I:$I,"A1",$F:$F,"B")</f>
        <v>0</v>
      </c>
      <c r="AD15" s="20">
        <f>SUMIFS($D:$D,$E:$E,"FAUX",$G:$G,"B6",$M:$M,"A",$N:$N,"B*")*SUMIFS($J:$J,$E:$E,"VRAI",$I:$I,"A2",$F:$F,"B")</f>
        <v>0</v>
      </c>
      <c r="AE15" s="20">
        <f>SUMIFS($D:$D,$E:$E,"FAUX",$G:$G,"B6",$M:$M,"A",$N:$N,"B*")*SUMIFS($J:$J,$E:$E,"VRAI",$I:$I,"A3",$F:$F,"B")</f>
        <v>0</v>
      </c>
      <c r="AF15" s="20">
        <f>SUMIFS($D:$D,$E:$E,"FAUX",$G:$G,"B6",$M:$M,"A",$N:$N,"B*")*SUMIFS($J:$J,$E:$E,"VRAI",$I:$I,"A4",$F:$F,"B")</f>
        <v>0</v>
      </c>
      <c r="AG15" s="20">
        <f>SUMIFS($D:$D,$E:$E,"FAUX",$G:$G,"B6",$M:$M,"A",$N:$N,"B*")*SUMIFS($J:$J,$E:$E,"VRAI",$I:$I,"A5",$F:$F,"B")</f>
        <v>0</v>
      </c>
      <c r="AH15" s="21">
        <f>SUMIFS($D:$D,$E:$E,"FAUX",$G:$G,"B6",$M:$M,"A",$N:$N,"B*")*SUMIFS($J:$J,$E:$E,"VRAI",$I:$I,"A6",$F:$F,"B")</f>
        <v>0</v>
      </c>
      <c r="AI15" s="40">
        <f>SUMIFS($D:$D,$O:$O,"B_6_1")</f>
        <v>0</v>
      </c>
      <c r="AJ15" s="40">
        <f>SUMIFS($D:$D,$O:$O,"B_6_2")</f>
        <v>0</v>
      </c>
      <c r="AK15" s="40">
        <f>SUMIFS($D:$D,$O:$O,"B_6_3")</f>
        <v>0</v>
      </c>
      <c r="AL15" s="40">
        <f>SUMIFS($D:$D,$O:$O,"B_6_4")</f>
        <v>0</v>
      </c>
      <c r="AM15" s="40">
        <f>SUMIFS($D:$D,$O:$O,"B_6_5")</f>
        <v>0</v>
      </c>
      <c r="AN15" s="39">
        <f>SUMIFS($D:$D,$O:$O,"B_6_6")</f>
        <v>0</v>
      </c>
      <c r="AO15" s="19">
        <f>SUMIFS($D:$D,$E:$E,"FAUX",$G:$G,"B6",$M:$M,"C",$N:$N,"B*")*SUMIFS($J:$J,$O:$O,"C_1_1")</f>
        <v>0</v>
      </c>
      <c r="AP15" s="20">
        <f>SUMIFS($D:$D,$E:$E,"FAUX",$G:$G,"B6",$M:$M,"C",$N:$N,"B*")*SUMIF(O:O,"C_1_2",J:J)</f>
        <v>0</v>
      </c>
      <c r="AQ15" s="20">
        <f>SUMIFS($D:$D,$E:$E,"FAUX",$G:$G,"B6",$M:$M,"C",$N:$N,"B*")*SUMIFS($J:$J,$O:$O,"C_1_3")</f>
        <v>0</v>
      </c>
      <c r="AR15" s="20">
        <f>SUMIFS($D:$D,$E:$E,"FAUX",$G:$G,"B6",$M:$M,"C",$N:$N,"B*")*SUMIFS($J:$J,$O:$O,"C_1_4")</f>
        <v>0</v>
      </c>
      <c r="AS15" s="20">
        <f>SUMIFS($D:$D,$E:$E,"FAUX",$G:$G,"B6",$M:$M,"C",$N:$N,"B*")*SUMIFS($J:$J,$O:$O,"C_1_5")</f>
        <v>0</v>
      </c>
      <c r="AT15" s="21">
        <f>SUMIFS($D:$D,$E:$E,"FAUX",$G:$G,"B6",$M:$M,"C",$N:$N,"B*")*SUMIFS($J:$J,$O:$O,"C_1_6")</f>
        <v>0</v>
      </c>
      <c r="AU15" s="49">
        <f>SUMIFS($D:$D,$E:$E,"FAUX",$G:$G,"B6",$M:$M,"C",$N:$N,"B*")*SUMIFS($J:$J,$E:$E,"VRAI",$F:$F,"B",$M:$M,"D")*SUMIFS($J:$J,$E:$E,"VRAI",$H:$H,"C",$I:$I,"D1")</f>
        <v>0</v>
      </c>
      <c r="AV15" s="50">
        <f>SUMIFS($D:$D,$E:$E,"FAUX",$G:$G,"B6",$M:$M,"C",$N:$N,"B*")*SUMIFS($J:$J,$E:$E,"VRAI",$F:$F,"B",$M:$M,"D")*SUMIFS($J:$J,$E:$E,"VRAI",$H:$H,"C",$I:$I,"D2")</f>
        <v>0</v>
      </c>
      <c r="AW15" s="50">
        <f>SUMIFS($D:$D,$E:$E,"FAUX",$G:$G,"B6",$M:$M,"C",$N:$N,"B*")*SUMIFS($J:$J,$E:$E,"VRAI",$F:$F,"B",$M:$M,"D")*SUMIFS($J:$J,$E:$E,"VRAI",$H:$H,"C",$I:$I,"D3")</f>
        <v>0</v>
      </c>
      <c r="AX15" s="50">
        <f>SUMIFS($D:$D,$E:$E,"FAUX",$G:$G,"B6",$M:$M,"C",$N:$N,"B*")*SUMIFS($J:$J,$E:$E,"VRAI",$F:$F,"B",$M:$M,"D")*SUMIFS($J:$J,$E:$E,"VRAI",$H:$H,"C",$I:$I,"D4")</f>
        <v>0</v>
      </c>
      <c r="AY15" s="50">
        <f>SUMIFS($D:$D,$E:$E,"FAUX",$G:$G,"B6",$M:$M,"C",$N:$N,"B*")*SUMIFS($J:$J,$E:$E,"VRAI",$F:$F,"B",$M:$M,"D")*SUMIFS($J:$J,$E:$E,"VRAI",$H:$H,"C",$I:$I,"D5")</f>
        <v>0</v>
      </c>
      <c r="AZ15" s="51">
        <f>SUMIFS($D:$D,$E:$E,"FAUX",$G:$G,"B6",$M:$M,"C",$N:$N,"B*")*SUMIFS($J:$J,$E:$E,"VRAI",$F:$F,"B",$M:$M,"D")*SUMIFS($J:$J,$E:$E,"VRAI",$H:$H,"C",$I:$I,"D6")</f>
        <v>0</v>
      </c>
      <c r="BA15" s="49">
        <f>SUMIFS($D:$D,$E:$E,"FAUX",$G:$G,"B6",$M:$M,"C",$N:$N,"B*")*SUMIFS($J:$J,$E:$E,"VRAI",$F:$F,"B",$M:$M,"D")*SUMIFS($J:$J,$E:$E,"VRAI",$F:$F,"C",$M:$M,"E")*SUMIFS($J:$J,$E:$E,"VRAI",$H:$H,"D",$I:$I,"E1")</f>
        <v>0</v>
      </c>
      <c r="BB15" s="50">
        <f>SUMIFS($D:$D,$E:$E,"FAUX",$G:$G,"B6",$M:$M,"C",$N:$N,"B*")*SUMIFS($J:$J,$E:$E,"VRAI",$F:$F,"B",$M:$M,"D")*SUMIFS($J:$J,$E:$E,"VRAI",$F:$F,"C",$M:$M,"E")*SUMIFS($J:$J,$E:$E,"VRAI",$H:$H,"D",$I:$I,"E2")</f>
        <v>0</v>
      </c>
      <c r="BC15" s="50">
        <f>SUMIFS($D:$D,$E:$E,"FAUX",$G:$G,"B6",$M:$M,"C",$N:$N,"B*")*SUMIFS($J:$J,$E:$E,"VRAI",$F:$F,"B",$M:$M,"D")*SUMIFS($J:$J,$E:$E,"VRAI",$F:$F,"C",$M:$M,"E")*SUMIFS($J:$J,$E:$E,"VRAI",$H:$H,"D",$I:$I,"E3")</f>
        <v>0</v>
      </c>
      <c r="BD15" s="50">
        <f>SUMIFS($D:$D,$E:$E,"FAUX",$G:$G,"B6",$M:$M,"C",$N:$N,"B*")*SUMIFS($J:$J,$E:$E,"VRAI",$F:$F,"B",$M:$M,"D")*SUMIFS($J:$J,$E:$E,"VRAI",$F:$F,"C",$M:$M,"E")*SUMIFS($J:$J,$E:$E,"VRAI",$H:$H,"D",$I:$I,"E4")</f>
        <v>0</v>
      </c>
      <c r="BE15" s="50">
        <f>SUMIFS($D:$D,$E:$E,"FAUX",$G:$G,"B6",$M:$M,"C",$N:$N,"B*")*SUMIFS($J:$J,$E:$E,"VRAI",$F:$F,"B",$M:$M,"D")*SUMIFS($J:$J,$E:$E,"VRAI",$F:$F,"C",$M:$M,"E")*SUMIFS($J:$J,$E:$E,"VRAI",$H:$H,"D",$I:$I,"E5")</f>
        <v>0</v>
      </c>
      <c r="BF15" s="51">
        <f>SUMIFS($D:$D,$E:$E,"FAUX",$G:$G,"B6",$M:$M,"C",$N:$N,"B*")*SUMIFS($J:$J,$E:$E,"VRAI",$F:$F,"B",$M:$M,"D")*SUMIFS($J:$J,$E:$E,"VRAI",$F:$F,"C",$M:$M,"E")*SUMIFS($J:$J,$E:$E,"VRAI",$H:$H,"D",$I:$I,"E6")</f>
        <v>0</v>
      </c>
      <c r="BG15" s="49">
        <f>SUMIFS($D:$D,$E:$E,"FAUX",$G:$G,"B6",$M:$M,"C",$N:$N,"B*")*SUMIFS($J:$J,$E:$E,"VRAI",$F:$F,"B",$M:$M,"D")*SUMIFS($J:$J,$E:$E,"VRAI",$F:$F,"C",$M:$M,"E")*SUMIFS($J:$J,$E:$E,"VRAI",$F:$F,"D",$M:$M,"F")*SUMIFS($J:$J,$E:$E,"VRAI",$H:$H,"E",$I:$I,"F1")</f>
        <v>0</v>
      </c>
      <c r="BH15" s="50">
        <f>SUMIFS($D:$D,$E:$E,"FAUX",$G:$G,"B6",$M:$M,"C",$N:$N,"B*")*SUMIFS($J:$J,$E:$E,"VRAI",$F:$F,"B",$M:$M,"D")*SUMIFS($J:$J,$E:$E,"VRAI",$F:$F,"C",$M:$M,"E")*SUMIFS($J:$J,$E:$E,"VRAI",$F:$F,"D",$M:$M,"F")*SUMIFS($J:$J,$E:$E,"VRAI",$H:$H,"E",$I:$I,"F2")</f>
        <v>0</v>
      </c>
      <c r="BI15" s="50">
        <f>SUMIFS($D:$D,$E:$E,"FAUX",$G:$G,"B6",$M:$M,"C",$N:$N,"B*")*SUMIFS($J:$J,$E:$E,"VRAI",$F:$F,"B",$M:$M,"D")*SUMIFS($J:$J,$E:$E,"VRAI",$F:$F,"C",$M:$M,"E")*SUMIFS($J:$J,$E:$E,"VRAI",$F:$F,"D",$M:$M,"F")*SUMIFS($J:$J,$E:$E,"VRAI",$H:$H,"E",$I:$I,"F3")</f>
        <v>0</v>
      </c>
      <c r="BJ15" s="50">
        <f>SUMIFS($D:$D,$E:$E,"FAUX",$G:$G,"B6",$M:$M,"C",$N:$N,"B*")*SUMIFS($J:$J,$E:$E,"VRAI",$F:$F,"B",$M:$M,"D")*SUMIFS($J:$J,$E:$E,"VRAI",$F:$F,"C",$M:$M,"E")*SUMIFS($J:$J,$E:$E,"VRAI",$F:$F,"D",$M:$M,"F")*SUMIFS($J:$J,$E:$E,"VRAI",$H:$H,"E",$I:$I,"F4")</f>
        <v>0</v>
      </c>
      <c r="BK15" s="50">
        <f>SUMIFS($D:$D,$E:$E,"FAUX",$G:$G,"B6",$M:$M,"C",$N:$N,"B*")*SUMIFS($J:$J,$E:$E,"VRAI",$F:$F,"B",$M:$M,"D")*SUMIFS($J:$J,$E:$E,"VRAI",$F:$F,"C",$M:$M,"E")*SUMIFS($J:$J,$E:$E,"VRAI",$F:$F,"D",$M:$M,"F")*SUMIFS($J:$J,$E:$E,"VRAI",$H:$H,"E",$I:$I,"F5")</f>
        <v>0</v>
      </c>
      <c r="BL15" s="50">
        <f>SUMIFS($D:$D,$E:$E,"FAUX",$G:$G,"B6",$M:$M,"C",$N:$N,"B*")*SUMIFS($J:$J,$E:$E,"VRAI",$F:$F,"B",$M:$M,"D")*SUMIFS($J:$J,$E:$E,"VRAI",$F:$F,"C",$M:$M,"E")*SUMIFS($J:$J,$E:$E,"VRAI",$F:$F,"D",$M:$M,"F")*SUMIFS($J:$J,$E:$E,"VRAI",$H:$H,"E",$I:$I,"F6")</f>
        <v>0</v>
      </c>
      <c r="BM15" s="49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1")</f>
        <v>0</v>
      </c>
      <c r="BN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2")</f>
        <v>0</v>
      </c>
      <c r="BO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3")</f>
        <v>0</v>
      </c>
      <c r="BP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4")</f>
        <v>0</v>
      </c>
      <c r="BQ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5")</f>
        <v>0</v>
      </c>
      <c r="BR15" s="51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I:$I,"G6")</f>
        <v>0</v>
      </c>
      <c r="BS15" s="49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5" s="49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5" s="49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5" s="49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5" s="50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5" s="51">
        <f>SUMIFS($D:$D,$E:$E,"FAUX",$G:$G,"B6",$M:$M,"C",$N:$N,"B*")*SUMIFS($J:$J,$E:$E,"VRAI",$F:$F,"B",$M:$M,"D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6" spans="1:94">
      <c r="A16" s="35" t="s">
        <v>8</v>
      </c>
      <c r="B16" s="35">
        <v>3</v>
      </c>
      <c r="C16" s="35">
        <v>1</v>
      </c>
      <c r="D16" s="35">
        <v>728</v>
      </c>
      <c r="E16" s="35" t="b">
        <v>0</v>
      </c>
      <c r="F16" s="35"/>
      <c r="G16" s="53" t="str">
        <f t="shared" si="0"/>
        <v>A3</v>
      </c>
      <c r="H16" s="52" t="str">
        <f t="shared" si="5"/>
        <v/>
      </c>
      <c r="I16" s="41" t="str">
        <f t="shared" si="1"/>
        <v>A1</v>
      </c>
      <c r="J16" s="42">
        <f t="shared" si="2"/>
        <v>0.61382799325463744</v>
      </c>
      <c r="K16" s="41">
        <f t="shared" si="6"/>
        <v>1186</v>
      </c>
      <c r="L16" s="41" t="str">
        <f t="shared" si="3"/>
        <v/>
      </c>
      <c r="M16" s="41" t="str">
        <f t="shared" si="7"/>
        <v/>
      </c>
      <c r="N16" s="41" t="str">
        <f>IFERROR(VLOOKUP(I16,L16:L:L,1,FALSE),"")</f>
        <v/>
      </c>
      <c r="O16" s="56" t="str">
        <f t="shared" si="8"/>
        <v>A_3_1</v>
      </c>
      <c r="U16" t="s">
        <v>39</v>
      </c>
      <c r="V16">
        <f>SUMIFS(D:D,A:A,"B",B:B,"5")</f>
        <v>0</v>
      </c>
      <c r="Z16" t="str">
        <f t="shared" si="9"/>
        <v>C1</v>
      </c>
      <c r="AA16" t="str">
        <f t="shared" si="10"/>
        <v>C1</v>
      </c>
      <c r="AB16" s="5" t="s">
        <v>32</v>
      </c>
      <c r="AC16" s="13">
        <f>SUMIFS($D:$D,$E:$E,"FAUX",$G:$G,"C1",$M:$M,"B",$N:$N,"C*")*SUMIFS($J:$J,$E:$E,"VRAI",$F:$F,"D",$M:$M,"B")*SUMIFS($J:$J,$E:$E,"VRAI",$H:$H,"B",$I:$I,"A1")</f>
        <v>0</v>
      </c>
      <c r="AD16" s="14">
        <f>SUMIFS($D:$D,$E:$E,"FAUX",$G:$G,"C1",$M:$M,"B",$N:$N,"C*")*SUMIFS($J:$J,$E:$E,"VRAI",$F:$F,"D",$M:$M,"B")*SUMIFS($J:$J,$E:$E,"VRAI",$H:$H,"B",$I:$I,"A2")</f>
        <v>0</v>
      </c>
      <c r="AE16" s="14">
        <f>SUMIFS($D:$D,$E:$E,"FAUX",$G:$G,"C1",$M:$M,"B",$N:$N,"C*")*SUMIFS($J:$J,$E:$E,"VRAI",$F:$F,"D",$M:$M,"B")*SUMIFS($J:$J,$E:$E,"VRAI",$H:$H,"B",$I:$I,"A3")</f>
        <v>0</v>
      </c>
      <c r="AF16" s="14">
        <f>SUMIFS($D:$D,$E:$E,"FAUX",$G:$G,"C1",$M:$M,"B",$N:$N,"C*")*SUMIFS($J:$J,$E:$E,"VRAI",$F:$F,"D",$M:$M,"B")*SUMIFS($J:$J,$E:$E,"VRAI",$H:$H,"B",$I:$I,"A4")</f>
        <v>0</v>
      </c>
      <c r="AG16" s="14">
        <f>SUMIFS($D:$D,$E:$E,"FAUX",$G:$G,"C1",$M:$M,"B",$N:$N,"C*")*SUMIFS($J:$J,$E:$E,"VRAI",$F:$F,"D",$M:$M,"B")*SUMIFS($J:$J,$E:$E,"VRAI",$H:$H,"B",$I:$I,"A5")</f>
        <v>0</v>
      </c>
      <c r="AH16" s="15">
        <f>SUMIFS($D:$D,$E:$E,"FAUX",$G:$G,"C1",$M:$M,"B",$N:$N,"C*")*SUMIFS($J:$J,$E:$E,"VRAI",$F:$F,"D",$M:$M,"B")*SUMIFS($J:$J,$E:$E,"VRAI",$H:$H,"B",$I:$I,"A6")</f>
        <v>0</v>
      </c>
      <c r="AI16" s="13">
        <f>SUMIFS($D:$D,$E:$E,"FAUX",$G:$G,"C1",$M:$M,"B",$N:$N,"C*")*SUMIFS($J:$J,$E:$E,"VRAI",$I:$I,"B1",$F:$F,"C")</f>
        <v>0</v>
      </c>
      <c r="AJ16" s="14">
        <f>SUMIFS($D:$D,$E:$E,"FAUX",$G:$G,"C1",$M:$M,"B",$N:$N,"C*")*SUMIFS($J:$J,$E:$E,"VRAI",$I:$I,"B2",$F:$F,"C")</f>
        <v>0</v>
      </c>
      <c r="AK16" s="14">
        <f>SUMIFS($D:$D,$E:$E,"FAUX",$G:$G,"C1",$M:$M,"B",$N:$N,"C*")*SUMIFS($J:$J,$E:$E,"VRAI",$I:$I,"B3",$F:$F,"C")</f>
        <v>0</v>
      </c>
      <c r="AL16" s="14">
        <f>SUMIFS($D:$D,$E:$E,"FAUX",$G:$G,"C1",$M:$M,"B",$N:$N,"C*")*SUMIFS($J:$J,$E:$E,"VRAI",$I:$I,"B4",$F:$F,"C")</f>
        <v>0</v>
      </c>
      <c r="AM16" s="14">
        <f>SUMIFS($D:$D,$E:$E,"FAUX",$G:$G,"C1",$M:$M,"B",$N:$N,"C*")*SUMIFS($J:$J,$E:$E,"VRAI",$I:$I,"B5",$F:$F,"C")</f>
        <v>0</v>
      </c>
      <c r="AN16" s="15">
        <f>SUMIFS($D:$D,$E:$E,"FAUX",$G:$G,"C1",$M:$M,"B",$N:$N,"C*")*SUMIFS($J:$J,$E:$E,"VRAI",$I:$I,"B6",$F:$F,"C")</f>
        <v>0</v>
      </c>
      <c r="AO16" s="43">
        <f>SUMIFS($D:$D,$O:$O,"C_1_1")</f>
        <v>0</v>
      </c>
      <c r="AP16" s="43">
        <f>SUMIFS($D:$D,$O:$O,"C_1_2")</f>
        <v>0</v>
      </c>
      <c r="AQ16" s="43">
        <f>SUMIFS($D:$D,$O:$O,"C_1_3")</f>
        <v>777</v>
      </c>
      <c r="AR16" s="43">
        <f>SUMIFS($D:$D,$O:$O,"C_1_4")</f>
        <v>0</v>
      </c>
      <c r="AS16" s="43">
        <f>SUMIFS($D:$D,$O:$O,"C_1_5")</f>
        <v>0</v>
      </c>
      <c r="AT16" s="36">
        <f>SUMIFS($D:$D,$O:$O,"C_1_6")</f>
        <v>0</v>
      </c>
      <c r="AU16" s="43">
        <f>SUMIFS($D:$D,$E:$E,"FAUX",$G:$G,"C1",$M:$M,"D",$N:$N,"C*")*SUMIFS($J:$J,$O:$O,"D_1_1")</f>
        <v>0</v>
      </c>
      <c r="AV16" s="44">
        <f>SUMIFS($D:$D,$E:$E,"FAUX",$G:$G,"C1",$M:$M,"D",$N:$N,"C*")*SUMIFS($J:$J,$O:$O,"D_1_2")</f>
        <v>0</v>
      </c>
      <c r="AW16" s="44">
        <f>SUMIFS($D:$D,$E:$E,"FAUX",$G:$G,"C1",$M:$M,"D",$N:$N,"C*")*SUMIFS($J:$J,$O:$O,"D_1_3")</f>
        <v>0</v>
      </c>
      <c r="AX16" s="44">
        <f>SUMIFS($D:$D,$E:$E,"FAUX",$G:$G,"C1",$M:$M,"D",$N:$N,"C*")*SUMIFS($J:$J,$O:$O,"D_1_4")</f>
        <v>0</v>
      </c>
      <c r="AY16" s="44">
        <f>SUMIFS($D:$D,$E:$E,"FAUX",$G:$G,"C1",$M:$M,"D",$N:$N,"C*")*SUMIFS($J:$J,$O:$O,"D_1_5")</f>
        <v>0</v>
      </c>
      <c r="AZ16" s="45">
        <f>SUMIFS($D:$D,$E:$E,"FAUX",$G:$G,"C1",$M:$M,"D",$N:$N,"C*")*SUMIFS($J:$J,$O:$O,"D_1_6")</f>
        <v>0</v>
      </c>
      <c r="BA16" s="43">
        <f>SUMIFS($D:$D,$E:$E,"FAUX",$G:$G,"C1",$M:$M,"D",$N:$N,"C*")*SUMIFS($J:$J,$E:$E,"VRAI",$F:$F,"C",$M:$M,"E")*SUMIFS($J:$J,$E:$E,"VRAI",$H:$H,"D",$I:$I,"E1")</f>
        <v>0</v>
      </c>
      <c r="BB16" s="44">
        <f>SUMIFS($D:$D,$E:$E,"FAUX",$G:$G,"C1",$M:$M,"D",$N:$N,"C*")*SUMIFS($J:$J,$E:$E,"VRAI",$F:$F,"C",$M:$M,"E")*SUMIFS($J:$J,$E:$E,"VRAI",$H:$H,"D",$I:$I,"E2")</f>
        <v>0</v>
      </c>
      <c r="BC16" s="44">
        <f>SUMIFS($D:$D,$E:$E,"FAUX",$G:$G,"C1",$M:$M,"D",$N:$N,"C*")*SUMIFS($J:$J,$E:$E,"VRAI",$F:$F,"C",$M:$M,"E")*SUMIFS($J:$J,$E:$E,"VRAI",$H:$H,"D",$I:$I,"E3")</f>
        <v>0</v>
      </c>
      <c r="BD16" s="44">
        <f>SUMIFS($D:$D,$E:$E,"FAUX",$G:$G,"C1",$M:$M,"D",$N:$N,"C*")*SUMIFS($J:$J,$E:$E,"VRAI",$F:$F,"C",$M:$M,"E")*SUMIFS($J:$J,$E:$E,"VRAI",$H:$H,"D",$I:$I,"E4")</f>
        <v>0</v>
      </c>
      <c r="BE16" s="44">
        <f>SUMIFS($D:$D,$E:$E,"FAUX",$G:$G,"C1",$M:$M,"D",$N:$N,"C*")*SUMIFS($J:$J,$E:$E,"VRAI",$F:$F,"C",$M:$M,"E")*SUMIFS($J:$J,$E:$E,"VRAI",$H:$H,"D",$I:$I,"E5")</f>
        <v>0</v>
      </c>
      <c r="BF16" s="45">
        <f>SUMIFS($D:$D,$E:$E,"FAUX",$G:$G,"C1",$M:$M,"D",$N:$N,"C*")*SUMIFS($J:$J,$E:$E,"VRAI",$F:$F,"C",$M:$M,"E")*SUMIFS($J:$J,$E:$E,"VRAI",$H:$H,"D",$I:$I,"E6")</f>
        <v>0</v>
      </c>
      <c r="BG16" s="43">
        <f>SUMIFS($D:$D,$E:$E,"FAUX",$G:$G,"C1",$M:$M,"D",$N:$N,"C*")*SUMIFS($J:$J,$E:$E,"VRAI",$F:$F,"C",$M:$M,"E")*SUMIFS($J:$J,$E:$E,"VRAI",$F:$F,"D",$M:$M,"F")*SUMIFS($J:$J,$E:$E,"VRAI",$H:$H,"E",$I:$I,"F1")</f>
        <v>0</v>
      </c>
      <c r="BH16" s="44">
        <f>SUMIFS($D:$D,$E:$E,"FAUX",$G:$G,"C1",$M:$M,"D",$N:$N,"C*")*SUMIFS($J:$J,$E:$E,"VRAI",$F:$F,"C",$M:$M,"E")*SUMIFS($J:$J,$E:$E,"VRAI",$F:$F,"D",$M:$M,"F")*SUMIFS($J:$J,$E:$E,"VRAI",$H:$H,"E",$I:$I,"F2")</f>
        <v>0</v>
      </c>
      <c r="BI16" s="44">
        <f>SUMIFS($D:$D,$E:$E,"FAUX",$G:$G,"C1",$M:$M,"D",$N:$N,"C*")*SUMIFS($J:$J,$E:$E,"VRAI",$F:$F,"C",$M:$M,"E")*SUMIFS($J:$J,$E:$E,"VRAI",$F:$F,"D",$M:$M,"F")*SUMIFS($J:$J,$E:$E,"VRAI",$H:$H,"E",$I:$I,"F3")</f>
        <v>0</v>
      </c>
      <c r="BJ16" s="44">
        <f>SUMIFS($D:$D,$E:$E,"FAUX",$G:$G,"C1",$M:$M,"D",$N:$N,"C*")*SUMIFS($J:$J,$E:$E,"VRAI",$F:$F,"C",$M:$M,"E")*SUMIFS($J:$J,$E:$E,"VRAI",$F:$F,"D",$M:$M,"F")*SUMIFS($J:$J,$E:$E,"VRAI",$H:$H,"E",$I:$I,"F4")</f>
        <v>0</v>
      </c>
      <c r="BK16" s="44">
        <f>SUMIFS($D:$D,$E:$E,"FAUX",$G:$G,"C1",$M:$M,"D",$N:$N,"C*")*SUMIFS($J:$J,$E:$E,"VRAI",$F:$F,"C",$M:$M,"E")*SUMIFS($J:$J,$E:$E,"VRAI",$F:$F,"D",$M:$M,"F")*SUMIFS($J:$J,$E:$E,"VRAI",$H:$H,"E",$I:$I,"F5")</f>
        <v>0</v>
      </c>
      <c r="BL16" s="44">
        <f>SUMIFS($D:$D,$E:$E,"FAUX",$G:$G,"C1",$M:$M,"D",$N:$N,"C*")*SUMIFS($J:$J,$E:$E,"VRAI",$F:$F,"C",$M:$M,"E")*SUMIFS($J:$J,$E:$E,"VRAI",$F:$F,"D",$M:$M,"F")*SUMIFS($J:$J,$E:$E,"VRAI",$H:$H,"E",$I:$I,"F6")</f>
        <v>0</v>
      </c>
      <c r="BM16" s="43">
        <f>SUMIFS($D:$D,$E:$E,"FAUX",$G:$G,"C1",$M:$M,"D",$N:$N,"C*")*SUMIFS($J:$J,$E:$E,"VRAI",$F:$F,"C",$M:$M,"E")*SUMIFS($J:$J,$E:$E,"VRAI",$F:$F,"D",$M:$M,"F")*SUMIFS($J:$J,$E:$E,"VRAI",$F:$F,"E",$M:$M,"G")*SUMIFS($J:$J,$E:$E,"VRAI",$F:$F,"F",$I:$I,"G1")</f>
        <v>0</v>
      </c>
      <c r="BN16" s="44">
        <f>SUMIFS($D:$D,$E:$E,"FAUX",$G:$G,"C1",$M:$M,"D",$N:$N,"C*")*SUMIFS($J:$J,$E:$E,"VRAI",$F:$F,"C",$M:$M,"E")*SUMIFS($J:$J,$E:$E,"VRAI",$F:$F,"D",$M:$M,"F")*SUMIFS($J:$J,$E:$E,"VRAI",$F:$F,"E",$M:$M,"G")*SUMIFS($J:$J,$E:$E,"VRAI",$F:$F,"F",$I:$I,"G2")</f>
        <v>0</v>
      </c>
      <c r="BO16" s="44">
        <f>SUMIFS($D:$D,$E:$E,"FAUX",$G:$G,"C1",$M:$M,"D",$N:$N,"C*")*SUMIFS($J:$J,$E:$E,"VRAI",$F:$F,"C",$M:$M,"E")*SUMIFS($J:$J,$E:$E,"VRAI",$F:$F,"D",$M:$M,"F")*SUMIFS($J:$J,$E:$E,"VRAI",$F:$F,"E",$M:$M,"G")*SUMIFS($J:$J,$E:$E,"VRAI",$F:$F,"F",$I:$I,"G3")</f>
        <v>0</v>
      </c>
      <c r="BP16" s="44">
        <f>SUMIFS($D:$D,$E:$E,"FAUX",$G:$G,"C1",$M:$M,"D",$N:$N,"C*")*SUMIFS($J:$J,$E:$E,"VRAI",$F:$F,"C",$M:$M,"E")*SUMIFS($J:$J,$E:$E,"VRAI",$F:$F,"D",$M:$M,"F")*SUMIFS($J:$J,$E:$E,"VRAI",$F:$F,"E",$M:$M,"G")*SUMIFS($J:$J,$E:$E,"VRAI",$F:$F,"F",$I:$I,"G4")</f>
        <v>0</v>
      </c>
      <c r="BQ16" s="44">
        <f>SUMIFS($D:$D,$E:$E,"FAUX",$G:$G,"C1",$M:$M,"D",$N:$N,"C*")*SUMIFS($J:$J,$E:$E,"VRAI",$F:$F,"C",$M:$M,"E")*SUMIFS($J:$J,$E:$E,"VRAI",$F:$F,"D",$M:$M,"F")*SUMIFS($J:$J,$E:$E,"VRAI",$F:$F,"E",$M:$M,"G")*SUMIFS($J:$J,$E:$E,"VRAI",$F:$F,"F",$I:$I,"G5")</f>
        <v>0</v>
      </c>
      <c r="BR16" s="45">
        <f>SUMIFS($D:$D,$E:$E,"FAUX",$G:$G,"C1",$M:$M,"D",$N:$N,"C*")*SUMIFS($J:$J,$E:$E,"VRAI",$F:$F,"C",$M:$M,"E")*SUMIFS($J:$J,$E:$E,"VRAI",$F:$F,"D",$M:$M,"F")*SUMIFS($J:$J,$E:$E,"VRAI",$F:$F,"E",$M:$M,"G")*SUMIFS($J:$J,$E:$E,"VRAI",$F:$F,"F",$I:$I,"G6")</f>
        <v>0</v>
      </c>
      <c r="BS16" s="43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6" s="43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6" s="43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6" s="43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6" s="44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6" s="45">
        <f>SUMIFS($D:$D,$E:$E,"FAUX",$G:$G,"C1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7" spans="1:94">
      <c r="A17" s="35" t="s">
        <v>8</v>
      </c>
      <c r="B17" s="35">
        <v>3</v>
      </c>
      <c r="C17" s="35">
        <v>2</v>
      </c>
      <c r="D17" s="35">
        <v>0</v>
      </c>
      <c r="E17" s="35" t="b">
        <v>0</v>
      </c>
      <c r="F17" s="35"/>
      <c r="G17" s="53" t="str">
        <f t="shared" si="0"/>
        <v>A3</v>
      </c>
      <c r="H17" s="52" t="str">
        <f t="shared" si="5"/>
        <v/>
      </c>
      <c r="I17" s="41" t="str">
        <f t="shared" si="1"/>
        <v>A2</v>
      </c>
      <c r="J17" s="42">
        <f t="shared" si="2"/>
        <v>0</v>
      </c>
      <c r="K17" s="41">
        <f t="shared" si="6"/>
        <v>1186</v>
      </c>
      <c r="L17" s="41" t="str">
        <f t="shared" si="3"/>
        <v/>
      </c>
      <c r="M17" s="41" t="str">
        <f t="shared" si="7"/>
        <v/>
      </c>
      <c r="N17" s="41" t="str">
        <f>IFERROR(VLOOKUP(I17,L17:L:L,1,FALSE),"")</f>
        <v/>
      </c>
      <c r="O17" s="56" t="str">
        <f t="shared" si="8"/>
        <v>A_3_2</v>
      </c>
      <c r="U17" t="s">
        <v>40</v>
      </c>
      <c r="V17">
        <f>SUMIFS(D:D,A:A,"B",B:B,"6")</f>
        <v>0</v>
      </c>
      <c r="Z17" t="e">
        <f t="shared" si="9"/>
        <v>#N/A</v>
      </c>
      <c r="AA17" t="str">
        <f t="shared" si="10"/>
        <v>C2</v>
      </c>
      <c r="AB17" t="s">
        <v>16</v>
      </c>
      <c r="AC17" s="16">
        <f>SUMIFS($D:$D,$E:$E,"FAUX",$G:$G,"C2",$M:$M,"B",$N:$N,"C*")*SUMIFS($J:$J,$E:$E,"VRAI",$F:$F,"D",$M:$M,"B")*SUMIFS($J:$J,$E:$E,"VRAI",$H:$H,"B",$I:$I,"A1")</f>
        <v>110.77250523377531</v>
      </c>
      <c r="AD17" s="17">
        <f>SUMIFS($D:$D,$E:$E,"FAUX",$G:$G,"C2",$M:$M,"B",$N:$N,"C*")*SUMIFS($J:$J,$E:$E,"VRAI",$F:$F,"D",$M:$M,"B")*SUMIFS($J:$J,$E:$E,"VRAI",$H:$H,"B",$I:$I,"A2")</f>
        <v>0</v>
      </c>
      <c r="AE17" s="17">
        <f>SUMIFS($D:$D,$E:$E,"FAUX",$G:$G,"C2",$M:$M,"B",$N:$N,"C*")*SUMIFS($J:$J,$E:$E,"VRAI",$F:$F,"D",$M:$M,"B")*SUMIFS($J:$J,$E:$E,"VRAI",$H:$H,"B",$I:$I,"A3")</f>
        <v>70.227494766224709</v>
      </c>
      <c r="AF17" s="17">
        <f>SUMIFS($D:$D,$E:$E,"FAUX",$G:$G,"C2",$M:$M,"B",$N:$N,"C*")*SUMIFS($J:$J,$E:$E,"VRAI",$F:$F,"D",$M:$M,"B")*SUMIFS($J:$J,$E:$E,"VRAI",$H:$H,"B",$I:$I,"A4")</f>
        <v>0</v>
      </c>
      <c r="AG17" s="17">
        <f>SUMIFS($D:$D,$E:$E,"FAUX",$G:$G,"C2",$M:$M,"B",$N:$N,"C*")*SUMIFS($J:$J,$E:$E,"VRAI",$F:$F,"D",$M:$M,"B")*SUMIFS($J:$J,$E:$E,"VRAI",$H:$H,"B",$I:$I,"A5")</f>
        <v>0</v>
      </c>
      <c r="AH17" s="18">
        <f>SUMIFS($D:$D,$E:$E,"FAUX",$G:$G,"C2",$M:$M,"B",$N:$N,"C*")*SUMIFS($J:$J,$E:$E,"VRAI",$F:$F,"D",$M:$M,"B")*SUMIFS($J:$J,$E:$E,"VRAI",$H:$H,"B",$I:$I,"A6")</f>
        <v>0</v>
      </c>
      <c r="AI17" s="16">
        <f>SUMIFS($D:$D,$E:$E,"FAUX",$G:$G,"C2",$M:$M,"B",$N:$N,"C*")*SUMIFS($J:$J,$E:$E,"VRAI",$I:$I,"B1",$F:$F,"C")</f>
        <v>167.49554565701558</v>
      </c>
      <c r="AJ17" s="17">
        <f>SUMIFS($D:$D,$E:$E,"FAUX",$G:$G,"C2",$M:$M,"B",$N:$N,"C*")*SUMIFS($J:$J,$E:$E,"VRAI",$I:$I,"B2",$F:$F,"C")</f>
        <v>0</v>
      </c>
      <c r="AK17" s="17">
        <f>SUMIFS($D:$D,$E:$E,"FAUX",$G:$G,"C2",$M:$M,"B",$N:$N,"C*")*SUMIFS($J:$J,$E:$E,"VRAI",$I:$I,"B3",$F:$F,"C")</f>
        <v>0</v>
      </c>
      <c r="AL17" s="17">
        <f>SUMIFS($D:$D,$E:$E,"FAUX",$G:$G,"C2",$M:$M,"B",$N:$N,"C*")*SUMIFS($J:$J,$E:$E,"VRAI",$I:$I,"B4",$F:$F,"C")</f>
        <v>13.504454342984411</v>
      </c>
      <c r="AM17" s="17">
        <f>SUMIFS($D:$D,$E:$E,"FAUX",$G:$G,"C2",$M:$M,"B",$N:$N,"C*")*SUMIFS($J:$J,$E:$E,"VRAI",$I:$I,"B5",$F:$F,"C")</f>
        <v>0</v>
      </c>
      <c r="AN17" s="18">
        <f>SUMIFS($D:$D,$E:$E,"FAUX",$G:$G,"C2",$M:$M,"B",$N:$N,"C*")*SUMIFS($J:$J,$E:$E,"VRAI",$I:$I,"B6",$F:$F,"C")</f>
        <v>0</v>
      </c>
      <c r="AO17" s="43">
        <f>SUMIFS($D:$D,$O:$O,"C_2_1")</f>
        <v>181</v>
      </c>
      <c r="AP17" s="43">
        <f>SUMIFS($D:$D,$O:$O,"C_2_2")</f>
        <v>0</v>
      </c>
      <c r="AQ17" s="43">
        <f>SUMIFS($D:$D,$O:$O,"C_2_3")</f>
        <v>367</v>
      </c>
      <c r="AR17" s="43">
        <f>SUMIFS($D:$D,$O:$O,"C_2_4")</f>
        <v>0</v>
      </c>
      <c r="AS17" s="43">
        <f>SUMIFS($D:$D,$O:$O,"C_2_5")</f>
        <v>0</v>
      </c>
      <c r="AT17" s="36">
        <f>SUMIFS($D:$D,$O:$O,"C_2_6")</f>
        <v>0</v>
      </c>
      <c r="AU17" s="46">
        <f>SUMIFS($D:$D,$E:$E,"FAUX",$G:$G,"C2",$M:$M,"D",$N:$N,"C*")*SUMIFS($J:$J,$O:$O,"D_1_1")</f>
        <v>0</v>
      </c>
      <c r="AV17" s="47">
        <f>ROUND(SUMIFS($D:$D,$E:$E,"FAUX",$G:$G,"C2",$M:$M,"D",$N:$N,"C*")*SUMIFS($J:$J,$O:$O,"D_1_2"),0)</f>
        <v>41</v>
      </c>
      <c r="AW17" s="47">
        <f>SUMIFS($D:$D,$E:$E,"FAUX",$G:$G,"C2",$M:$M,"D",$N:$N,"C*")*SUMIFS($J:$J,$O:$O,"D_1_3")</f>
        <v>303.32693984306889</v>
      </c>
      <c r="AX17" s="47">
        <f>SUMIFS($D:$D,$E:$E,"FAUX",$G:$G,"C2",$M:$M,"D",$N:$N,"C*")*SUMIFS($J:$J,$O:$O,"D_1_4")</f>
        <v>22.397558849171752</v>
      </c>
      <c r="AY17" s="47">
        <f>SUMIFS($D:$D,$E:$E,"FAUX",$G:$G,"C2",$M:$M,"D",$N:$N,"C*")*SUMIFS($J:$J,$O:$O,"D_1_5")</f>
        <v>0</v>
      </c>
      <c r="AZ17" s="48">
        <f>SUMIFS($D:$D,$E:$E,"FAUX",$G:$G,"C2",$M:$M,"D",$N:$N,"C*")*SUMIFS($J:$J,$O:$O,"D_1_6")</f>
        <v>0</v>
      </c>
      <c r="BA17" s="46">
        <f>SUMIFS($D:$D,$E:$E,"FAUX",$G:$G,"C2",$M:$M,"D",$N:$N,"C*")*SUMIFS($J:$J,$E:$E,"VRAI",$F:$F,"C",$M:$M,"E")*SUMIFS($J:$J,$E:$E,"VRAI",$H:$H,"D",$I:$I,"E1")</f>
        <v>0</v>
      </c>
      <c r="BB17" s="47">
        <f>SUMIFS($D:$D,$E:$E,"FAUX",$G:$G,"C2",$M:$M,"D",$N:$N,"C*")*SUMIFS($J:$J,$E:$E,"VRAI",$F:$F,"C",$M:$M,"E")*SUMIFS($J:$J,$E:$E,"VRAI",$H:$H,"D",$I:$I,"E2")</f>
        <v>286.45776060730537</v>
      </c>
      <c r="BC17" s="47">
        <f>SUMIFS($D:$D,$E:$E,"FAUX",$G:$G,"C2",$M:$M,"D",$N:$N,"C*")*SUMIFS($J:$J,$E:$E,"VRAI",$F:$F,"C",$M:$M,"E")*SUMIFS($J:$J,$E:$E,"VRAI",$H:$H,"D",$I:$I,"E3")</f>
        <v>16.869179235763536</v>
      </c>
      <c r="BD17" s="47">
        <f>SUMIFS($D:$D,$E:$E,"FAUX",$G:$G,"C2",$M:$M,"D",$N:$N,"C*")*SUMIFS($J:$J,$E:$E,"VRAI",$F:$F,"C",$M:$M,"E")*SUMIFS($J:$J,$E:$E,"VRAI",$H:$H,"D",$I:$I,"E4")</f>
        <v>0</v>
      </c>
      <c r="BE17" s="47">
        <f>SUMIFS($D:$D,$E:$E,"FAUX",$G:$G,"C2",$M:$M,"D",$N:$N,"C*")*SUMIFS($J:$J,$E:$E,"VRAI",$F:$F,"C",$M:$M,"E")*SUMIFS($J:$J,$E:$E,"VRAI",$H:$H,"D",$I:$I,"E5")</f>
        <v>0</v>
      </c>
      <c r="BF17" s="48">
        <f>SUMIFS($D:$D,$E:$E,"FAUX",$G:$G,"C2",$M:$M,"D",$N:$N,"C*")*SUMIFS($J:$J,$E:$E,"VRAI",$F:$F,"C",$M:$M,"E")*SUMIFS($J:$J,$E:$E,"VRAI",$H:$H,"D",$I:$I,"E6")</f>
        <v>0</v>
      </c>
      <c r="BG17" s="46">
        <f>SUMIFS($D:$D,$E:$E,"FAUX",$G:$G,"C2",$M:$M,"D",$N:$N,"C*")*SUMIFS($J:$J,$E:$E,"VRAI",$F:$F,"C",$M:$M,"E")*SUMIFS($J:$J,$E:$E,"VRAI",$F:$F,"D",$M:$M,"F")*SUMIFS($J:$J,$E:$E,"VRAI",$H:$H,"E",$I:$I,"F1")</f>
        <v>0</v>
      </c>
      <c r="BH17" s="47">
        <f>SUMIFS($D:$D,$E:$E,"FAUX",$G:$G,"C2",$M:$M,"D",$N:$N,"C*")*SUMIFS($J:$J,$E:$E,"VRAI",$F:$F,"C",$M:$M,"E")*SUMIFS($J:$J,$E:$E,"VRAI",$F:$F,"D",$M:$M,"F")*SUMIFS($J:$J,$E:$E,"VRAI",$H:$H,"E",$I:$I,"F2")</f>
        <v>17.323037232168335</v>
      </c>
      <c r="BI17" s="47">
        <f>SUMIFS($D:$D,$E:$E,"FAUX",$G:$G,"C2",$M:$M,"D",$N:$N,"C*")*SUMIFS($J:$J,$E:$E,"VRAI",$F:$F,"C",$M:$M,"E")*SUMIFS($J:$J,$E:$E,"VRAI",$F:$F,"D",$M:$M,"F")*SUMIFS($J:$J,$E:$E,"VRAI",$H:$H,"E",$I:$I,"F3")</f>
        <v>231.97806380468901</v>
      </c>
      <c r="BJ17" s="47">
        <f>SUMIFS($D:$D,$E:$E,"FAUX",$G:$G,"C2",$M:$M,"D",$N:$N,"C*")*SUMIFS($J:$J,$E:$E,"VRAI",$F:$F,"C",$M:$M,"E")*SUMIFS($J:$J,$E:$E,"VRAI",$F:$F,"D",$M:$M,"F")*SUMIFS($J:$J,$E:$E,"VRAI",$H:$H,"E",$I:$I,"F4")</f>
        <v>37.156659570448021</v>
      </c>
      <c r="BK17" s="47">
        <f>SUMIFS($D:$D,$E:$E,"FAUX",$G:$G,"C2",$M:$M,"D",$N:$N,"C*")*SUMIFS($J:$J,$E:$E,"VRAI",$F:$F,"C",$M:$M,"E")*SUMIFS($J:$J,$E:$E,"VRAI",$F:$F,"D",$M:$M,"F")*SUMIFS($J:$J,$E:$E,"VRAI",$H:$H,"E",$I:$I,"F5")</f>
        <v>0</v>
      </c>
      <c r="BL17" s="47">
        <f>SUMIFS($D:$D,$E:$E,"FAUX",$G:$G,"C2",$M:$M,"D",$N:$N,"C*")*SUMIFS($J:$J,$E:$E,"VRAI",$F:$F,"C",$M:$M,"E")*SUMIFS($J:$J,$E:$E,"VRAI",$F:$F,"D",$M:$M,"F")*SUMIFS($J:$J,$E:$E,"VRAI",$H:$H,"E",$I:$I,"F6")</f>
        <v>0</v>
      </c>
      <c r="BM17" s="46">
        <f>SUMIFS($D:$D,$E:$E,"FAUX",$G:$G,"C2",$M:$M,"D",$N:$N,"C*")*SUMIFS($J:$J,$E:$E,"VRAI",$F:$F,"C",$M:$M,"E")*SUMIFS($J:$J,$E:$E,"VRAI",$F:$F,"D",$M:$M,"F")*SUMIFS($J:$J,$E:$E,"VRAI",$F:$F,"E",$M:$M,"G")*SUMIFS($J:$J,$E:$E,"VRAI",$F:$F,"F",$I:$I,"G1")</f>
        <v>0</v>
      </c>
      <c r="BN17" s="47">
        <f>SUMIFS($D:$D,$E:$E,"FAUX",$G:$G,"C2",$M:$M,"D",$N:$N,"C*")*SUMIFS($J:$J,$E:$E,"VRAI",$F:$F,"C",$M:$M,"E")*SUMIFS($J:$J,$E:$E,"VRAI",$F:$F,"D",$M:$M,"F")*SUMIFS($J:$J,$E:$E,"VRAI",$F:$F,"E",$M:$M,"G")*SUMIFS($J:$J,$E:$E,"VRAI",$F:$F,"F",$I:$I,"G2")</f>
        <v>230.2707735466968</v>
      </c>
      <c r="BO17" s="47">
        <f>SUMIFS($D:$D,$E:$E,"FAUX",$G:$G,"C2",$M:$M,"D",$N:$N,"C*")*SUMIFS($J:$J,$E:$E,"VRAI",$F:$F,"C",$M:$M,"E")*SUMIFS($J:$J,$E:$E,"VRAI",$F:$F,"D",$M:$M,"F")*SUMIFS($J:$J,$E:$E,"VRAI",$F:$F,"E",$M:$M,"G")*SUMIFS($J:$J,$E:$E,"VRAI",$F:$F,"F",$I:$I,"G3")</f>
        <v>1.7072902579921914</v>
      </c>
      <c r="BP17" s="47">
        <f>SUMIFS($D:$D,$E:$E,"FAUX",$G:$G,"C2",$M:$M,"D",$N:$N,"C*")*SUMIFS($J:$J,$E:$E,"VRAI",$F:$F,"C",$M:$M,"E")*SUMIFS($J:$J,$E:$E,"VRAI",$F:$F,"D",$M:$M,"F")*SUMIFS($J:$J,$E:$E,"VRAI",$F:$F,"E",$M:$M,"G")*SUMIFS($J:$J,$E:$E,"VRAI",$F:$F,"F",$I:$I,"G4")</f>
        <v>0</v>
      </c>
      <c r="BQ17" s="47">
        <f>SUMIFS($D:$D,$E:$E,"FAUX",$G:$G,"C2",$M:$M,"D",$N:$N,"C*")*SUMIFS($J:$J,$E:$E,"VRAI",$F:$F,"C",$M:$M,"E")*SUMIFS($J:$J,$E:$E,"VRAI",$F:$F,"D",$M:$M,"F")*SUMIFS($J:$J,$E:$E,"VRAI",$F:$F,"E",$M:$M,"G")*SUMIFS($J:$J,$E:$E,"VRAI",$F:$F,"F",$I:$I,"G5")</f>
        <v>0</v>
      </c>
      <c r="BR17" s="48">
        <f>SUMIFS($D:$D,$E:$E,"FAUX",$G:$G,"C2",$M:$M,"D",$N:$N,"C*")*SUMIFS($J:$J,$E:$E,"VRAI",$F:$F,"C",$M:$M,"E")*SUMIFS($J:$J,$E:$E,"VRAI",$F:$F,"D",$M:$M,"F")*SUMIFS($J:$J,$E:$E,"VRAI",$F:$F,"E",$M:$M,"G")*SUMIFS($J:$J,$E:$E,"VRAI",$F:$F,"F",$I:$I,"G6")</f>
        <v>0</v>
      </c>
      <c r="BS17" s="46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3")</f>
        <v>209.61059090269876</v>
      </c>
      <c r="BV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4")</f>
        <v>20.660182643998059</v>
      </c>
      <c r="BW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7" s="46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209.61059090269876</v>
      </c>
      <c r="CA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7" s="46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36.165738185943717</v>
      </c>
      <c r="CG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138.03256740968516</v>
      </c>
      <c r="CH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35.412285307069887</v>
      </c>
      <c r="CI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7" s="46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84.286553239537213</v>
      </c>
      <c r="CM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53.746014170147937</v>
      </c>
      <c r="CN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7" s="47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7" s="48">
        <f>SUMIFS($D:$D,$E:$E,"FAUX",$G:$G,"C2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8" spans="1:94">
      <c r="A18" s="35" t="s">
        <v>8</v>
      </c>
      <c r="B18" s="35">
        <v>3</v>
      </c>
      <c r="C18" s="35">
        <v>3</v>
      </c>
      <c r="D18" s="35">
        <v>0</v>
      </c>
      <c r="E18" s="35" t="b">
        <v>0</v>
      </c>
      <c r="F18" s="35"/>
      <c r="G18" s="53" t="str">
        <f t="shared" si="0"/>
        <v>A3</v>
      </c>
      <c r="H18" s="52" t="str">
        <f t="shared" si="5"/>
        <v/>
      </c>
      <c r="I18" s="41" t="str">
        <f t="shared" si="1"/>
        <v>A3</v>
      </c>
      <c r="J18" s="42">
        <f t="shared" si="2"/>
        <v>0</v>
      </c>
      <c r="K18" s="41">
        <f t="shared" si="6"/>
        <v>1186</v>
      </c>
      <c r="L18" s="41" t="str">
        <f t="shared" si="3"/>
        <v/>
      </c>
      <c r="M18" s="41" t="str">
        <f t="shared" si="7"/>
        <v/>
      </c>
      <c r="N18" s="41" t="str">
        <f>IFERROR(VLOOKUP(I18,L18:L:L,1,FALSE),"")</f>
        <v/>
      </c>
      <c r="O18" s="56" t="str">
        <f t="shared" si="8"/>
        <v>A_3_3</v>
      </c>
      <c r="Z18" t="str">
        <f t="shared" si="9"/>
        <v>C3</v>
      </c>
      <c r="AA18" t="str">
        <f t="shared" si="10"/>
        <v>C3</v>
      </c>
      <c r="AB18" t="s">
        <v>33</v>
      </c>
      <c r="AC18" s="16">
        <f>SUMIFS($D:$D,$E:$E,"FAUX",$G:$G,"C3",$M:$M,"B",$N:$N,"C*")*SUMIFS($J:$J,$E:$E,"VRAI",$F:$F,"D",$M:$M,"B")*SUMIFS($J:$J,$E:$E,"VRAI",$H:$H,"B",$I:$I,"A1")</f>
        <v>0</v>
      </c>
      <c r="AD18" s="17">
        <f>SUMIFS($D:$D,$E:$E,"FAUX",$G:$G,"C3",$M:$M,"B",$N:$N,"C*")*SUMIFS($J:$J,$E:$E,"VRAI",$F:$F,"D",$M:$M,"B")*SUMIFS($J:$J,$E:$E,"VRAI",$H:$H,"B",$I:$I,"A2")</f>
        <v>0</v>
      </c>
      <c r="AE18" s="17">
        <f>SUMIFS($D:$D,$E:$E,"FAUX",$G:$G,"C3",$M:$M,"B",$N:$N,"C*")*SUMIFS($J:$J,$E:$E,"VRAI",$F:$F,"D",$M:$M,"B")*SUMIFS($J:$J,$E:$E,"VRAI",$H:$H,"B",$I:$I,"A3")</f>
        <v>0</v>
      </c>
      <c r="AF18" s="17">
        <f>SUMIFS($D:$D,$E:$E,"FAUX",$G:$G,"C3",$M:$M,"B",$N:$N,"C*")*SUMIFS($J:$J,$E:$E,"VRAI",$F:$F,"D",$M:$M,"B")*SUMIFS($J:$J,$E:$E,"VRAI",$H:$H,"B",$I:$I,"A4")</f>
        <v>0</v>
      </c>
      <c r="AG18" s="17">
        <f>SUMIFS($D:$D,$E:$E,"FAUX",$G:$G,"C3",$M:$M,"B",$N:$N,"C*")*SUMIFS($J:$J,$E:$E,"VRAI",$F:$F,"D",$M:$M,"B")*SUMIFS($J:$J,$E:$E,"VRAI",$H:$H,"B",$I:$I,"A5")</f>
        <v>0</v>
      </c>
      <c r="AH18" s="18">
        <f>SUMIFS($D:$D,$E:$E,"FAUX",$G:$G,"C3",$M:$M,"B",$N:$N,"C*")*SUMIFS($J:$J,$E:$E,"VRAI",$F:$F,"D",$M:$M,"B")*SUMIFS($J:$J,$E:$E,"VRAI",$H:$H,"B",$I:$I,"A6")</f>
        <v>0</v>
      </c>
      <c r="AI18" s="16">
        <f>SUMIFS($D:$D,$E:$E,"FAUX",$G:$G,"C3",$M:$M,"B",$N:$N,"C*")*SUMIFS($J:$J,$E:$E,"VRAI",$I:$I,"B1",$F:$F,"C")</f>
        <v>0</v>
      </c>
      <c r="AJ18" s="17">
        <f>SUMIFS($D:$D,$E:$E,"FAUX",$G:$G,"C3",$M:$M,"B",$N:$N,"C*")*SUMIFS($J:$J,$E:$E,"VRAI",$I:$I,"B2",$F:$F,"C")</f>
        <v>0</v>
      </c>
      <c r="AK18" s="17">
        <f>SUMIFS($D:$D,$E:$E,"FAUX",$G:$G,"C3",$M:$M,"B",$N:$N,"C*")*SUMIFS($J:$J,$E:$E,"VRAI",$I:$I,"B3",$F:$F,"C")</f>
        <v>0</v>
      </c>
      <c r="AL18" s="17">
        <f>SUMIFS($D:$D,$E:$E,"FAUX",$G:$G,"C3",$M:$M,"B",$N:$N,"C*")*SUMIFS($J:$J,$E:$E,"VRAI",$I:$I,"B4",$F:$F,"C")</f>
        <v>0</v>
      </c>
      <c r="AM18" s="17">
        <f>SUMIFS($D:$D,$E:$E,"FAUX",$G:$G,"C3",$M:$M,"B",$N:$N,"C*")*SUMIFS($J:$J,$E:$E,"VRAI",$I:$I,"B5",$F:$F,"C")</f>
        <v>0</v>
      </c>
      <c r="AN18" s="18">
        <f>SUMIFS($D:$D,$E:$E,"FAUX",$G:$G,"C3",$M:$M,"B",$N:$N,"C*")*SUMIFS($J:$J,$E:$E,"VRAI",$I:$I,"B6",$F:$F,"C")</f>
        <v>0</v>
      </c>
      <c r="AO18" s="43">
        <f>SUMIFS($D:$D,$O:$O,"C_3_1")</f>
        <v>792</v>
      </c>
      <c r="AP18" s="43">
        <f>SUMIFS($D:$D,$O:$O,"C_3_2")</f>
        <v>0</v>
      </c>
      <c r="AQ18" s="43">
        <f>SUMIFS($D:$D,$O:$O,"C_3_3")</f>
        <v>0</v>
      </c>
      <c r="AR18" s="43">
        <f>SUMIFS($D:$D,$O:$O,"C_3_4")</f>
        <v>0</v>
      </c>
      <c r="AS18" s="43">
        <f>SUMIFS($D:$D,$O:$O,"C_3_5")</f>
        <v>0</v>
      </c>
      <c r="AT18" s="36">
        <f>SUMIFS($D:$D,$O:$O,"C_3_6")</f>
        <v>0</v>
      </c>
      <c r="AU18" s="46">
        <f>SUMIFS($D:$D,$E:$E,"FAUX",$G:$G,"C3",$M:$M,"D",$N:$N,"C*")*SUMIFS($J:$J,$O:$O,"D_1_1")</f>
        <v>0</v>
      </c>
      <c r="AV18" s="47">
        <f>SUMIFS($D:$D,$E:$E,"FAUX",$G:$G,"C3",$M:$M,"D",$N:$N,"C*")*SUMIFS($J:$J,$O:$O,"D_1_2")</f>
        <v>0</v>
      </c>
      <c r="AW18" s="47">
        <f>SUMIFS($D:$D,$E:$E,"FAUX",$G:$G,"C3",$M:$M,"D",$N:$N,"C*")*SUMIFS($J:$J,$O:$O,"D_1_3")</f>
        <v>0</v>
      </c>
      <c r="AX18" s="47">
        <f>SUMIFS($D:$D,$E:$E,"FAUX",$G:$G,"C3",$M:$M,"D",$N:$N,"C*")*SUMIFS($J:$J,$O:$O,"D_1_4")</f>
        <v>0</v>
      </c>
      <c r="AY18" s="47">
        <f>SUMIFS($D:$D,$E:$E,"FAUX",$G:$G,"C3",$M:$M,"D",$N:$N,"C*")*SUMIFS($J:$J,$O:$O,"D_1_5")</f>
        <v>0</v>
      </c>
      <c r="AZ18" s="48">
        <f>SUMIFS($D:$D,$E:$E,"FAUX",$G:$G,"C3",$M:$M,"D",$N:$N,"C*")*SUMIFS($J:$J,$O:$O,"D_1_6")</f>
        <v>0</v>
      </c>
      <c r="BA18" s="46">
        <f>SUMIFS($D:$D,$E:$E,"FAUX",$G:$G,"C3",$M:$M,"D",$N:$N,"C*")*SUMIFS($J:$J,$E:$E,"VRAI",$F:$F,"C",$M:$M,"E")*SUMIFS($J:$J,$E:$E,"VRAI",$H:$H,"D",$I:$I,"E1")</f>
        <v>0</v>
      </c>
      <c r="BB18" s="47">
        <f>SUMIFS($D:$D,$E:$E,"FAUX",$G:$G,"C3",$M:$M,"D",$N:$N,"C*")*SUMIFS($J:$J,$E:$E,"VRAI",$F:$F,"C",$M:$M,"E")*SUMIFS($J:$J,$E:$E,"VRAI",$H:$H,"D",$I:$I,"E2")</f>
        <v>0</v>
      </c>
      <c r="BC18" s="47">
        <f>SUMIFS($D:$D,$E:$E,"FAUX",$G:$G,"C3",$M:$M,"D",$N:$N,"C*")*SUMIFS($J:$J,$E:$E,"VRAI",$F:$F,"C",$M:$M,"E")*SUMIFS($J:$J,$E:$E,"VRAI",$H:$H,"D",$I:$I,"E3")</f>
        <v>0</v>
      </c>
      <c r="BD18" s="47">
        <f>SUMIFS($D:$D,$E:$E,"FAUX",$G:$G,"C3",$M:$M,"D",$N:$N,"C*")*SUMIFS($J:$J,$E:$E,"VRAI",$F:$F,"C",$M:$M,"E")*SUMIFS($J:$J,$E:$E,"VRAI",$H:$H,"D",$I:$I,"E4")</f>
        <v>0</v>
      </c>
      <c r="BE18" s="47">
        <f>SUMIFS($D:$D,$E:$E,"FAUX",$G:$G,"C3",$M:$M,"D",$N:$N,"C*")*SUMIFS($J:$J,$E:$E,"VRAI",$F:$F,"C",$M:$M,"E")*SUMIFS($J:$J,$E:$E,"VRAI",$H:$H,"D",$I:$I,"E5")</f>
        <v>0</v>
      </c>
      <c r="BF18" s="48">
        <f>SUMIFS($D:$D,$E:$E,"FAUX",$G:$G,"C3",$M:$M,"D",$N:$N,"C*")*SUMIFS($J:$J,$E:$E,"VRAI",$F:$F,"C",$M:$M,"E")*SUMIFS($J:$J,$E:$E,"VRAI",$H:$H,"D",$I:$I,"E6")</f>
        <v>0</v>
      </c>
      <c r="BG18" s="46">
        <f>SUMIFS($D:$D,$E:$E,"FAUX",$G:$G,"C3",$M:$M,"D",$N:$N,"C*")*SUMIFS($J:$J,$E:$E,"VRAI",$F:$F,"C",$M:$M,"E")*SUMIFS($J:$J,$E:$E,"VRAI",$F:$F,"D",$M:$M,"F")*SUMIFS($J:$J,$E:$E,"VRAI",$H:$H,"E",$I:$I,"F1")</f>
        <v>0</v>
      </c>
      <c r="BH18" s="47">
        <f>SUMIFS($D:$D,$E:$E,"FAUX",$G:$G,"C3",$M:$M,"D",$N:$N,"C*")*SUMIFS($J:$J,$E:$E,"VRAI",$F:$F,"C",$M:$M,"E")*SUMIFS($J:$J,$E:$E,"VRAI",$F:$F,"D",$M:$M,"F")*SUMIFS($J:$J,$E:$E,"VRAI",$H:$H,"E",$I:$I,"F2")</f>
        <v>0</v>
      </c>
      <c r="BI18" s="47">
        <f>SUMIFS($D:$D,$E:$E,"FAUX",$G:$G,"C3",$M:$M,"D",$N:$N,"C*")*SUMIFS($J:$J,$E:$E,"VRAI",$F:$F,"C",$M:$M,"E")*SUMIFS($J:$J,$E:$E,"VRAI",$F:$F,"D",$M:$M,"F")*SUMIFS($J:$J,$E:$E,"VRAI",$H:$H,"E",$I:$I,"F3")</f>
        <v>0</v>
      </c>
      <c r="BJ18" s="47">
        <f>SUMIFS($D:$D,$E:$E,"FAUX",$G:$G,"C3",$M:$M,"D",$N:$N,"C*")*SUMIFS($J:$J,$E:$E,"VRAI",$F:$F,"C",$M:$M,"E")*SUMIFS($J:$J,$E:$E,"VRAI",$F:$F,"D",$M:$M,"F")*SUMIFS($J:$J,$E:$E,"VRAI",$H:$H,"E",$I:$I,"F4")</f>
        <v>0</v>
      </c>
      <c r="BK18" s="47">
        <f>SUMIFS($D:$D,$E:$E,"FAUX",$G:$G,"C3",$M:$M,"D",$N:$N,"C*")*SUMIFS($J:$J,$E:$E,"VRAI",$F:$F,"C",$M:$M,"E")*SUMIFS($J:$J,$E:$E,"VRAI",$F:$F,"D",$M:$M,"F")*SUMIFS($J:$J,$E:$E,"VRAI",$H:$H,"E",$I:$I,"F5")</f>
        <v>0</v>
      </c>
      <c r="BL18" s="47">
        <f>SUMIFS($D:$D,$E:$E,"FAUX",$G:$G,"C3",$M:$M,"D",$N:$N,"C*")*SUMIFS($J:$J,$E:$E,"VRAI",$F:$F,"C",$M:$M,"E")*SUMIFS($J:$J,$E:$E,"VRAI",$F:$F,"D",$M:$M,"F")*SUMIFS($J:$J,$E:$E,"VRAI",$H:$H,"E",$I:$I,"F6")</f>
        <v>0</v>
      </c>
      <c r="BM18" s="46">
        <f>SUMIFS($D:$D,$E:$E,"FAUX",$G:$G,"C3",$M:$M,"D",$N:$N,"C*")*SUMIFS($J:$J,$E:$E,"VRAI",$F:$F,"C",$M:$M,"E")*SUMIFS($J:$J,$E:$E,"VRAI",$F:$F,"D",$M:$M,"F")*SUMIFS($J:$J,$E:$E,"VRAI",$F:$F,"E",$M:$M,"G")*SUMIFS($J:$J,$E:$E,"VRAI",$F:$F,"F",$I:$I,"G1")</f>
        <v>0</v>
      </c>
      <c r="BN18" s="47">
        <f>SUMIFS($D:$D,$E:$E,"FAUX",$G:$G,"C3",$M:$M,"D",$N:$N,"C*")*SUMIFS($J:$J,$E:$E,"VRAI",$F:$F,"C",$M:$M,"E")*SUMIFS($J:$J,$E:$E,"VRAI",$F:$F,"D",$M:$M,"F")*SUMIFS($J:$J,$E:$E,"VRAI",$F:$F,"E",$M:$M,"G")*SUMIFS($J:$J,$E:$E,"VRAI",$F:$F,"F",$I:$I,"G2")</f>
        <v>0</v>
      </c>
      <c r="BO18" s="47">
        <f>SUMIFS($D:$D,$E:$E,"FAUX",$G:$G,"C3",$M:$M,"D",$N:$N,"C*")*SUMIFS($J:$J,$E:$E,"VRAI",$F:$F,"C",$M:$M,"E")*SUMIFS($J:$J,$E:$E,"VRAI",$F:$F,"D",$M:$M,"F")*SUMIFS($J:$J,$E:$E,"VRAI",$F:$F,"E",$M:$M,"G")*SUMIFS($J:$J,$E:$E,"VRAI",$F:$F,"F",$I:$I,"G3")</f>
        <v>0</v>
      </c>
      <c r="BP18" s="47">
        <f>SUMIFS($D:$D,$E:$E,"FAUX",$G:$G,"C3",$M:$M,"D",$N:$N,"C*")*SUMIFS($J:$J,$E:$E,"VRAI",$F:$F,"C",$M:$M,"E")*SUMIFS($J:$J,$E:$E,"VRAI",$F:$F,"D",$M:$M,"F")*SUMIFS($J:$J,$E:$E,"VRAI",$F:$F,"E",$M:$M,"G")*SUMIFS($J:$J,$E:$E,"VRAI",$F:$F,"F",$I:$I,"G4")</f>
        <v>0</v>
      </c>
      <c r="BQ18" s="47">
        <f>SUMIFS($D:$D,$E:$E,"FAUX",$G:$G,"C3",$M:$M,"D",$N:$N,"C*")*SUMIFS($J:$J,$E:$E,"VRAI",$F:$F,"C",$M:$M,"E")*SUMIFS($J:$J,$E:$E,"VRAI",$F:$F,"D",$M:$M,"F")*SUMIFS($J:$J,$E:$E,"VRAI",$F:$F,"E",$M:$M,"G")*SUMIFS($J:$J,$E:$E,"VRAI",$F:$F,"F",$I:$I,"G5")</f>
        <v>0</v>
      </c>
      <c r="BR18" s="48">
        <f>SUMIFS($D:$D,$E:$E,"FAUX",$G:$G,"C3",$M:$M,"D",$N:$N,"C*")*SUMIFS($J:$J,$E:$E,"VRAI",$F:$F,"C",$M:$M,"E")*SUMIFS($J:$J,$E:$E,"VRAI",$F:$F,"D",$M:$M,"F")*SUMIFS($J:$J,$E:$E,"VRAI",$F:$F,"E",$M:$M,"G")*SUMIFS($J:$J,$E:$E,"VRAI",$F:$F,"F",$I:$I,"G6")</f>
        <v>0</v>
      </c>
      <c r="BS18" s="46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8" s="46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8" s="46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8" s="46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8" s="47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8" s="48">
        <f>SUMIFS($D:$D,$E:$E,"FAUX",$G:$G,"C3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19" spans="1:94">
      <c r="A19" s="35" t="s">
        <v>8</v>
      </c>
      <c r="B19" s="35">
        <v>4</v>
      </c>
      <c r="C19" s="35">
        <v>5</v>
      </c>
      <c r="D19" s="35">
        <v>0</v>
      </c>
      <c r="E19" s="35" t="b">
        <v>1</v>
      </c>
      <c r="F19" s="35" t="s">
        <v>9</v>
      </c>
      <c r="G19" s="53" t="str">
        <f t="shared" si="0"/>
        <v>A4</v>
      </c>
      <c r="H19" s="52" t="str">
        <f t="shared" si="5"/>
        <v>B</v>
      </c>
      <c r="I19" s="41" t="str">
        <f t="shared" si="1"/>
        <v>A5</v>
      </c>
      <c r="J19" s="42">
        <f t="shared" si="2"/>
        <v>0</v>
      </c>
      <c r="K19" s="41">
        <f t="shared" si="6"/>
        <v>1433</v>
      </c>
      <c r="L19" s="41" t="str">
        <f t="shared" si="3"/>
        <v>A4</v>
      </c>
      <c r="M19" s="41" t="str">
        <f t="shared" si="7"/>
        <v/>
      </c>
      <c r="N19" s="41" t="str">
        <f>IFERROR(VLOOKUP(I19,L19:L:L,1,FALSE),"")</f>
        <v/>
      </c>
      <c r="O19" s="56" t="str">
        <f t="shared" si="8"/>
        <v>A_4_5</v>
      </c>
      <c r="U19" s="1" t="s">
        <v>10</v>
      </c>
      <c r="V19" s="2">
        <f>SUMIF(A:A,"C",D:D)</f>
        <v>2117</v>
      </c>
      <c r="Z19" t="e">
        <f t="shared" si="9"/>
        <v>#N/A</v>
      </c>
      <c r="AA19" t="e">
        <f t="shared" si="10"/>
        <v>#N/A</v>
      </c>
      <c r="AB19" t="s">
        <v>17</v>
      </c>
      <c r="AC19" s="16">
        <f>SUMIFS($D:$D,$E:$E,"FAUX",$G:$G,"C4",$M:$M,"B",$N:$N,"C*")*SUMIFS($J:$J,$E:$E,"VRAI",$F:$F,"D",$M:$M,"B")*SUMIFS($J:$J,$E:$E,"VRAI",$H:$H,"B",$I:$I,"A1")</f>
        <v>0</v>
      </c>
      <c r="AD19" s="17">
        <f>SUMIFS($D:$D,$E:$E,"FAUX",$G:$G,"C4",$M:$M,"B",$N:$N,"C*")*SUMIFS($J:$J,$E:$E,"VRAI",$F:$F,"D",$M:$M,"B")*SUMIFS($J:$J,$E:$E,"VRAI",$H:$H,"B",$I:$I,"A2")</f>
        <v>0</v>
      </c>
      <c r="AE19" s="17">
        <f>SUMIFS($D:$D,$E:$E,"FAUX",$G:$G,"C4",$M:$M,"B",$N:$N,"C*")*SUMIFS($J:$J,$E:$E,"VRAI",$F:$F,"D",$M:$M,"B")*SUMIFS($J:$J,$E:$E,"VRAI",$H:$H,"B",$I:$I,"A3")</f>
        <v>0</v>
      </c>
      <c r="AF19" s="17">
        <f>SUMIFS($D:$D,$E:$E,"FAUX",$G:$G,"C4",$M:$M,"B",$N:$N,"C*")*SUMIFS($J:$J,$E:$E,"VRAI",$F:$F,"D",$M:$M,"B")*SUMIFS($J:$J,$E:$E,"VRAI",$H:$H,"B",$I:$I,"A4")</f>
        <v>0</v>
      </c>
      <c r="AG19" s="17">
        <f>SUMIFS($D:$D,$E:$E,"FAUX",$G:$G,"C4",$M:$M,"B",$N:$N,"C*")*SUMIFS($J:$J,$E:$E,"VRAI",$F:$F,"D",$M:$M,"B")*SUMIFS($J:$J,$E:$E,"VRAI",$H:$H,"B",$I:$I,"A5")</f>
        <v>0</v>
      </c>
      <c r="AH19" s="18">
        <f>SUMIFS($D:$D,$E:$E,"FAUX",$G:$G,"C4",$M:$M,"B",$N:$N,"C*")*SUMIFS($J:$J,$E:$E,"VRAI",$F:$F,"D",$M:$M,"B")*SUMIFS($J:$J,$E:$E,"VRAI",$H:$H,"B",$I:$I,"A6")</f>
        <v>0</v>
      </c>
      <c r="AI19" s="16">
        <f>SUMIFS($D:$D,$E:$E,"FAUX",$G:$G,"C4",$M:$M,"B",$N:$N,"C*")*SUMIFS($J:$J,$E:$E,"VRAI",$I:$I,"B1",$F:$F,"C")</f>
        <v>0</v>
      </c>
      <c r="AJ19" s="17">
        <f>SUMIFS($D:$D,$E:$E,"FAUX",$G:$G,"C4",$M:$M,"B",$N:$N,"C*")*SUMIFS($J:$J,$E:$E,"VRAI",$I:$I,"B2",$F:$F,"C")</f>
        <v>0</v>
      </c>
      <c r="AK19" s="17">
        <f>SUMIFS($D:$D,$E:$E,"FAUX",$G:$G,"C4",$M:$M,"B",$N:$N,"C*")*SUMIFS($J:$J,$E:$E,"VRAI",$I:$I,"B3",$F:$F,"C")</f>
        <v>0</v>
      </c>
      <c r="AL19" s="17">
        <f>SUMIFS($D:$D,$E:$E,"FAUX",$G:$G,"C4",$M:$M,"B",$N:$N,"C*")*SUMIFS($J:$J,$E:$E,"VRAI",$I:$I,"B4",$F:$F,"C")</f>
        <v>0</v>
      </c>
      <c r="AM19" s="17">
        <f>SUMIFS($D:$D,$E:$E,"FAUX",$G:$G,"C4",$M:$M,"B",$N:$N,"C*")*SUMIFS($J:$J,$E:$E,"VRAI",$I:$I,"B5",$F:$F,"C")</f>
        <v>0</v>
      </c>
      <c r="AN19" s="18">
        <f>SUMIFS($D:$D,$E:$E,"FAUX",$G:$G,"C4",$M:$M,"B",$N:$N,"C*")*SUMIFS($J:$J,$E:$E,"VRAI",$I:$I,"B6",$F:$F,"C")</f>
        <v>0</v>
      </c>
      <c r="AO19" s="43">
        <f>SUMIFS($D:$D,$O:$O,"C_4_1")</f>
        <v>0</v>
      </c>
      <c r="AP19" s="43">
        <f>SUMIFS($D:$D,$O:$O,"C_4_2")</f>
        <v>0</v>
      </c>
      <c r="AQ19" s="43">
        <f>SUMIFS($D:$D,$O:$O,"C_4_3")</f>
        <v>0</v>
      </c>
      <c r="AR19" s="43">
        <f>SUMIFS($D:$D,$O:$O,"C_4_4")</f>
        <v>0</v>
      </c>
      <c r="AS19" s="43">
        <f>SUMIFS($D:$D,$O:$O,"C_4_5")</f>
        <v>0</v>
      </c>
      <c r="AT19" s="36">
        <f>SUMIFS($D:$D,$O:$O,"C_4_6")</f>
        <v>0</v>
      </c>
      <c r="AU19" s="46">
        <f>SUMIFS($D:$D,$E:$E,"FAUX",$G:$G,"C4",$M:$M,"D",$N:$N,"C*")*SUMIFS($J:$J,$O:$O,"D_1_1")</f>
        <v>0</v>
      </c>
      <c r="AV19" s="47">
        <f>SUMIFS($D:$D,$E:$E,"FAUX",$G:$G,"C4",$M:$M,"D",$N:$N,"C*")*SUMIFS($J:$J,$O:$O,"D_1_2")</f>
        <v>0</v>
      </c>
      <c r="AW19" s="47">
        <f>SUMIFS($D:$D,$E:$E,"FAUX",$G:$G,"C4",$M:$M,"D",$N:$N,"C*")*SUMIFS($J:$J,$O:$O,"D_1_3")</f>
        <v>0</v>
      </c>
      <c r="AX19" s="47">
        <f>SUMIFS($D:$D,$E:$E,"FAUX",$G:$G,"C4",$M:$M,"D",$N:$N,"C*")*SUMIFS($J:$J,$O:$O,"D_1_4")</f>
        <v>0</v>
      </c>
      <c r="AY19" s="47">
        <f>SUMIFS($D:$D,$E:$E,"FAUX",$G:$G,"C4",$M:$M,"D",$N:$N,"C*")*SUMIFS($J:$J,$O:$O,"D_1_5")</f>
        <v>0</v>
      </c>
      <c r="AZ19" s="48">
        <f>SUMIFS($D:$D,$E:$E,"FAUX",$G:$G,"C4",$M:$M,"D",$N:$N,"C*")*SUMIFS($J:$J,$O:$O,"D_1_6")</f>
        <v>0</v>
      </c>
      <c r="BA19" s="46">
        <f>SUMIFS($D:$D,$E:$E,"FAUX",$G:$G,"C4",$M:$M,"D",$N:$N,"C*")*SUMIFS($J:$J,$E:$E,"VRAI",$F:$F,"C",$M:$M,"E")*SUMIFS($J:$J,$E:$E,"VRAI",$H:$H,"D",$I:$I,"E1")</f>
        <v>0</v>
      </c>
      <c r="BB19" s="47">
        <f>SUMIFS($D:$D,$E:$E,"FAUX",$G:$G,"C4",$M:$M,"D",$N:$N,"C*")*SUMIFS($J:$J,$E:$E,"VRAI",$F:$F,"C",$M:$M,"E")*SUMIFS($J:$J,$E:$E,"VRAI",$H:$H,"D",$I:$I,"E2")</f>
        <v>0</v>
      </c>
      <c r="BC19" s="47">
        <f>SUMIFS($D:$D,$E:$E,"FAUX",$G:$G,"C4",$M:$M,"D",$N:$N,"C*")*SUMIFS($J:$J,$E:$E,"VRAI",$F:$F,"C",$M:$M,"E")*SUMIFS($J:$J,$E:$E,"VRAI",$H:$H,"D",$I:$I,"E3")</f>
        <v>0</v>
      </c>
      <c r="BD19" s="47">
        <f>SUMIFS($D:$D,$E:$E,"FAUX",$G:$G,"C4",$M:$M,"D",$N:$N,"C*")*SUMIFS($J:$J,$E:$E,"VRAI",$F:$F,"C",$M:$M,"E")*SUMIFS($J:$J,$E:$E,"VRAI",$H:$H,"D",$I:$I,"E4")</f>
        <v>0</v>
      </c>
      <c r="BE19" s="47">
        <f>SUMIFS($D:$D,$E:$E,"FAUX",$G:$G,"C4",$M:$M,"D",$N:$N,"C*")*SUMIFS($J:$J,$E:$E,"VRAI",$F:$F,"C",$M:$M,"E")*SUMIFS($J:$J,$E:$E,"VRAI",$H:$H,"D",$I:$I,"E5")</f>
        <v>0</v>
      </c>
      <c r="BF19" s="48">
        <f>SUMIFS($D:$D,$E:$E,"FAUX",$G:$G,"C4",$M:$M,"D",$N:$N,"C*")*SUMIFS($J:$J,$E:$E,"VRAI",$F:$F,"C",$M:$M,"E")*SUMIFS($J:$J,$E:$E,"VRAI",$H:$H,"D",$I:$I,"E6")</f>
        <v>0</v>
      </c>
      <c r="BG19" s="46">
        <f>SUMIFS($D:$D,$E:$E,"FAUX",$G:$G,"C4",$M:$M,"D",$N:$N,"C*")*SUMIFS($J:$J,$E:$E,"VRAI",$F:$F,"C",$M:$M,"E")*SUMIFS($J:$J,$E:$E,"VRAI",$F:$F,"D",$M:$M,"F")*SUMIFS($J:$J,$E:$E,"VRAI",$H:$H,"E",$I:$I,"F1")</f>
        <v>0</v>
      </c>
      <c r="BH19" s="47">
        <f>SUMIFS($D:$D,$E:$E,"FAUX",$G:$G,"C4",$M:$M,"D",$N:$N,"C*")*SUMIFS($J:$J,$E:$E,"VRAI",$F:$F,"C",$M:$M,"E")*SUMIFS($J:$J,$E:$E,"VRAI",$F:$F,"D",$M:$M,"F")*SUMIFS($J:$J,$E:$E,"VRAI",$H:$H,"E",$I:$I,"F2")</f>
        <v>0</v>
      </c>
      <c r="BI19" s="47">
        <f>SUMIFS($D:$D,$E:$E,"FAUX",$G:$G,"C4",$M:$M,"D",$N:$N,"C*")*SUMIFS($J:$J,$E:$E,"VRAI",$F:$F,"C",$M:$M,"E")*SUMIFS($J:$J,$E:$E,"VRAI",$F:$F,"D",$M:$M,"F")*SUMIFS($J:$J,$E:$E,"VRAI",$H:$H,"E",$I:$I,"F3")</f>
        <v>0</v>
      </c>
      <c r="BJ19" s="47">
        <f>SUMIFS($D:$D,$E:$E,"FAUX",$G:$G,"C4",$M:$M,"D",$N:$N,"C*")*SUMIFS($J:$J,$E:$E,"VRAI",$F:$F,"C",$M:$M,"E")*SUMIFS($J:$J,$E:$E,"VRAI",$F:$F,"D",$M:$M,"F")*SUMIFS($J:$J,$E:$E,"VRAI",$H:$H,"E",$I:$I,"F4")</f>
        <v>0</v>
      </c>
      <c r="BK19" s="47">
        <f>SUMIFS($D:$D,$E:$E,"FAUX",$G:$G,"C4",$M:$M,"D",$N:$N,"C*")*SUMIFS($J:$J,$E:$E,"VRAI",$F:$F,"C",$M:$M,"E")*SUMIFS($J:$J,$E:$E,"VRAI",$F:$F,"D",$M:$M,"F")*SUMIFS($J:$J,$E:$E,"VRAI",$H:$H,"E",$I:$I,"F5")</f>
        <v>0</v>
      </c>
      <c r="BL19" s="47">
        <f>SUMIFS($D:$D,$E:$E,"FAUX",$G:$G,"C4",$M:$M,"D",$N:$N,"C*")*SUMIFS($J:$J,$E:$E,"VRAI",$F:$F,"C",$M:$M,"E")*SUMIFS($J:$J,$E:$E,"VRAI",$F:$F,"D",$M:$M,"F")*SUMIFS($J:$J,$E:$E,"VRAI",$H:$H,"E",$I:$I,"F6")</f>
        <v>0</v>
      </c>
      <c r="BM19" s="46">
        <f>SUMIFS($D:$D,$E:$E,"FAUX",$G:$G,"C4",$M:$M,"D",$N:$N,"C*")*SUMIFS($J:$J,$E:$E,"VRAI",$F:$F,"C",$M:$M,"E")*SUMIFS($J:$J,$E:$E,"VRAI",$F:$F,"D",$M:$M,"F")*SUMIFS($J:$J,$E:$E,"VRAI",$F:$F,"E",$M:$M,"G")*SUMIFS($J:$J,$E:$E,"VRAI",$F:$F,"F",$I:$I,"G1")</f>
        <v>0</v>
      </c>
      <c r="BN19" s="47">
        <f>SUMIFS($D:$D,$E:$E,"FAUX",$G:$G,"C4",$M:$M,"D",$N:$N,"C*")*SUMIFS($J:$J,$E:$E,"VRAI",$F:$F,"C",$M:$M,"E")*SUMIFS($J:$J,$E:$E,"VRAI",$F:$F,"D",$M:$M,"F")*SUMIFS($J:$J,$E:$E,"VRAI",$F:$F,"E",$M:$M,"G")*SUMIFS($J:$J,$E:$E,"VRAI",$F:$F,"F",$I:$I,"G2")</f>
        <v>0</v>
      </c>
      <c r="BO19" s="47">
        <f>SUMIFS($D:$D,$E:$E,"FAUX",$G:$G,"C4",$M:$M,"D",$N:$N,"C*")*SUMIFS($J:$J,$E:$E,"VRAI",$F:$F,"C",$M:$M,"E")*SUMIFS($J:$J,$E:$E,"VRAI",$F:$F,"D",$M:$M,"F")*SUMIFS($J:$J,$E:$E,"VRAI",$F:$F,"E",$M:$M,"G")*SUMIFS($J:$J,$E:$E,"VRAI",$F:$F,"F",$I:$I,"G3")</f>
        <v>0</v>
      </c>
      <c r="BP19" s="47">
        <f>SUMIFS($D:$D,$E:$E,"FAUX",$G:$G,"C4",$M:$M,"D",$N:$N,"C*")*SUMIFS($J:$J,$E:$E,"VRAI",$F:$F,"C",$M:$M,"E")*SUMIFS($J:$J,$E:$E,"VRAI",$F:$F,"D",$M:$M,"F")*SUMIFS($J:$J,$E:$E,"VRAI",$F:$F,"E",$M:$M,"G")*SUMIFS($J:$J,$E:$E,"VRAI",$F:$F,"F",$I:$I,"G4")</f>
        <v>0</v>
      </c>
      <c r="BQ19" s="47">
        <f>SUMIFS($D:$D,$E:$E,"FAUX",$G:$G,"C4",$M:$M,"D",$N:$N,"C*")*SUMIFS($J:$J,$E:$E,"VRAI",$F:$F,"C",$M:$M,"E")*SUMIFS($J:$J,$E:$E,"VRAI",$F:$F,"D",$M:$M,"F")*SUMIFS($J:$J,$E:$E,"VRAI",$F:$F,"E",$M:$M,"G")*SUMIFS($J:$J,$E:$E,"VRAI",$F:$F,"F",$I:$I,"G5")</f>
        <v>0</v>
      </c>
      <c r="BR19" s="48">
        <f>SUMIFS($D:$D,$E:$E,"FAUX",$G:$G,"C4",$M:$M,"D",$N:$N,"C*")*SUMIFS($J:$J,$E:$E,"VRAI",$F:$F,"C",$M:$M,"E")*SUMIFS($J:$J,$E:$E,"VRAI",$F:$F,"D",$M:$M,"F")*SUMIFS($J:$J,$E:$E,"VRAI",$F:$F,"E",$M:$M,"G")*SUMIFS($J:$J,$E:$E,"VRAI",$F:$F,"F",$I:$I,"G6")</f>
        <v>0</v>
      </c>
      <c r="BS19" s="46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19" s="46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19" s="46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19" s="46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19" s="47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19" s="48">
        <f>SUMIFS($D:$D,$E:$E,"FAUX",$G:$G,"C4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0" spans="1:94">
      <c r="A20" s="35" t="s">
        <v>8</v>
      </c>
      <c r="B20" s="35">
        <v>4</v>
      </c>
      <c r="C20" s="35">
        <v>1</v>
      </c>
      <c r="D20" s="35">
        <v>877</v>
      </c>
      <c r="E20" s="35" t="b">
        <v>1</v>
      </c>
      <c r="F20" s="35" t="s">
        <v>9</v>
      </c>
      <c r="G20" s="53" t="str">
        <f t="shared" si="0"/>
        <v>A4</v>
      </c>
      <c r="H20" s="52" t="str">
        <f t="shared" si="5"/>
        <v>B</v>
      </c>
      <c r="I20" s="41" t="str">
        <f t="shared" si="1"/>
        <v>A1</v>
      </c>
      <c r="J20" s="42">
        <f t="shared" si="2"/>
        <v>0.61200279134682489</v>
      </c>
      <c r="K20" s="41">
        <f t="shared" si="6"/>
        <v>1433</v>
      </c>
      <c r="L20" s="41" t="str">
        <f t="shared" si="3"/>
        <v>A4</v>
      </c>
      <c r="M20" s="41" t="str">
        <f t="shared" si="7"/>
        <v/>
      </c>
      <c r="N20" s="41" t="str">
        <f>IFERROR(VLOOKUP(I20,L20:L:L,1,FALSE),"")</f>
        <v/>
      </c>
      <c r="O20" s="56" t="str">
        <f t="shared" si="8"/>
        <v>A_4_1</v>
      </c>
      <c r="U20" t="s">
        <v>32</v>
      </c>
      <c r="V20">
        <f>SUMIFS(D:D,A:A,"C",B:B,"1")</f>
        <v>777</v>
      </c>
      <c r="Z20" t="e">
        <f t="shared" si="9"/>
        <v>#N/A</v>
      </c>
      <c r="AA20" t="e">
        <f t="shared" si="10"/>
        <v>#N/A</v>
      </c>
      <c r="AB20" t="s">
        <v>41</v>
      </c>
      <c r="AC20" s="16">
        <f>SUMIFS($D:$D,$E:$E,"FAUX",$G:$G,"C5",$M:$M,"B",$N:$N,"C*")*SUMIFS($J:$J,$E:$E,"VRAI",$F:$F,"D",$M:$M,"B")*SUMIFS($J:$J,$E:$E,"VRAI",$H:$H,"B",$I:$I,"A1")</f>
        <v>0</v>
      </c>
      <c r="AD20" s="17">
        <f>SUMIFS($D:$D,$E:$E,"FAUX",$G:$G,"C5",$M:$M,"B",$N:$N,"C*")*SUMIFS($J:$J,$E:$E,"VRAI",$F:$F,"D",$M:$M,"B")*SUMIFS($J:$J,$E:$E,"VRAI",$H:$H,"B",$I:$I,"A2")</f>
        <v>0</v>
      </c>
      <c r="AE20" s="17">
        <f>SUMIFS($D:$D,$E:$E,"FAUX",$G:$G,"C5",$M:$M,"B",$N:$N,"C*")*SUMIFS($J:$J,$E:$E,"VRAI",$F:$F,"D",$M:$M,"B")*SUMIFS($J:$J,$E:$E,"VRAI",$H:$H,"B",$I:$I,"A3")</f>
        <v>0</v>
      </c>
      <c r="AF20" s="17">
        <f>SUMIFS($D:$D,$E:$E,"FAUX",$G:$G,"C5",$M:$M,"B",$N:$N,"C*")*SUMIFS($J:$J,$E:$E,"VRAI",$F:$F,"D",$M:$M,"B")*SUMIFS($J:$J,$E:$E,"VRAI",$H:$H,"B",$I:$I,"A4")</f>
        <v>0</v>
      </c>
      <c r="AG20" s="17">
        <f>SUMIFS($D:$D,$E:$E,"FAUX",$G:$G,"C5",$M:$M,"B",$N:$N,"C*")*SUMIFS($J:$J,$E:$E,"VRAI",$F:$F,"D",$M:$M,"B")*SUMIFS($J:$J,$E:$E,"VRAI",$H:$H,"B",$I:$I,"A5")</f>
        <v>0</v>
      </c>
      <c r="AH20" s="18">
        <f>SUMIFS($D:$D,$E:$E,"FAUX",$G:$G,"C5",$M:$M,"B",$N:$N,"C*")*SUMIFS($J:$J,$E:$E,"VRAI",$F:$F,"D",$M:$M,"B")*SUMIFS($J:$J,$E:$E,"VRAI",$H:$H,"B",$I:$I,"A6")</f>
        <v>0</v>
      </c>
      <c r="AI20" s="16">
        <f>SUMIFS($D:$D,$E:$E,"FAUX",$G:$G,"C5",$M:$M,"B",$N:$N,"C*")*SUMIFS($J:$J,$E:$E,"VRAI",$I:$I,"B1",$F:$F,"C")</f>
        <v>0</v>
      </c>
      <c r="AJ20" s="17">
        <f>SUMIFS($D:$D,$E:$E,"FAUX",$G:$G,"C5",$M:$M,"B",$N:$N,"C*")*SUMIFS($J:$J,$E:$E,"VRAI",$I:$I,"B2",$F:$F,"C")</f>
        <v>0</v>
      </c>
      <c r="AK20" s="17">
        <f>SUMIFS($D:$D,$E:$E,"FAUX",$G:$G,"C5",$M:$M,"B",$N:$N,"C*")*SUMIFS($J:$J,$E:$E,"VRAI",$I:$I,"B3",$F:$F,"C")</f>
        <v>0</v>
      </c>
      <c r="AL20" s="17">
        <f>SUMIFS($D:$D,$E:$E,"FAUX",$G:$G,"C5",$M:$M,"B",$N:$N,"C*")*SUMIFS($J:$J,$E:$E,"VRAI",$I:$I,"B4",$F:$F,"C")</f>
        <v>0</v>
      </c>
      <c r="AM20" s="17">
        <f>SUMIFS($D:$D,$E:$E,"FAUX",$G:$G,"C5",$M:$M,"B",$N:$N,"C*")*SUMIFS($J:$J,$E:$E,"VRAI",$I:$I,"B5",$F:$F,"C")</f>
        <v>0</v>
      </c>
      <c r="AN20" s="18">
        <f>SUMIFS($D:$D,$E:$E,"FAUX",$G:$G,"C5",$M:$M,"B",$N:$N,"C*")*SUMIFS($J:$J,$E:$E,"VRAI",$I:$I,"B6",$F:$F,"C")</f>
        <v>0</v>
      </c>
      <c r="AO20" s="43">
        <f>SUMIFS($D:$D,$O:$O,"C_5_1")</f>
        <v>0</v>
      </c>
      <c r="AP20" s="43">
        <f>SUMIFS($D:$D,$O:$O,"C_5_2")</f>
        <v>0</v>
      </c>
      <c r="AQ20" s="43">
        <f>SUMIFS($D:$D,$O:$O,"C_5_3")</f>
        <v>0</v>
      </c>
      <c r="AR20" s="43">
        <f>SUMIFS($D:$D,$O:$O,"C_5_4")</f>
        <v>0</v>
      </c>
      <c r="AS20" s="43">
        <f>SUMIFS($D:$D,$O:$O,"C_5_5")</f>
        <v>0</v>
      </c>
      <c r="AT20" s="36">
        <f>SUMIFS($D:$D,$O:$O,"C_5_6")</f>
        <v>0</v>
      </c>
      <c r="AU20" s="46">
        <f>SUMIFS($D:$D,$E:$E,"FAUX",$G:$G,"C5",$M:$M,"D",$N:$N,"C*")*SUMIFS($J:$J,$O:$O,"D_1_1")</f>
        <v>0</v>
      </c>
      <c r="AV20" s="47">
        <f>SUMIFS($D:$D,$E:$E,"FAUX",$G:$G,"C5",$M:$M,"D",$N:$N,"C*")*SUMIFS($J:$J,$O:$O,"D_1_2")</f>
        <v>0</v>
      </c>
      <c r="AW20" s="47">
        <f>SUMIFS($D:$D,$E:$E,"FAUX",$G:$G,"C5",$M:$M,"D",$N:$N,"C*")*SUMIFS($J:$J,$O:$O,"D_1_3")</f>
        <v>0</v>
      </c>
      <c r="AX20" s="47">
        <f>SUMIFS($D:$D,$E:$E,"FAUX",$G:$G,"C5",$M:$M,"D",$N:$N,"C*")*SUMIFS($J:$J,$O:$O,"D_1_4")</f>
        <v>0</v>
      </c>
      <c r="AY20" s="47">
        <f>SUMIFS($D:$D,$E:$E,"FAUX",$G:$G,"C5",$M:$M,"D",$N:$N,"C*")*SUMIFS($J:$J,$O:$O,"D_1_5")</f>
        <v>0</v>
      </c>
      <c r="AZ20" s="48">
        <f>SUMIFS($D:$D,$E:$E,"FAUX",$G:$G,"C5",$M:$M,"D",$N:$N,"C*")*SUMIFS($J:$J,$O:$O,"D_1_6")</f>
        <v>0</v>
      </c>
      <c r="BA20" s="46">
        <f>SUMIFS($D:$D,$E:$E,"FAUX",$G:$G,"C5",$M:$M,"D",$N:$N,"C*")*SUMIFS($J:$J,$E:$E,"VRAI",$F:$F,"C",$M:$M,"E")*SUMIFS($J:$J,$E:$E,"VRAI",$H:$H,"D",$I:$I,"E1")</f>
        <v>0</v>
      </c>
      <c r="BB20" s="47">
        <f>SUMIFS($D:$D,$E:$E,"FAUX",$G:$G,"C5",$M:$M,"D",$N:$N,"C*")*SUMIFS($J:$J,$E:$E,"VRAI",$F:$F,"C",$M:$M,"E")*SUMIFS($J:$J,$E:$E,"VRAI",$H:$H,"D",$I:$I,"E2")</f>
        <v>0</v>
      </c>
      <c r="BC20" s="47">
        <f>SUMIFS($D:$D,$E:$E,"FAUX",$G:$G,"C5",$M:$M,"D",$N:$N,"C*")*SUMIFS($J:$J,$E:$E,"VRAI",$F:$F,"C",$M:$M,"E")*SUMIFS($J:$J,$E:$E,"VRAI",$H:$H,"D",$I:$I,"E3")</f>
        <v>0</v>
      </c>
      <c r="BD20" s="47">
        <f>SUMIFS($D:$D,$E:$E,"FAUX",$G:$G,"C5",$M:$M,"D",$N:$N,"C*")*SUMIFS($J:$J,$E:$E,"VRAI",$F:$F,"C",$M:$M,"E")*SUMIFS($J:$J,$E:$E,"VRAI",$H:$H,"D",$I:$I,"E4")</f>
        <v>0</v>
      </c>
      <c r="BE20" s="47">
        <f>SUMIFS($D:$D,$E:$E,"FAUX",$G:$G,"C5",$M:$M,"D",$N:$N,"C*")*SUMIFS($J:$J,$E:$E,"VRAI",$F:$F,"C",$M:$M,"E")*SUMIFS($J:$J,$E:$E,"VRAI",$H:$H,"D",$I:$I,"E5")</f>
        <v>0</v>
      </c>
      <c r="BF20" s="48">
        <f>SUMIFS($D:$D,$E:$E,"FAUX",$G:$G,"C5",$M:$M,"D",$N:$N,"C*")*SUMIFS($J:$J,$E:$E,"VRAI",$F:$F,"C",$M:$M,"E")*SUMIFS($J:$J,$E:$E,"VRAI",$H:$H,"D",$I:$I,"E6")</f>
        <v>0</v>
      </c>
      <c r="BG20" s="46">
        <f>SUMIFS($D:$D,$E:$E,"FAUX",$G:$G,"C5",$M:$M,"D",$N:$N,"C*")*SUMIFS($J:$J,$E:$E,"VRAI",$F:$F,"C",$M:$M,"E")*SUMIFS($J:$J,$E:$E,"VRAI",$F:$F,"D",$M:$M,"F")*SUMIFS($J:$J,$E:$E,"VRAI",$H:$H,"E",$I:$I,"F1")</f>
        <v>0</v>
      </c>
      <c r="BH20" s="47">
        <f>SUMIFS($D:$D,$E:$E,"FAUX",$G:$G,"C5",$M:$M,"D",$N:$N,"C*")*SUMIFS($J:$J,$E:$E,"VRAI",$F:$F,"C",$M:$M,"E")*SUMIFS($J:$J,$E:$E,"VRAI",$F:$F,"D",$M:$M,"F")*SUMIFS($J:$J,$E:$E,"VRAI",$H:$H,"E",$I:$I,"F2")</f>
        <v>0</v>
      </c>
      <c r="BI20" s="47">
        <f>SUMIFS($D:$D,$E:$E,"FAUX",$G:$G,"C5",$M:$M,"D",$N:$N,"C*")*SUMIFS($J:$J,$E:$E,"VRAI",$F:$F,"C",$M:$M,"E")*SUMIFS($J:$J,$E:$E,"VRAI",$F:$F,"D",$M:$M,"F")*SUMIFS($J:$J,$E:$E,"VRAI",$H:$H,"E",$I:$I,"F3")</f>
        <v>0</v>
      </c>
      <c r="BJ20" s="47">
        <f>SUMIFS($D:$D,$E:$E,"FAUX",$G:$G,"C5",$M:$M,"D",$N:$N,"C*")*SUMIFS($J:$J,$E:$E,"VRAI",$F:$F,"C",$M:$M,"E")*SUMIFS($J:$J,$E:$E,"VRAI",$F:$F,"D",$M:$M,"F")*SUMIFS($J:$J,$E:$E,"VRAI",$H:$H,"E",$I:$I,"F4")</f>
        <v>0</v>
      </c>
      <c r="BK20" s="47">
        <f>SUMIFS($D:$D,$E:$E,"FAUX",$G:$G,"C5",$M:$M,"D",$N:$N,"C*")*SUMIFS($J:$J,$E:$E,"VRAI",$F:$F,"C",$M:$M,"E")*SUMIFS($J:$J,$E:$E,"VRAI",$F:$F,"D",$M:$M,"F")*SUMIFS($J:$J,$E:$E,"VRAI",$H:$H,"E",$I:$I,"F5")</f>
        <v>0</v>
      </c>
      <c r="BL20" s="47">
        <f>SUMIFS($D:$D,$E:$E,"FAUX",$G:$G,"C5",$M:$M,"D",$N:$N,"C*")*SUMIFS($J:$J,$E:$E,"VRAI",$F:$F,"C",$M:$M,"E")*SUMIFS($J:$J,$E:$E,"VRAI",$F:$F,"D",$M:$M,"F")*SUMIFS($J:$J,$E:$E,"VRAI",$H:$H,"E",$I:$I,"F6")</f>
        <v>0</v>
      </c>
      <c r="BM20" s="46">
        <f>SUMIFS($D:$D,$E:$E,"FAUX",$G:$G,"C5",$M:$M,"D",$N:$N,"C*")*SUMIFS($J:$J,$E:$E,"VRAI",$F:$F,"C",$M:$M,"E")*SUMIFS($J:$J,$E:$E,"VRAI",$F:$F,"D",$M:$M,"F")*SUMIFS($J:$J,$E:$E,"VRAI",$F:$F,"E",$M:$M,"G")*SUMIFS($J:$J,$E:$E,"VRAI",$F:$F,"F",$I:$I,"G1")</f>
        <v>0</v>
      </c>
      <c r="BN20" s="47">
        <f>SUMIFS($D:$D,$E:$E,"FAUX",$G:$G,"C5",$M:$M,"D",$N:$N,"C*")*SUMIFS($J:$J,$E:$E,"VRAI",$F:$F,"C",$M:$M,"E")*SUMIFS($J:$J,$E:$E,"VRAI",$F:$F,"D",$M:$M,"F")*SUMIFS($J:$J,$E:$E,"VRAI",$F:$F,"E",$M:$M,"G")*SUMIFS($J:$J,$E:$E,"VRAI",$F:$F,"F",$I:$I,"G2")</f>
        <v>0</v>
      </c>
      <c r="BO20" s="47">
        <f>SUMIFS($D:$D,$E:$E,"FAUX",$G:$G,"C5",$M:$M,"D",$N:$N,"C*")*SUMIFS($J:$J,$E:$E,"VRAI",$F:$F,"C",$M:$M,"E")*SUMIFS($J:$J,$E:$E,"VRAI",$F:$F,"D",$M:$M,"F")*SUMIFS($J:$J,$E:$E,"VRAI",$F:$F,"E",$M:$M,"G")*SUMIFS($J:$J,$E:$E,"VRAI",$F:$F,"F",$I:$I,"G3")</f>
        <v>0</v>
      </c>
      <c r="BP20" s="47">
        <f>SUMIFS($D:$D,$E:$E,"FAUX",$G:$G,"C5",$M:$M,"D",$N:$N,"C*")*SUMIFS($J:$J,$E:$E,"VRAI",$F:$F,"C",$M:$M,"E")*SUMIFS($J:$J,$E:$E,"VRAI",$F:$F,"D",$M:$M,"F")*SUMIFS($J:$J,$E:$E,"VRAI",$F:$F,"E",$M:$M,"G")*SUMIFS($J:$J,$E:$E,"VRAI",$F:$F,"F",$I:$I,"G4")</f>
        <v>0</v>
      </c>
      <c r="BQ20" s="47">
        <f>SUMIFS($D:$D,$E:$E,"FAUX",$G:$G,"C5",$M:$M,"D",$N:$N,"C*")*SUMIFS($J:$J,$E:$E,"VRAI",$F:$F,"C",$M:$M,"E")*SUMIFS($J:$J,$E:$E,"VRAI",$F:$F,"D",$M:$M,"F")*SUMIFS($J:$J,$E:$E,"VRAI",$F:$F,"E",$M:$M,"G")*SUMIFS($J:$J,$E:$E,"VRAI",$F:$F,"F",$I:$I,"G5")</f>
        <v>0</v>
      </c>
      <c r="BR20" s="48">
        <f>SUMIFS($D:$D,$E:$E,"FAUX",$G:$G,"C5",$M:$M,"D",$N:$N,"C*")*SUMIFS($J:$J,$E:$E,"VRAI",$F:$F,"C",$M:$M,"E")*SUMIFS($J:$J,$E:$E,"VRAI",$F:$F,"D",$M:$M,"F")*SUMIFS($J:$J,$E:$E,"VRAI",$F:$F,"E",$M:$M,"G")*SUMIFS($J:$J,$E:$E,"VRAI",$F:$F,"F",$I:$I,"G6")</f>
        <v>0</v>
      </c>
      <c r="BS20" s="46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20" s="46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0" s="46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0" s="46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0" s="47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0" s="48">
        <f>SUMIFS($D:$D,$E:$E,"FAUX",$G:$G,"C5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1" spans="1:94">
      <c r="A21" s="35" t="s">
        <v>8</v>
      </c>
      <c r="B21" s="35">
        <v>4</v>
      </c>
      <c r="C21" s="35">
        <v>2</v>
      </c>
      <c r="D21" s="35">
        <v>0</v>
      </c>
      <c r="E21" s="35" t="b">
        <v>1</v>
      </c>
      <c r="F21" s="35" t="s">
        <v>9</v>
      </c>
      <c r="G21" s="53" t="str">
        <f t="shared" si="0"/>
        <v>A4</v>
      </c>
      <c r="H21" s="52" t="str">
        <f t="shared" si="5"/>
        <v>B</v>
      </c>
      <c r="I21" s="41" t="str">
        <f t="shared" si="1"/>
        <v>A2</v>
      </c>
      <c r="J21" s="42">
        <f t="shared" si="2"/>
        <v>0</v>
      </c>
      <c r="K21" s="41">
        <f t="shared" si="6"/>
        <v>1433</v>
      </c>
      <c r="L21" s="41" t="str">
        <f t="shared" si="3"/>
        <v>A4</v>
      </c>
      <c r="M21" s="41" t="str">
        <f t="shared" si="7"/>
        <v/>
      </c>
      <c r="N21" s="41" t="str">
        <f>IFERROR(VLOOKUP(I21,L21:L:L,1,FALSE),"")</f>
        <v/>
      </c>
      <c r="O21" s="56" t="str">
        <f t="shared" si="8"/>
        <v>A_4_2</v>
      </c>
      <c r="U21" t="s">
        <v>16</v>
      </c>
      <c r="V21">
        <f>SUMIFS(D:D,A:A,"C",B:B,"2")</f>
        <v>548</v>
      </c>
      <c r="Z21" t="e">
        <f t="shared" si="9"/>
        <v>#N/A</v>
      </c>
      <c r="AA21" t="e">
        <f t="shared" si="10"/>
        <v>#N/A</v>
      </c>
      <c r="AB21" t="s">
        <v>42</v>
      </c>
      <c r="AC21" s="19">
        <f>SUMIFS($D:$D,$E:$E,"FAUX",$G:$G,"C6",$M:$M,"B",$N:$N,"C*")*SUMIFS($J:$J,$E:$E,"VRAI",$F:$F,"D",$M:$M,"B")*SUMIFS($J:$J,$E:$E,"VRAI",$H:$H,"B",$I:$I,"A1")</f>
        <v>0</v>
      </c>
      <c r="AD21" s="20">
        <f>SUMIFS($D:$D,$E:$E,"FAUX",$G:$G,"C6",$M:$M,"B",$N:$N,"C*")*SUMIFS($J:$J,$E:$E,"VRAI",$F:$F,"D",$M:$M,"B")*SUMIFS($J:$J,$E:$E,"VRAI",$H:$H,"B",$I:$I,"A2")</f>
        <v>0</v>
      </c>
      <c r="AE21" s="20">
        <f>SUMIFS($D:$D,$E:$E,"FAUX",$G:$G,"C6",$M:$M,"B",$N:$N,"C*")*SUMIFS($J:$J,$E:$E,"VRAI",$F:$F,"D",$M:$M,"B")*SUMIFS($J:$J,$E:$E,"VRAI",$H:$H,"B",$I:$I,"A3")</f>
        <v>0</v>
      </c>
      <c r="AF21" s="20">
        <f>SUMIFS($D:$D,$E:$E,"FAUX",$G:$G,"C6",$M:$M,"B",$N:$N,"C*")*SUMIFS($J:$J,$E:$E,"VRAI",$F:$F,"D",$M:$M,"B")*SUMIFS($J:$J,$E:$E,"VRAI",$H:$H,"B",$I:$I,"A4")</f>
        <v>0</v>
      </c>
      <c r="AG21" s="20">
        <f>SUMIFS($D:$D,$E:$E,"FAUX",$G:$G,"C6",$M:$M,"B",$N:$N,"C*")*SUMIFS($J:$J,$E:$E,"VRAI",$F:$F,"D",$M:$M,"B")*SUMIFS($J:$J,$E:$E,"VRAI",$H:$H,"B",$I:$I,"A5")</f>
        <v>0</v>
      </c>
      <c r="AH21" s="21">
        <f>SUMIFS($D:$D,$E:$E,"FAUX",$G:$G,"C6",$M:$M,"B",$N:$N,"C*")*SUMIFS($J:$J,$E:$E,"VRAI",$F:$F,"D",$M:$M,"B")*SUMIFS($J:$J,$E:$E,"VRAI",$H:$H,"B",$I:$I,"A6")</f>
        <v>0</v>
      </c>
      <c r="AI21" s="19">
        <f>SUMIFS($D:$D,$E:$E,"FAUX",$G:$G,"C6",$M:$M,"B",$N:$N,"C*")*SUMIFS($J:$J,$E:$E,"VRAI",$I:$I,"B1",$F:$F,"C")</f>
        <v>0</v>
      </c>
      <c r="AJ21" s="20">
        <f>SUMIFS($D:$D,$E:$E,"FAUX",$G:$G,"C6",$M:$M,"B",$N:$N,"C*")*SUMIFS($J:$J,$E:$E,"VRAI",$I:$I,"B2",$F:$F,"C")</f>
        <v>0</v>
      </c>
      <c r="AK21" s="20">
        <f>SUMIFS($D:$D,$E:$E,"FAUX",$G:$G,"C6",$M:$M,"B",$N:$N,"C*")*SUMIFS($J:$J,$E:$E,"VRAI",$I:$I,"B3",$F:$F,"C")</f>
        <v>0</v>
      </c>
      <c r="AL21" s="20">
        <f>SUMIFS($D:$D,$E:$E,"FAUX",$G:$G,"C6",$M:$M,"B",$N:$N,"C*")*SUMIFS($J:$J,$E:$E,"VRAI",$I:$I,"B4",$F:$F,"C")</f>
        <v>0</v>
      </c>
      <c r="AM21" s="20">
        <f>SUMIFS($D:$D,$E:$E,"FAUX",$G:$G,"C6",$M:$M,"B",$N:$N,"C*")*SUMIFS($J:$J,$E:$E,"VRAI",$I:$I,"B5",$F:$F,"C")</f>
        <v>0</v>
      </c>
      <c r="AN21" s="21">
        <f>SUMIFS($D:$D,$E:$E,"FAUX",$G:$G,"C6",$M:$M,"B",$N:$N,"C*")*SUMIFS($J:$J,$E:$E,"VRAI",$I:$I,"B6",$F:$F,"C")</f>
        <v>0</v>
      </c>
      <c r="AO21" s="40">
        <f>SUMIFS($D:$D,$O:$O,"C_6_1")</f>
        <v>0</v>
      </c>
      <c r="AP21" s="40">
        <f>SUMIFS($D:$D,$O:$O,"C_6_2")</f>
        <v>0</v>
      </c>
      <c r="AQ21" s="40">
        <f>SUMIFS($D:$D,$O:$O,"C_6_3")</f>
        <v>0</v>
      </c>
      <c r="AR21" s="40">
        <f>SUMIFS($D:$D,$O:$O,"C_6_4")</f>
        <v>0</v>
      </c>
      <c r="AS21" s="40">
        <f>SUMIFS($D:$D,$O:$O,"C_6_5")</f>
        <v>0</v>
      </c>
      <c r="AT21" s="39">
        <f>SUMIFS($D:$D,$O:$O,"C_6_6")</f>
        <v>0</v>
      </c>
      <c r="AU21" s="49">
        <f>SUMIFS($D:$D,$E:$E,"FAUX",$G:$G,"C6",$M:$M,"D",$N:$N,"C*")*SUMIFS($J:$J,$O:$O,"D_1_1")</f>
        <v>0</v>
      </c>
      <c r="AV21" s="50">
        <f>SUMIFS($D:$D,$E:$E,"FAUX",$G:$G,"C6",$M:$M,"D",$N:$N,"C*")*SUMIFS($J:$J,$O:$O,"D_1_2")</f>
        <v>0</v>
      </c>
      <c r="AW21" s="50">
        <f>SUMIFS($D:$D,$E:$E,"FAUX",$G:$G,"C6",$M:$M,"D",$N:$N,"C*")*SUMIFS($J:$J,$O:$O,"D_1_3")</f>
        <v>0</v>
      </c>
      <c r="AX21" s="50">
        <f>SUMIFS($D:$D,$E:$E,"FAUX",$G:$G,"C6",$M:$M,"D",$N:$N,"C*")*SUMIFS($J:$J,$O:$O,"D_1_4")</f>
        <v>0</v>
      </c>
      <c r="AY21" s="50">
        <f>SUMIFS($D:$D,$E:$E,"FAUX",$G:$G,"C6",$M:$M,"D",$N:$N,"C*")*SUMIFS($J:$J,$O:$O,"D_1_5")</f>
        <v>0</v>
      </c>
      <c r="AZ21" s="51">
        <f>SUMIFS($D:$D,$E:$E,"FAUX",$G:$G,"C6",$M:$M,"D",$N:$N,"C*")*SUMIFS($J:$J,$O:$O,"D_1_6")</f>
        <v>0</v>
      </c>
      <c r="BA21" s="49">
        <f>SUMIFS($D:$D,$E:$E,"FAUX",$G:$G,"C6",$M:$M,"D",$N:$N,"C*")*SUMIFS($J:$J,$E:$E,"VRAI",$F:$F,"C",$M:$M,"E")*SUMIFS($J:$J,$E:$E,"VRAI",$H:$H,"D",$I:$I,"E1")</f>
        <v>0</v>
      </c>
      <c r="BB21" s="50">
        <f>SUMIFS($D:$D,$E:$E,"FAUX",$G:$G,"C6",$M:$M,"D",$N:$N,"C*")*SUMIFS($J:$J,$E:$E,"VRAI",$F:$F,"C",$M:$M,"E")*SUMIFS($J:$J,$E:$E,"VRAI",$H:$H,"D",$I:$I,"E2")</f>
        <v>0</v>
      </c>
      <c r="BC21" s="50">
        <f>SUMIFS($D:$D,$E:$E,"FAUX",$G:$G,"C6",$M:$M,"D",$N:$N,"C*")*SUMIFS($J:$J,$E:$E,"VRAI",$F:$F,"C",$M:$M,"E")*SUMIFS($J:$J,$E:$E,"VRAI",$H:$H,"D",$I:$I,"E3")</f>
        <v>0</v>
      </c>
      <c r="BD21" s="50">
        <f>SUMIFS($D:$D,$E:$E,"FAUX",$G:$G,"C6",$M:$M,"D",$N:$N,"C*")*SUMIFS($J:$J,$E:$E,"VRAI",$F:$F,"C",$M:$M,"E")*SUMIFS($J:$J,$E:$E,"VRAI",$H:$H,"D",$I:$I,"E4")</f>
        <v>0</v>
      </c>
      <c r="BE21" s="50">
        <f>SUMIFS($D:$D,$E:$E,"FAUX",$G:$G,"C6",$M:$M,"D",$N:$N,"C*")*SUMIFS($J:$J,$E:$E,"VRAI",$F:$F,"C",$M:$M,"E")*SUMIFS($J:$J,$E:$E,"VRAI",$H:$H,"D",$I:$I,"E5")</f>
        <v>0</v>
      </c>
      <c r="BF21" s="51">
        <f>SUMIFS($D:$D,$E:$E,"FAUX",$G:$G,"C6",$M:$M,"D",$N:$N,"C*")*SUMIFS($J:$J,$E:$E,"VRAI",$F:$F,"C",$M:$M,"E")*SUMIFS($J:$J,$E:$E,"VRAI",$H:$H,"D",$I:$I,"E6")</f>
        <v>0</v>
      </c>
      <c r="BG21" s="49">
        <f>SUMIFS($D:$D,$E:$E,"FAUX",$G:$G,"C6",$M:$M,"D",$N:$N,"C*")*SUMIFS($J:$J,$E:$E,"VRAI",$F:$F,"C",$M:$M,"E")*SUMIFS($J:$J,$E:$E,"VRAI",$F:$F,"D",$M:$M,"F")*SUMIFS($J:$J,$E:$E,"VRAI",$H:$H,"E",$I:$I,"F1")</f>
        <v>0</v>
      </c>
      <c r="BH21" s="50">
        <f>SUMIFS($D:$D,$E:$E,"FAUX",$G:$G,"C6",$M:$M,"D",$N:$N,"C*")*SUMIFS($J:$J,$E:$E,"VRAI",$F:$F,"C",$M:$M,"E")*SUMIFS($J:$J,$E:$E,"VRAI",$F:$F,"D",$M:$M,"F")*SUMIFS($J:$J,$E:$E,"VRAI",$H:$H,"E",$I:$I,"F2")</f>
        <v>0</v>
      </c>
      <c r="BI21" s="50">
        <f>SUMIFS($D:$D,$E:$E,"FAUX",$G:$G,"C6",$M:$M,"D",$N:$N,"C*")*SUMIFS($J:$J,$E:$E,"VRAI",$F:$F,"C",$M:$M,"E")*SUMIFS($J:$J,$E:$E,"VRAI",$F:$F,"D",$M:$M,"F")*SUMIFS($J:$J,$E:$E,"VRAI",$H:$H,"E",$I:$I,"F3")</f>
        <v>0</v>
      </c>
      <c r="BJ21" s="50">
        <f>SUMIFS($D:$D,$E:$E,"FAUX",$G:$G,"C6",$M:$M,"D",$N:$N,"C*")*SUMIFS($J:$J,$E:$E,"VRAI",$F:$F,"C",$M:$M,"E")*SUMIFS($J:$J,$E:$E,"VRAI",$F:$F,"D",$M:$M,"F")*SUMIFS($J:$J,$E:$E,"VRAI",$H:$H,"E",$I:$I,"F4")</f>
        <v>0</v>
      </c>
      <c r="BK21" s="50">
        <f>SUMIFS($D:$D,$E:$E,"FAUX",$G:$G,"C6",$M:$M,"D",$N:$N,"C*")*SUMIFS($J:$J,$E:$E,"VRAI",$F:$F,"C",$M:$M,"E")*SUMIFS($J:$J,$E:$E,"VRAI",$F:$F,"D",$M:$M,"F")*SUMIFS($J:$J,$E:$E,"VRAI",$H:$H,"E",$I:$I,"F5")</f>
        <v>0</v>
      </c>
      <c r="BL21" s="50">
        <f>SUMIFS($D:$D,$E:$E,"FAUX",$G:$G,"C6",$M:$M,"D",$N:$N,"C*")*SUMIFS($J:$J,$E:$E,"VRAI",$F:$F,"C",$M:$M,"E")*SUMIFS($J:$J,$E:$E,"VRAI",$F:$F,"D",$M:$M,"F")*SUMIFS($J:$J,$E:$E,"VRAI",$H:$H,"E",$I:$I,"F6")</f>
        <v>0</v>
      </c>
      <c r="BM21" s="49">
        <f>SUMIFS($D:$D,$E:$E,"FAUX",$G:$G,"C6",$M:$M,"D",$N:$N,"C*")*SUMIFS($J:$J,$E:$E,"VRAI",$F:$F,"C",$M:$M,"E")*SUMIFS($J:$J,$E:$E,"VRAI",$F:$F,"D",$M:$M,"F")*SUMIFS($J:$J,$E:$E,"VRAI",$F:$F,"E",$M:$M,"G")*SUMIFS($J:$J,$E:$E,"VRAI",$F:$F,"F",$I:$I,"G1")</f>
        <v>0</v>
      </c>
      <c r="BN21" s="50">
        <f>SUMIFS($D:$D,$E:$E,"FAUX",$G:$G,"C6",$M:$M,"D",$N:$N,"C*")*SUMIFS($J:$J,$E:$E,"VRAI",$F:$F,"C",$M:$M,"E")*SUMIFS($J:$J,$E:$E,"VRAI",$F:$F,"D",$M:$M,"F")*SUMIFS($J:$J,$E:$E,"VRAI",$F:$F,"E",$M:$M,"G")*SUMIFS($J:$J,$E:$E,"VRAI",$F:$F,"F",$I:$I,"G2")</f>
        <v>0</v>
      </c>
      <c r="BO21" s="50">
        <f>SUMIFS($D:$D,$E:$E,"FAUX",$G:$G,"C6",$M:$M,"D",$N:$N,"C*")*SUMIFS($J:$J,$E:$E,"VRAI",$F:$F,"C",$M:$M,"E")*SUMIFS($J:$J,$E:$E,"VRAI",$F:$F,"D",$M:$M,"F")*SUMIFS($J:$J,$E:$E,"VRAI",$F:$F,"E",$M:$M,"G")*SUMIFS($J:$J,$E:$E,"VRAI",$F:$F,"F",$I:$I,"G3")</f>
        <v>0</v>
      </c>
      <c r="BP21" s="50">
        <f>SUMIFS($D:$D,$E:$E,"FAUX",$G:$G,"C6",$M:$M,"D",$N:$N,"C*")*SUMIFS($J:$J,$E:$E,"VRAI",$F:$F,"C",$M:$M,"E")*SUMIFS($J:$J,$E:$E,"VRAI",$F:$F,"D",$M:$M,"F")*SUMIFS($J:$J,$E:$E,"VRAI",$F:$F,"E",$M:$M,"G")*SUMIFS($J:$J,$E:$E,"VRAI",$F:$F,"F",$I:$I,"G4")</f>
        <v>0</v>
      </c>
      <c r="BQ21" s="50">
        <f>SUMIFS($D:$D,$E:$E,"FAUX",$G:$G,"C6",$M:$M,"D",$N:$N,"C*")*SUMIFS($J:$J,$E:$E,"VRAI",$F:$F,"C",$M:$M,"E")*SUMIFS($J:$J,$E:$E,"VRAI",$F:$F,"D",$M:$M,"F")*SUMIFS($J:$J,$E:$E,"VRAI",$F:$F,"E",$M:$M,"G")*SUMIFS($J:$J,$E:$E,"VRAI",$F:$F,"F",$I:$I,"G5")</f>
        <v>0</v>
      </c>
      <c r="BR21" s="51">
        <f>SUMIFS($D:$D,$E:$E,"FAUX",$G:$G,"C6",$M:$M,"D",$N:$N,"C*")*SUMIFS($J:$J,$E:$E,"VRAI",$F:$F,"C",$M:$M,"E")*SUMIFS($J:$J,$E:$E,"VRAI",$F:$F,"D",$M:$M,"F")*SUMIFS($J:$J,$E:$E,"VRAI",$F:$F,"E",$M:$M,"G")*SUMIFS($J:$J,$E:$E,"VRAI",$F:$F,"F",$I:$I,"G6")</f>
        <v>0</v>
      </c>
      <c r="BS21" s="49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1")</f>
        <v>0</v>
      </c>
      <c r="BT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2")</f>
        <v>0</v>
      </c>
      <c r="BU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3")</f>
        <v>0</v>
      </c>
      <c r="BV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4")</f>
        <v>0</v>
      </c>
      <c r="BW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5")</f>
        <v>0</v>
      </c>
      <c r="BX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I:$I,"H6")</f>
        <v>0</v>
      </c>
      <c r="BY21" s="49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1" s="49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1" s="49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1" s="50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1" s="51">
        <f>SUMIFS($D:$D,$E:$E,"FAUX",$G:$G,"C6",$M:$M,"D",$N:$N,"C*")*SUMIFS($J:$J,$E:$E,"VRAI",$F:$F,"C",$M:$M,"E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2" spans="1:94">
      <c r="A22" s="35" t="s">
        <v>8</v>
      </c>
      <c r="B22" s="35">
        <v>4</v>
      </c>
      <c r="C22" s="35">
        <v>3</v>
      </c>
      <c r="D22" s="35">
        <v>556</v>
      </c>
      <c r="E22" s="35" t="b">
        <v>1</v>
      </c>
      <c r="F22" s="35" t="s">
        <v>9</v>
      </c>
      <c r="G22" s="53" t="str">
        <f t="shared" si="0"/>
        <v>A4</v>
      </c>
      <c r="H22" s="52" t="str">
        <f t="shared" si="5"/>
        <v>B</v>
      </c>
      <c r="I22" s="41" t="str">
        <f t="shared" si="1"/>
        <v>A3</v>
      </c>
      <c r="J22" s="42">
        <f t="shared" si="2"/>
        <v>0.38799720865317516</v>
      </c>
      <c r="K22" s="41">
        <f t="shared" si="6"/>
        <v>1433</v>
      </c>
      <c r="L22" s="41" t="str">
        <f t="shared" si="3"/>
        <v>A4</v>
      </c>
      <c r="M22" s="41" t="str">
        <f t="shared" si="7"/>
        <v/>
      </c>
      <c r="N22" s="41" t="str">
        <f>IFERROR(VLOOKUP(I22,L22:L:L,1,FALSE),"")</f>
        <v/>
      </c>
      <c r="O22" s="56" t="str">
        <f t="shared" si="8"/>
        <v>A_4_3</v>
      </c>
      <c r="U22" t="s">
        <v>33</v>
      </c>
      <c r="V22">
        <f>SUMIFS(D:D,A:A,"C",B:B,"3")</f>
        <v>792</v>
      </c>
      <c r="Z22" t="str">
        <f t="shared" si="9"/>
        <v>D1</v>
      </c>
      <c r="AA22" t="str">
        <f t="shared" si="10"/>
        <v>D1</v>
      </c>
      <c r="AB22" t="s">
        <v>18</v>
      </c>
      <c r="AC22" s="13">
        <f>SUMIFS($D:$D,$E:$E,"FAUX",$G:$G,"D1",$M:$M,"C",$N:$N,"D*")*SUMIFS($J:$J,$E:$E,"VRAI",$F:$F,"D",$M:$M,"B")*SUMIFS($J:$J,$E:$E,"VRAI",$F:$F,"C",$M:$M,"A")*SUMIFS($J:$J,$E:$E,"VRAI",$H:$H,"B",$I:$I,"A1")</f>
        <v>0</v>
      </c>
      <c r="AD22" s="14">
        <f>SUMIFS($D:$D,$E:$E,"FAUX",$G:$G,"D1",$M:$M,"C",$N:$N,"D*")*SUMIFS($J:$J,$E:$E,"VRAI",$F:$F,"D",$M:$M,"B")*SUMIFS($J:$J,$E:$E,"VRAI",$F:$F,"C",$M:$M,"A")*SUMIFS($J:$J,$E:$E,"VRAI",$H:$H,"B",$I:$I,"A2")</f>
        <v>0</v>
      </c>
      <c r="AE22" s="14">
        <f>SUMIFS($D:$D,$E:$E,"FAUX",$G:$G,"D1",$M:$M,"C",$N:$N,"D*")*SUMIFS($J:$J,$E:$E,"VRAI",$F:$F,"D",$M:$M,"B")*SUMIFS($J:$J,$E:$E,"VRAI",$F:$F,"C",$M:$M,"A")*SUMIFS($J:$J,$E:$E,"VRAI",$H:$H,"B",$I:$I,"A3")</f>
        <v>0</v>
      </c>
      <c r="AF22" s="14">
        <f>SUMIFS($D:$D,$E:$E,"FAUX",$G:$G,"D1",$M:$M,"C",$N:$N,"D*")*SUMIFS($J:$J,$E:$E,"VRAI",$F:$F,"D",$M:$M,"B")*SUMIFS($J:$J,$E:$E,"VRAI",$F:$F,"C",$M:$M,"A")*SUMIFS($J:$J,$E:$E,"VRAI",$H:$H,"B",$I:$I,"A4")</f>
        <v>0</v>
      </c>
      <c r="AG22" s="14">
        <f>SUMIFS($D:$D,$E:$E,"FAUX",$G:$G,"D1",$M:$M,"C",$N:$N,"D*")*SUMIFS($J:$J,$E:$E,"VRAI",$F:$F,"A",$M:$M,"C")*SUMIFS($J:$J,$E:$E,"VRAI",$F:$F,"F",$M:$M,"D")*SUMIFS($J:$J,$E:$E,"VRAI",$H:$H,"B",$I:$I,"A5")</f>
        <v>0</v>
      </c>
      <c r="AH22" s="15">
        <f>SUMIFS($D:$D,$E:$E,"FAUX",$G:$G,"D1",$M:$M,"C",$N:$N,"D*")*SUMIFS($J:$J,$E:$E,"VRAI",$F:$F,"D",$M:$M,"B")*SUMIFS($J:$J,$E:$E,"VRAI",$F:$F,"C",$M:$M,"A")*SUMIFS($J:$J,$E:$E,"VRAI",$H:$H,"B",$I:$I,"A6")</f>
        <v>0</v>
      </c>
      <c r="AI22" s="13">
        <f>SUMIFS($D:$D,$E:$E,"FAUX",$G:$G,"D1",$M:$M,"C",$N:$N,"D*")*SUMIFS($J:$J,$E:$E,"VRAI",$F:$F,"F",$M:$M,"D")*SUMIFS($J:$J,$E:$E,"VRAI",$H:$H,"C",$I:$I,"B1")</f>
        <v>0</v>
      </c>
      <c r="AJ22" s="14">
        <f>SUMIFS($D:$D,$E:$E,"FAUX",$G:$G,"D1",$M:$M,"C",$N:$N,"D*")*SUMIFS($J:$J,$E:$E,"VRAI",$F:$F,"F",$M:$M,"D")*SUMIFS($J:$J,$E:$E,"VRAI",$H:$H,"C",$I:$I,"B2")</f>
        <v>0</v>
      </c>
      <c r="AK22" s="14">
        <f>SUMIFS($D:$D,$E:$E,"FAUX",$G:$G,"D1",$M:$M,"C",$N:$N,"D*")*SUMIFS($J:$J,$E:$E,"VRAI",$F:$F,"F",$M:$M,"D")*SUMIFS($J:$J,$E:$E,"VRAI",$H:$H,"C",$I:$I,"B3")</f>
        <v>0</v>
      </c>
      <c r="AL22" s="14">
        <f>SUMIFS($D:$D,$E:$E,"FAUX",$G:$G,"D1",$M:$M,"C",$N:$N,"D*")*SUMIFS($J:$J,$E:$E,"VRAI",$F:$F,"F",$M:$M,"D")*SUMIFS($J:$J,$E:$E,"VRAI",$H:$H,"C",$I:$I,"B4")</f>
        <v>0</v>
      </c>
      <c r="AM22" s="14">
        <f>SUMIFS($D:$D,$E:$E,"FAUX",$G:$G,"D1",$M:$M,"C",$N:$N,"D*")*SUMIFS($J:$J,$E:$E,"VRAI",$F:$F,"F",$M:$M,"D")*SUMIFS($J:$J,$E:$E,"VRAI",$H:$H,"C",$I:$I,"B5")</f>
        <v>0</v>
      </c>
      <c r="AN22" s="15">
        <f>SUMIFS($D:$D,$E:$E,"FAUX",$G:$G,"D1",$M:$M,"C",$N:$N,"D*")*SUMIFS($J:$J,$E:$E,"VRAI",$F:$F,"F",$M:$M,"D")*SUMIFS($J:$J,$E:$E,"VRAI",$H:$H,"C",$I:$I,"B6")</f>
        <v>0</v>
      </c>
      <c r="AO22" s="13">
        <f>SUMIFS($D:$D,$E:$E,"FAUX",$G:$G,"D1",$M:$M,"C",$N:$N,"D*")*SUMIFS($J:$J,$E:$E,"VRAI",$I:$I,"C1",$F:$F,"D")</f>
        <v>0</v>
      </c>
      <c r="AP22" s="14">
        <f>SUMIFS($D:$D,$E:$E,"FAUX",$G:$G,"D1",$M:$M,"C",$N:$N,"D*")*SUMIFS($J:$J,$E:$E,"VRAI",$I:$I,"C3",$F:$F,"D")</f>
        <v>0</v>
      </c>
      <c r="AQ22" s="14">
        <f>SUMIFS($D:$D,$E:$E,"FAUX",$G:$G,"D1",$M:$M,"C",$N:$N,"D*")*SUMIFS($J:$J,$E:$E,"VRAI",$I:$I,"C2",$F:$F,"D")</f>
        <v>0</v>
      </c>
      <c r="AR22" s="14">
        <f>SUMIFS($D:$D,$E:$E,"FAUX",$G:$G,"D1",$M:$M,"C",$N:$N,"D*")*SUMIFS($J:$J,$E:$E,"VRAI",$I:$I,"C4",$F:$F,"D")</f>
        <v>0</v>
      </c>
      <c r="AS22" s="14">
        <f>SUMIFS($D:$D,$E:$E,"FAUX",$G:$G,"D1",$M:$M,"C",$N:$N,"D*")*SUMIFS($J:$J,$E:$E,"VRAI",$I:$I,"C5",$F:$F,"D")</f>
        <v>0</v>
      </c>
      <c r="AT22" s="15">
        <f>SUMIFS($D:$D,$E:$E,"FAUX",$G:$G,"D1",$M:$M,"C",$N:$N,"D*")*SUMIFS($J:$J,$E:$E,"VRAI",$I:$I,"C6",$F:$F,"D")</f>
        <v>0</v>
      </c>
      <c r="AU22" s="43">
        <f>SUMIFS($D:$D,$O:$O,"D_1_1")</f>
        <v>0</v>
      </c>
      <c r="AV22" s="43">
        <f>SUMIFS($D:$D,$O:$O,"D_1_2")</f>
        <v>129</v>
      </c>
      <c r="AW22" s="43">
        <f>SUMIFS($D:$D,$O:$O,"D_1_3")</f>
        <v>948</v>
      </c>
      <c r="AX22" s="43">
        <f>SUMIFS($D:$D,$O:$O,"D_1_4")</f>
        <v>70</v>
      </c>
      <c r="AY22" s="43">
        <f>SUMIFS($D:$D,$O:$O,"D_1_5")</f>
        <v>0</v>
      </c>
      <c r="AZ22" s="36">
        <f>SUMIFS($D:$D,$O:$O,"D_1_6")</f>
        <v>0</v>
      </c>
      <c r="BA22" s="43">
        <f>SUMIFS($D:$D,$E:$E,"FAUX",$G:$G,"D1",$M:$M,"E",$N:$N,"D*")*SUMIFS($J:$J,$O:$O,"E_1_1")</f>
        <v>0</v>
      </c>
      <c r="BB22" s="44">
        <f>SUMIFS($D:$D,$E:$E,"FAUX",$G:$G,"D1",$M:$M,"E",$N:$N,"D*")*SUMIFS($J:$J,$O:$O,"E_1_2")</f>
        <v>0</v>
      </c>
      <c r="BC22" s="44">
        <f>SUMIFS($D:$D,$E:$E,"FAUX",$G:$G,"D1",$M:$M,"E",$N:$N,"D*")*SUMIFS($J:$J,$O:$O,"E_1_3")</f>
        <v>0</v>
      </c>
      <c r="BD22" s="44">
        <f>SUMIFS($D:$D,$E:$E,"FAUX",$G:$G,"D1",$M:$M,"E",$N:$N,"D*")*SUMIFS($J:$J,$O:$O,"E_1_4")</f>
        <v>0</v>
      </c>
      <c r="BE22" s="44">
        <f>SUMIFS($D:$D,$E:$E,"FAUX",$G:$G,"D1",$M:$M,"E",$N:$N,"D*")*SUMIFS($J:$J,$O:$O,"E_1_5")</f>
        <v>0</v>
      </c>
      <c r="BF22" s="45">
        <f>SUMIFS($D:$D,$E:$E,"FAUX",$G:$G,"D1",$M:$M,"E",$N:$N,"D*")*SUMIFS($J:$J,$O:$O,"E_1_6")</f>
        <v>0</v>
      </c>
      <c r="BG22" s="43">
        <f>SUMIFS($D:$D,$E:$E,"FAUX",$G:$G,"D1",$M:$M,"E",$N:$N,"D*")*SUMIFS($J:$J,$E:$E,"VRAI",$F:$F,"D",$M:$M,"F")*SUMIFS($J:$J,$E:$E,"VRAI",$H:$H,"E",$I:$I,"F1")</f>
        <v>0</v>
      </c>
      <c r="BH22" s="44">
        <f>SUMIFS($D:$D,$E:$E,"FAUX",$G:$G,"D1",$M:$M,"E",$N:$N,"D*")*SUMIFS($J:$J,$E:$E,"VRAI",$F:$F,"D",$M:$M,"F")*SUMIFS($J:$J,$E:$E,"VRAI",$H:$H,"E",$I:$I,"F2")</f>
        <v>0</v>
      </c>
      <c r="BI22" s="44">
        <f>SUMIFS($D:$D,$E:$E,"FAUX",$G:$G,"D1",$M:$M,"E",$N:$N,"D*")*SUMIFS($J:$J,$E:$E,"VRAI",$F:$F,"D",$M:$M,"F")*SUMIFS($J:$J,$E:$E,"VRAI",$H:$H,"E",$I:$I,"F3")</f>
        <v>0</v>
      </c>
      <c r="BJ22" s="44">
        <f>SUMIFS($D:$D,$E:$E,"FAUX",$G:$G,"D1",$M:$M,"E",$N:$N,"D*")*SUMIFS($J:$J,$E:$E,"VRAI",$F:$F,"D",$M:$M,"F")*SUMIFS($J:$J,$E:$E,"VRAI",$H:$H,"E",$I:$I,"F4")</f>
        <v>0</v>
      </c>
      <c r="BK22" s="44">
        <f>SUMIFS($D:$D,$E:$E,"FAUX",$G:$G,"D1",$M:$M,"E",$N:$N,"D*")*SUMIFS($J:$J,$E:$E,"VRAI",$F:$F,"D",$M:$M,"F")*SUMIFS($J:$J,$E:$E,"VRAI",$H:$H,"E",$I:$I,"F5")</f>
        <v>0</v>
      </c>
      <c r="BL22" s="44">
        <f>SUMIFS($D:$D,$E:$E,"FAUX",$G:$G,"D2",$M:$M,"E",$N:$N,"D*")*SUMIFS($J:$J,$E:$E,"VRAI",$F:$F,"D",$M:$M,"F")*SUMIFS($J:$J,$E:$E,"VRAI",$H:$H,"E",$I:$I,"F6")</f>
        <v>0</v>
      </c>
      <c r="BM22" s="43">
        <f>SUMIFS($D:$D,$E:$E,"FAUX",$G:$G,"D1",$M:$M,"E",$N:$N,"D*")*SUMIFS($J:$J,$E:$E,"VRAI",$F:$F,"D",$M:$M,"F")*SUMIFS($J:$J,$E:$E,"VRAI",$F:$F,"E",$M:$M,"G")*SUMIFS($J:$J,$E:$E,"VRAI",$F:$F,"F",$I:$I,"G1")</f>
        <v>0</v>
      </c>
      <c r="BN22" s="44">
        <f>SUMIFS($D:$D,$E:$E,"FAUX",$G:$G,"D1",$M:$M,"E",$N:$N,"D*")*SUMIFS($J:$J,$E:$E,"VRAI",$F:$F,"D",$M:$M,"F")*SUMIFS($J:$J,$E:$E,"VRAI",$F:$F,"E",$M:$M,"G")*SUMIFS($J:$J,$E:$E,"VRAI",$F:$F,"F",$I:$I,"G2")</f>
        <v>0</v>
      </c>
      <c r="BO22" s="44">
        <f>SUMIFS($D:$D,$E:$E,"FAUX",$G:$G,"D1",$M:$M,"E",$N:$N,"D*")*SUMIFS($J:$J,$E:$E,"VRAI",$F:$F,"D",$M:$M,"F")*SUMIFS($J:$J,$E:$E,"VRAI",$F:$F,"E",$M:$M,"G")*SUMIFS($J:$J,$E:$E,"VRAI",$F:$F,"F",$I:$I,"G3")</f>
        <v>0</v>
      </c>
      <c r="BP22" s="44">
        <f>SUMIFS($D:$D,$E:$E,"FAUX",$G:$G,"D1",$M:$M,"E",$N:$N,"D*")*SUMIFS($J:$J,$E:$E,"VRAI",$F:$F,"D",$M:$M,"F")*SUMIFS($J:$J,$E:$E,"VRAI",$F:$F,"E",$M:$M,"G")*SUMIFS($J:$J,$E:$E,"VRAI",$F:$F,"F",$I:$I,"G4")</f>
        <v>0</v>
      </c>
      <c r="BQ22" s="44">
        <f>SUMIFS($D:$D,$E:$E,"FAUX",$G:$G,"D1",$M:$M,"E",$N:$N,"D*")*SUMIFS($J:$J,$E:$E,"VRAI",$F:$F,"D",$M:$M,"F")*SUMIFS($J:$J,$E:$E,"VRAI",$F:$F,"E",$M:$M,"G")*SUMIFS($J:$J,$E:$E,"VRAI",$F:$F,"F",$I:$I,"G5")</f>
        <v>0</v>
      </c>
      <c r="BR22" s="45">
        <f>SUMIFS($D:$D,$E:$E,"FAUX",$G:$G,"D1",$M:$M,"E",$N:$N,"D*")*SUMIFS($J:$J,$E:$E,"VRAI",$F:$F,"D",$M:$M,"F")*SUMIFS($J:$J,$E:$E,"VRAI",$F:$F,"E",$M:$M,"G")*SUMIFS($J:$J,$E:$E,"VRAI",$F:$F,"F",$I:$I,"G6")</f>
        <v>0</v>
      </c>
      <c r="BS22" s="43">
        <f>SUMIFS($D:$D,$E:$E,"FAUX",$G:$G,"D1",$M:$M,"E",$N:$N,"D*")*SUMIFS($J:$J,$E:$E,"VRAI",$F:$F,"D",$M:$M,"F")*SUMIFS($J:$J,$E:$E,"VRAI",$F:$F,"E",$M:$M,"G")*SUMIFS($J:$J,$E:$E,"VRAI",$F:$F,"F",$M:$M,"H")*SUMIFS($J:$J,$E:$E,"VRAI",$F:$F,"G",$I:$I,"H1")</f>
        <v>0</v>
      </c>
      <c r="BT22" s="44">
        <f>SUMIFS($D:$D,$E:$E,"FAUX",$G:$G,"D1",$M:$M,"E",$N:$N,"D*")*SUMIFS($J:$J,$E:$E,"VRAI",$F:$F,"D",$M:$M,"F")*SUMIFS($J:$J,$E:$E,"VRAI",$F:$F,"E",$M:$M,"G")*SUMIFS($J:$J,$E:$E,"VRAI",$F:$F,"F",$M:$M,"H")*SUMIFS($J:$J,$E:$E,"VRAI",$F:$F,"G",$I:$I,"H2")</f>
        <v>0</v>
      </c>
      <c r="BU22" s="44">
        <f>SUMIFS($D:$D,$E:$E,"FAUX",$G:$G,"D1",$M:$M,"E",$N:$N,"D*")*SUMIFS($J:$J,$E:$E,"VRAI",$F:$F,"D",$M:$M,"F")*SUMIFS($J:$J,$E:$E,"VRAI",$F:$F,"E",$M:$M,"G")*SUMIFS($J:$J,$E:$E,"VRAI",$F:$F,"F",$M:$M,"H")*SUMIFS($J:$J,$E:$E,"VRAI",$F:$F,"G",$I:$I,"H3")</f>
        <v>0</v>
      </c>
      <c r="BV22" s="44">
        <f>SUMIFS($D:$D,$E:$E,"FAUX",$G:$G,"D1",$M:$M,"E",$N:$N,"D*")*SUMIFS($J:$J,$E:$E,"VRAI",$F:$F,"D",$M:$M,"F")*SUMIFS($J:$J,$E:$E,"VRAI",$F:$F,"E",$M:$M,"G")*SUMIFS($J:$J,$E:$E,"VRAI",$F:$F,"F",$M:$M,"H")*SUMIFS($J:$J,$E:$E,"VRAI",$F:$F,"G",$I:$I,"H4")</f>
        <v>0</v>
      </c>
      <c r="BW22" s="44">
        <f>SUMIFS($D:$D,$E:$E,"FAUX",$G:$G,"D1",$M:$M,"E",$N:$N,"D*")*SUMIFS($J:$J,$E:$E,"VRAI",$F:$F,"D",$M:$M,"F")*SUMIFS($J:$J,$E:$E,"VRAI",$F:$F,"E",$M:$M,"G")*SUMIFS($J:$J,$E:$E,"VRAI",$F:$F,"F",$M:$M,"H")*SUMIFS($J:$J,$E:$E,"VRAI",$F:$F,"G",$I:$I,"H5")</f>
        <v>0</v>
      </c>
      <c r="BX22" s="44">
        <f>SUMIFS($D:$D,$E:$E,"FAUX",$G:$G,"D1",$M:$M,"E",$N:$N,"D*")*SUMIFS($J:$J,$E:$E,"VRAI",$F:$F,"D",$M:$M,"F")*SUMIFS($J:$J,$E:$E,"VRAI",$F:$F,"E",$M:$M,"G")*SUMIFS($J:$J,$E:$E,"VRAI",$F:$F,"F",$M:$M,"H")*SUMIFS($J:$J,$E:$E,"VRAI",$F:$F,"G",$I:$I,"H6")</f>
        <v>0</v>
      </c>
      <c r="BY22" s="43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2" s="43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2" s="43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2" s="44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2" s="45">
        <f>SUMIFS($D:$D,$E:$E,"FAUX",$G:$G,"D1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3" spans="1:94">
      <c r="A23" s="35" t="s">
        <v>8</v>
      </c>
      <c r="B23" s="35">
        <v>4</v>
      </c>
      <c r="C23" s="35">
        <v>4</v>
      </c>
      <c r="D23" s="35">
        <v>0</v>
      </c>
      <c r="E23" s="35" t="b">
        <v>1</v>
      </c>
      <c r="F23" s="35" t="s">
        <v>9</v>
      </c>
      <c r="G23" s="53" t="str">
        <f t="shared" si="0"/>
        <v>A4</v>
      </c>
      <c r="H23" s="52" t="str">
        <f t="shared" si="5"/>
        <v>B</v>
      </c>
      <c r="I23" s="41" t="str">
        <f t="shared" si="1"/>
        <v>A4</v>
      </c>
      <c r="J23" s="42">
        <f t="shared" si="2"/>
        <v>0</v>
      </c>
      <c r="K23" s="41">
        <f t="shared" si="6"/>
        <v>1433</v>
      </c>
      <c r="L23" s="41" t="str">
        <f t="shared" si="3"/>
        <v>A4</v>
      </c>
      <c r="M23" s="41" t="str">
        <f t="shared" si="7"/>
        <v>B</v>
      </c>
      <c r="N23" s="41" t="str">
        <f>IFERROR(VLOOKUP(I23,L23:L:L,1,FALSE),"")</f>
        <v>A4</v>
      </c>
      <c r="O23" s="56" t="str">
        <f t="shared" si="8"/>
        <v>A_4_4</v>
      </c>
      <c r="U23" t="s">
        <v>17</v>
      </c>
      <c r="V23">
        <f>SUMIFS(D:D,A:A,"C",B:B,"4")</f>
        <v>0</v>
      </c>
      <c r="Z23" t="e">
        <f t="shared" si="9"/>
        <v>#N/A</v>
      </c>
      <c r="AA23" t="str">
        <f t="shared" si="10"/>
        <v>D2</v>
      </c>
      <c r="AB23" t="s">
        <v>34</v>
      </c>
      <c r="AC23" s="16">
        <f>SUMIFS($D:$D,$E:$E,"FAUX",$G:$G,"D2",$M:$M,"C",$N:$N,"D*")*SUMIFS($J:$J,$E:$E,"VRAI",$F:$F,"D",$M:$M,"B")*SUMIFS($J:$J,$E:$E,"VRAI",$F:$F,"C",$M:$M,"A")*SUMIFS($J:$J,$E:$E,"VRAI",$H:$H,"B",$I:$I,"A1")</f>
        <v>0</v>
      </c>
      <c r="AD23" s="17">
        <f>SUMIFS($D:$D,$E:$E,"FAUX",$G:$G,"D2",$M:$M,"C",$N:$N,"D*")*SUMIFS($J:$J,$E:$E,"VRAI",$F:$F,"D",$M:$M,"B")*SUMIFS($J:$J,$E:$E,"VRAI",$F:$F,"C",$M:$M,"A")*SUMIFS($J:$J,$E:$E,"VRAI",$H:$H,"B",$I:$I,"A2")</f>
        <v>0</v>
      </c>
      <c r="AE23" s="17">
        <f>SUMIFS($D:$D,$E:$E,"FAUX",$G:$G,"D2",$M:$M,"C",$N:$N,"D*")*SUMIFS($J:$J,$E:$E,"VRAI",$F:$F,"D",$M:$M,"B")*SUMIFS($J:$J,$E:$E,"VRAI",$F:$F,"C",$M:$M,"A")*SUMIFS($J:$J,$E:$E,"VRAI",$H:$H,"B",$I:$I,"A3")</f>
        <v>0</v>
      </c>
      <c r="AF23" s="17">
        <f>SUMIFS($D:$D,$E:$E,"FAUX",$G:$G,"D2",$M:$M,"C",$N:$N,"D*")*SUMIFS($J:$J,$E:$E,"VRAI",$F:$F,"D",$M:$M,"B")*SUMIFS($J:$J,$E:$E,"VRAI",$F:$F,"C",$M:$M,"A")*SUMIFS($J:$J,$E:$E,"VRAI",$H:$H,"B",$I:$I,"A4")</f>
        <v>0</v>
      </c>
      <c r="AG23" s="17">
        <f>SUMIFS($D:$D,$E:$E,"FAUX",$G:$G,"D2",$M:$M,"C",$N:$N,"D*")*SUMIFS($J:$J,$E:$E,"VRAI",$F:$F,"D",$M:$M,"B")*SUMIFS($J:$J,$E:$E,"VRAI",$F:$F,"C",$M:$M,"A")*SUMIFS($J:$J,$E:$E,"VRAI",$H:$H,"B",$I:$I,"A5")</f>
        <v>0</v>
      </c>
      <c r="AH23" s="18">
        <f>SUMIFS($D:$D,$E:$E,"FAUX",$G:$G,"D2",$M:$M,"C",$N:$N,"D*")*SUMIFS($J:$J,$E:$E,"VRAI",$F:$F,"D",$M:$M,"B")*SUMIFS($J:$J,$E:$E,"VRAI",$F:$F,"C",$M:$M,"A")*SUMIFS($J:$J,$E:$E,"VRAI",$H:$H,"B",$I:$I,"A6")</f>
        <v>0</v>
      </c>
      <c r="AI23" s="16">
        <f>SUMIFS($D:$D,$E:$E,"FAUX",$G:$G,"D2",$M:$M,"C",$N:$N,"D*")*SUMIFS($J:$J,$E:$E,"VRAI",$F:$F,"F",$M:$M,"D")*SUMIFS($J:$J,$E:$E,"VRAI",$H:$H,"C",$I:$I,"B1")</f>
        <v>0</v>
      </c>
      <c r="AJ23" s="17">
        <f>SUMIFS($D:$D,$E:$E,"FAUX",$G:$G,"D2",$M:$M,"C",$N:$N,"D*")*SUMIFS($J:$J,$E:$E,"VRAI",$F:$F,"F",$M:$M,"D")*SUMIFS($J:$J,$E:$E,"VRAI",$H:$H,"C",$I:$I,"B2")</f>
        <v>0</v>
      </c>
      <c r="AK23" s="17">
        <f>SUMIFS($D:$D,$E:$E,"FAUX",$G:$G,"D2",$M:$M,"C",$N:$N,"D*")*SUMIFS($J:$J,$E:$E,"VRAI",$F:$F,"F",$M:$M,"D")*SUMIFS($J:$J,$E:$E,"VRAI",$H:$H,"C",$I:$I,"B3")</f>
        <v>0</v>
      </c>
      <c r="AL23" s="17">
        <f>SUMIFS($D:$D,$E:$E,"FAUX",$G:$G,"D2",$M:$M,"C",$N:$N,"D*")*SUMIFS($J:$J,$E:$E,"VRAI",$F:$F,"F",$M:$M,"D")*SUMIFS($J:$J,$E:$E,"VRAI",$H:$H,"C",$I:$I,"B4")</f>
        <v>0</v>
      </c>
      <c r="AM23" s="17">
        <f>SUMIFS($D:$D,$E:$E,"FAUX",$G:$G,"D2",$M:$M,"C",$N:$N,"D*")*SUMIFS($J:$J,$E:$E,"VRAI",$F:$F,"F",$M:$M,"D")*SUMIFS($J:$J,$E:$E,"VRAI",$H:$H,"C",$I:$I,"B5")</f>
        <v>0</v>
      </c>
      <c r="AN23" s="18">
        <f>SUMIFS($D:$D,$E:$E,"FAUX",$G:$G,"D2",$M:$M,"C",$N:$N,"D*")*SUMIFS($J:$J,$E:$E,"VRAI",$F:$F,"F",$M:$M,"D")*SUMIFS($J:$J,$E:$E,"VRAI",$H:$H,"C",$I:$I,"B6")</f>
        <v>0</v>
      </c>
      <c r="AO23" s="16">
        <f>SUMIFS($D:$D,$E:$E,"FAUX",$G:$G,"D2",$M:$M,"C",$N:$N,"D*")*SUMIFS($J:$J,$E:$E,"VRAI",$I:$I,"C1",$F:$F,"D")</f>
        <v>0</v>
      </c>
      <c r="AP23" s="17">
        <f>SUMIFS($D:$D,$E:$E,"FAUX",$G:$G,"D2",$M:$M,"C",$N:$N,"D*")*SUMIFS($J:$J,$E:$E,"VRAI",$I:$I,"C2",$F:$F,"D")</f>
        <v>0</v>
      </c>
      <c r="AQ23" s="17">
        <f>SUMIFS($D:$D,$E:$E,"FAUX",$G:$G,"D2",$M:$M,"C",$N:$N,"D*")*SUMIFS($J:$J,$E:$E,"VRAI",$I:$I,"C2",$F:$F,"D")</f>
        <v>0</v>
      </c>
      <c r="AR23" s="17">
        <f>SUMIFS($D:$D,$E:$E,"FAUX",$G:$G,"D2",$M:$M,"C",$N:$N,"D*")*SUMIFS($J:$J,$E:$E,"VRAI",$I:$I,"C4",$F:$F,"D")</f>
        <v>0</v>
      </c>
      <c r="AS23" s="17">
        <f>SUMIFS($D:$D,$E:$E,"FAUX",$G:$G,"D2",$M:$M,"C",$N:$N,"D*")*SUMIFS($J:$J,$E:$E,"VRAI",$I:$I,"C5",$F:$F,"D")</f>
        <v>0</v>
      </c>
      <c r="AT23" s="18">
        <f>SUMIFS($D:$D,$E:$E,"FAUX",$G:$G,"D2",$M:$M,"C",$N:$N,"D*")*SUMIFS($J:$J,$E:$E,"VRAI",$I:$I,"C6",$F:$F,"D")</f>
        <v>0</v>
      </c>
      <c r="AU23" s="43">
        <f>SUMIFS($D:$D,$O:$O,"D_2_1")</f>
        <v>0</v>
      </c>
      <c r="AV23" s="43">
        <f>SUMIFS($D:$D,$O:$O,"D_2_2")</f>
        <v>0</v>
      </c>
      <c r="AW23" s="43">
        <f>SUMIFS($D:$D,$O:$O,"D_2_3")</f>
        <v>0</v>
      </c>
      <c r="AX23" s="43">
        <f>SUMIFS($D:$D,$O:$O,"D_2_4")</f>
        <v>0</v>
      </c>
      <c r="AY23" s="43">
        <f>SUMIFS($D:$D,$O:$O,"D_2_5")</f>
        <v>0</v>
      </c>
      <c r="AZ23" s="36">
        <f>SUMIFS($D:$D,$O:$O,"D_2_6")</f>
        <v>0</v>
      </c>
      <c r="BA23" s="46">
        <f>SUMIFS($D:$D,$E:$E,"FAUX",$G:$G,"D2",$M:$M,"E",$N:$N,"D*")*SUMIFS($J:$J,$O:$O,"E_1_1")</f>
        <v>0</v>
      </c>
      <c r="BB23" s="47">
        <f>SUMIFS($D:$D,$E:$E,"FAUX",$G:$G,"D2",$M:$M,"E",$N:$N,"D*")*SUMIFS($J:$J,$O:$O,"E_1_2")</f>
        <v>0</v>
      </c>
      <c r="BC23" s="47">
        <f>SUMIFS($D:$D,$E:$E,"FAUX",$G:$G,"D2",$M:$M,"E",$N:$N,"D*")*SUMIFS($J:$J,$O:$O,"E_1_3")</f>
        <v>0</v>
      </c>
      <c r="BD23" s="47">
        <f>SUMIFS($D:$D,$E:$E,"FAUX",$G:$G,"D2",$M:$M,"E",$N:$N,"D*")*SUMIFS($J:$J,$O:$O,"E_1_4")</f>
        <v>0</v>
      </c>
      <c r="BE23" s="47">
        <f>SUMIFS($D:$D,$E:$E,"FAUX",$G:$G,"D2",$M:$M,"E",$N:$N,"D*")*SUMIFS($J:$J,$O:$O,"E_1_5")</f>
        <v>0</v>
      </c>
      <c r="BF23" s="48">
        <f>SUMIFS($D:$D,$E:$E,"FAUX",$G:$G,"D2",$M:$M,"E",$N:$N,"D*")*SUMIFS($J:$J,$O:$O,"E_1_6")</f>
        <v>0</v>
      </c>
      <c r="BG23" s="46">
        <f>SUMIFS($D:$D,$E:$E,"FAUX",$G:$G,"D2",$M:$M,"E",$N:$N,"D*")*SUMIFS($J:$J,$E:$E,"VRAI",$F:$F,"D",$M:$M,"F")*SUMIFS($J:$J,$E:$E,"VRAI",$H:$H,"E",$I:$I,"F1")</f>
        <v>0</v>
      </c>
      <c r="BH23" s="47">
        <f>SUMIFS($D:$D,$E:$E,"FAUX",$G:$G,"D2",$M:$M,"E",$N:$N,"D*")*SUMIFS($J:$J,$E:$E,"VRAI",$F:$F,"D",$M:$M,"F")*SUMIFS($J:$J,$E:$E,"VRAI",$H:$H,"E",$I:$I,"F2")</f>
        <v>0</v>
      </c>
      <c r="BI23" s="47">
        <f>SUMIFS($D:$D,$E:$E,"FAUX",$G:$G,"D2",$M:$M,"E",$N:$N,"D*")*SUMIFS($J:$J,$E:$E,"VRAI",$F:$F,"D",$M:$M,"F")*SUMIFS($J:$J,$E:$E,"VRAI",$H:$H,"E",$I:$I,"F3")</f>
        <v>0</v>
      </c>
      <c r="BJ23" s="47">
        <f>SUMIFS($D:$D,$E:$E,"FAUX",$G:$G,"D2",$M:$M,"E",$N:$N,"D*")*SUMIFS($J:$J,$E:$E,"VRAI",$F:$F,"D",$M:$M,"F")*SUMIFS($J:$J,$E:$E,"VRAI",$H:$H,"E",$I:$I,"F4")</f>
        <v>0</v>
      </c>
      <c r="BK23" s="47">
        <f>SUMIFS($D:$D,$E:$E,"FAUX",$G:$G,"D2",$M:$M,"E",$N:$N,"D*")*SUMIFS($J:$J,$E:$E,"VRAI",$F:$F,"D",$M:$M,"F")*SUMIFS($J:$J,$E:$E,"VRAI",$H:$H,"E",$I:$I,"F5")</f>
        <v>0</v>
      </c>
      <c r="BL23" s="47">
        <f>SUMIFS($D:$D,$E:$E,"FAUX",$G:$G,"D3",$M:$M,"E",$N:$N,"D*")*SUMIFS($J:$J,$E:$E,"VRAI",$F:$F,"D",$M:$M,"F")*SUMIFS($J:$J,$E:$E,"VRAI",$H:$H,"E",$I:$I,"F6")</f>
        <v>0</v>
      </c>
      <c r="BM23" s="46">
        <f>SUMIFS($D:$D,$E:$E,"FAUX",$G:$G,"D2",$M:$M,"E",$N:$N,"D*")*SUMIFS($J:$J,$E:$E,"VRAI",$F:$F,"D",$M:$M,"F")*SUMIFS($J:$J,$E:$E,"VRAI",$F:$F,"E",$M:$M,"G")*SUMIFS($J:$J,$E:$E,"VRAI",$F:$F,"F",$I:$I,"G1")</f>
        <v>0</v>
      </c>
      <c r="BN23" s="47">
        <f>SUMIFS($D:$D,$E:$E,"FAUX",$G:$G,"D2",$M:$M,"E",$N:$N,"D*")*SUMIFS($J:$J,$E:$E,"VRAI",$F:$F,"D",$M:$M,"F")*SUMIFS($J:$J,$E:$E,"VRAI",$F:$F,"E",$M:$M,"G")*SUMIFS($J:$J,$E:$E,"VRAI",$F:$F,"F",$I:$I,"G2")</f>
        <v>0</v>
      </c>
      <c r="BO23" s="47">
        <f>SUMIFS($D:$D,$E:$E,"FAUX",$G:$G,"D2",$M:$M,"E",$N:$N,"D*")*SUMIFS($J:$J,$E:$E,"VRAI",$F:$F,"D",$M:$M,"F")*SUMIFS($J:$J,$E:$E,"VRAI",$F:$F,"E",$M:$M,"G")*SUMIFS($J:$J,$E:$E,"VRAI",$F:$F,"F",$I:$I,"G3")</f>
        <v>0</v>
      </c>
      <c r="BP23" s="47">
        <f>SUMIFS($D:$D,$E:$E,"FAUX",$G:$G,"D2",$M:$M,"E",$N:$N,"D*")*SUMIFS($J:$J,$E:$E,"VRAI",$F:$F,"D",$M:$M,"F")*SUMIFS($J:$J,$E:$E,"VRAI",$F:$F,"E",$M:$M,"G")*SUMIFS($J:$J,$E:$E,"VRAI",$F:$F,"F",$I:$I,"G4")</f>
        <v>0</v>
      </c>
      <c r="BQ23" s="47">
        <f>SUMIFS($D:$D,$E:$E,"FAUX",$G:$G,"D2",$M:$M,"E",$N:$N,"D*")*SUMIFS($J:$J,$E:$E,"VRAI",$F:$F,"D",$M:$M,"F")*SUMIFS($J:$J,$E:$E,"VRAI",$F:$F,"E",$M:$M,"G")*SUMIFS($J:$J,$E:$E,"VRAI",$F:$F,"F",$I:$I,"G5")</f>
        <v>0</v>
      </c>
      <c r="BR23" s="48">
        <f>SUMIFS($D:$D,$E:$E,"FAUX",$G:$G,"D2",$M:$M,"E",$N:$N,"D*")*SUMIFS($J:$J,$E:$E,"VRAI",$F:$F,"D",$M:$M,"F")*SUMIFS($J:$J,$E:$E,"VRAI",$F:$F,"E",$M:$M,"G")*SUMIFS($J:$J,$E:$E,"VRAI",$F:$F,"F",$I:$I,"G6")</f>
        <v>0</v>
      </c>
      <c r="BS23" s="46">
        <f>SUMIFS($D:$D,$E:$E,"FAUX",$G:$G,"D2",$M:$M,"E",$N:$N,"D*")*SUMIFS($J:$J,$E:$E,"VRAI",$F:$F,"D",$M:$M,"F")*SUMIFS($J:$J,$E:$E,"VRAI",$F:$F,"E",$M:$M,"G")*SUMIFS($J:$J,$E:$E,"VRAI",$F:$F,"F",$M:$M,"H")*SUMIFS($J:$J,$E:$E,"VRAI",$F:$F,"G",$I:$I,"H1")</f>
        <v>0</v>
      </c>
      <c r="BT23" s="47">
        <f>SUMIFS($D:$D,$E:$E,"FAUX",$G:$G,"D2",$M:$M,"E",$N:$N,"D*")*SUMIFS($J:$J,$E:$E,"VRAI",$F:$F,"D",$M:$M,"F")*SUMIFS($J:$J,$E:$E,"VRAI",$F:$F,"E",$M:$M,"G")*SUMIFS($J:$J,$E:$E,"VRAI",$F:$F,"F",$M:$M,"H")*SUMIFS($J:$J,$E:$E,"VRAI",$F:$F,"G",$I:$I,"H2")</f>
        <v>0</v>
      </c>
      <c r="BU23" s="47">
        <f>SUMIFS($D:$D,$E:$E,"FAUX",$G:$G,"D2",$M:$M,"E",$N:$N,"D*")*SUMIFS($J:$J,$E:$E,"VRAI",$F:$F,"D",$M:$M,"F")*SUMIFS($J:$J,$E:$E,"VRAI",$F:$F,"E",$M:$M,"G")*SUMIFS($J:$J,$E:$E,"VRAI",$F:$F,"F",$M:$M,"H")*SUMIFS($J:$J,$E:$E,"VRAI",$F:$F,"G",$I:$I,"H3")</f>
        <v>0</v>
      </c>
      <c r="BV23" s="47">
        <f>SUMIFS($D:$D,$E:$E,"FAUX",$G:$G,"D2",$M:$M,"E",$N:$N,"D*")*SUMIFS($J:$J,$E:$E,"VRAI",$F:$F,"D",$M:$M,"F")*SUMIFS($J:$J,$E:$E,"VRAI",$F:$F,"E",$M:$M,"G")*SUMIFS($J:$J,$E:$E,"VRAI",$F:$F,"F",$M:$M,"H")*SUMIFS($J:$J,$E:$E,"VRAI",$F:$F,"G",$I:$I,"H4")</f>
        <v>0</v>
      </c>
      <c r="BW23" s="47">
        <f>SUMIFS($D:$D,$E:$E,"FAUX",$G:$G,"D2",$M:$M,"E",$N:$N,"D*")*SUMIFS($J:$J,$E:$E,"VRAI",$F:$F,"D",$M:$M,"F")*SUMIFS($J:$J,$E:$E,"VRAI",$F:$F,"E",$M:$M,"G")*SUMIFS($J:$J,$E:$E,"VRAI",$F:$F,"F",$M:$M,"H")*SUMIFS($J:$J,$E:$E,"VRAI",$F:$F,"G",$I:$I,"H5")</f>
        <v>0</v>
      </c>
      <c r="BX23" s="47">
        <f>SUMIFS($D:$D,$E:$E,"FAUX",$G:$G,"D2",$M:$M,"E",$N:$N,"D*")*SUMIFS($J:$J,$E:$E,"VRAI",$F:$F,"D",$M:$M,"F")*SUMIFS($J:$J,$E:$E,"VRAI",$F:$F,"E",$M:$M,"G")*SUMIFS($J:$J,$E:$E,"VRAI",$F:$F,"F",$M:$M,"H")*SUMIFS($J:$J,$E:$E,"VRAI",$F:$F,"G",$I:$I,"H6")</f>
        <v>0</v>
      </c>
      <c r="BY23" s="46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3" s="46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3" s="46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3" s="47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3" s="48">
        <f>SUMIFS($D:$D,$E:$E,"FAUX",$G:$G,"D2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4" spans="1:94">
      <c r="A24" s="35" t="s">
        <v>8</v>
      </c>
      <c r="B24" s="35">
        <v>5</v>
      </c>
      <c r="C24" s="35">
        <v>1</v>
      </c>
      <c r="D24" s="35">
        <v>1</v>
      </c>
      <c r="E24" s="35" t="b">
        <v>0</v>
      </c>
      <c r="F24" s="35"/>
      <c r="G24" s="53" t="str">
        <f t="shared" si="0"/>
        <v>A5</v>
      </c>
      <c r="H24" s="52" t="str">
        <f t="shared" si="5"/>
        <v/>
      </c>
      <c r="I24" s="41" t="str">
        <f t="shared" si="1"/>
        <v>A1</v>
      </c>
      <c r="J24" s="42">
        <f t="shared" si="2"/>
        <v>5.3191489361702126E-3</v>
      </c>
      <c r="K24" s="41">
        <f t="shared" si="6"/>
        <v>188</v>
      </c>
      <c r="L24" s="41" t="str">
        <f t="shared" si="3"/>
        <v/>
      </c>
      <c r="M24" s="41" t="str">
        <f t="shared" si="7"/>
        <v/>
      </c>
      <c r="N24" s="41" t="str">
        <f>IFERROR(VLOOKUP(I24,L24:L:L,1,FALSE),"")</f>
        <v/>
      </c>
      <c r="O24" s="56" t="str">
        <f t="shared" si="8"/>
        <v>A_5_1</v>
      </c>
      <c r="U24" t="s">
        <v>41</v>
      </c>
      <c r="V24">
        <f>SUMIFS(D:D,A:A,"C",B:B,"5")</f>
        <v>0</v>
      </c>
      <c r="Z24" t="str">
        <f t="shared" si="9"/>
        <v>D3</v>
      </c>
      <c r="AA24" t="str">
        <f t="shared" si="10"/>
        <v>D3</v>
      </c>
      <c r="AB24" t="s">
        <v>19</v>
      </c>
      <c r="AC24" s="16">
        <f>SUMIFS($D:$D,$E:$E,"FAUX",$G:$G,"D3",$M:$M,"C",$N:$N,"D*")*SUMIFS($J:$J,$E:$E,"VRAI",$F:$F,"D",$M:$M,"B")*SUMIFS($J:$J,$E:$E,"VRAI",$F:$F,"C",$M:$M,"A")*SUMIFS($J:$J,$E:$E,"VRAI",$H:$H,"B",$I:$I,"A1")</f>
        <v>0</v>
      </c>
      <c r="AD24" s="17">
        <f>SUMIFS($D:$D,$E:$E,"FAUX",$G:$G,"D3",$M:$M,"C",$N:$N,"D*")*SUMIFS($J:$J,$E:$E,"VRAI",$F:$F,"D",$M:$M,"B")*SUMIFS($J:$J,$E:$E,"VRAI",$F:$F,"C",$M:$M,"A")*SUMIFS($J:$J,$E:$E,"VRAI",$H:$H,"B",$I:$I,"A2")</f>
        <v>0</v>
      </c>
      <c r="AE24" s="17">
        <f>SUMIFS($D:$D,$E:$E,"FAUX",$G:$G,"D3",$M:$M,"C",$N:$N,"D*")*SUMIFS($J:$J,$E:$E,"VRAI",$F:$F,"D",$M:$M,"B")*SUMIFS($J:$J,$E:$E,"VRAI",$F:$F,"C",$M:$M,"A")*SUMIFS($J:$J,$E:$E,"VRAI",$H:$H,"B",$I:$I,"A3")</f>
        <v>0</v>
      </c>
      <c r="AF24" s="17">
        <f>SUMIFS($D:$D,$E:$E,"FAUX",$G:$G,"D3",$M:$M,"C",$N:$N,"D*")*SUMIFS($J:$J,$E:$E,"VRAI",$F:$F,"D",$M:$M,"B")*SUMIFS($J:$J,$E:$E,"VRAI",$F:$F,"C",$M:$M,"A")*SUMIFS($J:$J,$E:$E,"VRAI",$H:$H,"B",$I:$I,"A4")</f>
        <v>0</v>
      </c>
      <c r="AG24" s="17">
        <f>SUMIFS($D:$D,$E:$E,"FAUX",$G:$G,"D3",$M:$M,"C",$N:$N,"D*")*SUMIFS($J:$J,$E:$E,"VRAI",$F:$F,"D",$M:$M,"B")*SUMIFS($J:$J,$E:$E,"VRAI",$F:$F,"C",$M:$M,"A")*SUMIFS($J:$J,$E:$E,"VRAI",$H:$H,"B",$I:$I,"A5")</f>
        <v>0</v>
      </c>
      <c r="AH24" s="18">
        <f>SUMIFS($D:$D,$E:$E,"FAUX",$G:$G,"D3",$M:$M,"C",$N:$N,"D*")*SUMIFS($J:$J,$E:$E,"VRAI",$F:$F,"D",$M:$M,"B")*SUMIFS($J:$J,$E:$E,"VRAI",$F:$F,"C",$M:$M,"A")*SUMIFS($J:$J,$E:$E,"VRAI",$H:$H,"B",$I:$I,"A6")</f>
        <v>0</v>
      </c>
      <c r="AI24" s="16">
        <f>SUMIFS($D:$D,$E:$E,"FAUX",$G:$G,"D3",$M:$M,"C",$N:$N,"D*")*SUMIFS($J:$J,$E:$E,"VRAI",$F:$F,"F",$M:$M,"D")*SUMIFS($J:$J,$E:$E,"VRAI",$H:$H,"C",$I:$I,"B1")</f>
        <v>0</v>
      </c>
      <c r="AJ24" s="17">
        <f>SUMIFS($D:$D,$E:$E,"FAUX",$G:$G,"D3",$M:$M,"C",$N:$N,"D*")*SUMIFS($J:$J,$E:$E,"VRAI",$F:$F,"F",$M:$M,"D")*SUMIFS($J:$J,$E:$E,"VRAI",$H:$H,"C",$I:$I,"B2")</f>
        <v>0</v>
      </c>
      <c r="AK24" s="17">
        <f>SUMIFS($D:$D,$E:$E,"FAUX",$G:$G,"D3",$M:$M,"C",$N:$N,"D*")*SUMIFS($J:$J,$E:$E,"VRAI",$F:$F,"F",$M:$M,"D")*SUMIFS($J:$J,$E:$E,"VRAI",$H:$H,"C",$I:$I,"B3")</f>
        <v>0</v>
      </c>
      <c r="AL24" s="17">
        <f>SUMIFS($D:$D,$E:$E,"FAUX",$G:$G,"D3",$M:$M,"C",$N:$N,"D*")*SUMIFS($J:$J,$E:$E,"VRAI",$F:$F,"F",$M:$M,"D")*SUMIFS($J:$J,$E:$E,"VRAI",$H:$H,"C",$I:$I,"B4")</f>
        <v>0</v>
      </c>
      <c r="AM24" s="17">
        <f>SUMIFS($D:$D,$E:$E,"FAUX",$G:$G,"D3",$M:$M,"C",$N:$N,"D*")*SUMIFS($J:$J,$E:$E,"VRAI",$F:$F,"F",$M:$M,"D")*SUMIFS($J:$J,$E:$E,"VRAI",$H:$H,"C",$I:$I,"B5")</f>
        <v>0</v>
      </c>
      <c r="AN24" s="18">
        <f>SUMIFS($D:$D,$E:$E,"FAUX",$G:$G,"D3",$M:$M,"C",$N:$N,"D*")*SUMIFS($J:$J,$E:$E,"VRAI",$F:$F,"F",$M:$M,"D")*SUMIFS($J:$J,$E:$E,"VRAI",$H:$H,"C",$I:$I,"B6")</f>
        <v>0</v>
      </c>
      <c r="AO24" s="16">
        <f>SUMIFS($D:$D,$E:$E,"FAUX",$G:$G,"D3",$M:$M,"C",$N:$N,"D*")*SUMIFS($J:$J,$E:$E,"VRAI",$I:$I,"C1",$F:$F,"D")</f>
        <v>0</v>
      </c>
      <c r="AP24" s="17">
        <f>SUMIFS($D:$D,$E:$E,"FAUX",$G:$G,"D3",$M:$M,"C",$N:$N,"D*")*SUMIFS($J:$J,$E:$E,"VRAI",$I:$I,"C2",$F:$F,"D")</f>
        <v>0</v>
      </c>
      <c r="AQ24" s="17">
        <f>SUMIFS($D:$D,$E:$E,"FAUX",$G:$G,"D3",$M:$M,"C",$N:$N,"D*")*SUMIFS($J:$J,$E:$E,"VRAI",$I:$I,"C2",$F:$F,"D")</f>
        <v>0</v>
      </c>
      <c r="AR24" s="17">
        <f>SUMIFS($D:$D,$E:$E,"FAUX",$G:$G,"D3",$M:$M,"C",$N:$N,"D*")*SUMIFS($J:$J,$E:$E,"VRAI",$I:$I,"C4",$F:$F,"D")</f>
        <v>0</v>
      </c>
      <c r="AS24" s="17">
        <f>SUMIFS($D:$D,$E:$E,"FAUX",$G:$G,"D3",$M:$M,"C",$N:$N,"D*")*SUMIFS($J:$J,$E:$E,"VRAI",$I:$I,"C5",$F:$F,"D")</f>
        <v>0</v>
      </c>
      <c r="AT24" s="18">
        <f>SUMIFS($D:$D,$E:$E,"FAUX",$G:$G,"D3",$M:$M,"C",$N:$N,"D*")*SUMIFS($J:$J,$E:$E,"VRAI",$I:$I,"C6",$F:$F,"D")</f>
        <v>0</v>
      </c>
      <c r="AU24" s="43">
        <f>SUMIFS($D:$D,$O:$O,"D_3_1")</f>
        <v>779</v>
      </c>
      <c r="AV24" s="43">
        <f>SUMIFS($D:$D,$O:$O,"D_3_2")</f>
        <v>339</v>
      </c>
      <c r="AW24" s="43">
        <f>SUMIFS($D:$D,$O:$O,"D_3_3")</f>
        <v>0</v>
      </c>
      <c r="AX24" s="43">
        <f>SUMIFS($D:$D,$O:$O,"D_3_4")</f>
        <v>123</v>
      </c>
      <c r="AY24" s="43">
        <f>SUMIFS($D:$D,$O:$O,"D_3_5")</f>
        <v>0</v>
      </c>
      <c r="AZ24" s="36">
        <f>SUMIFS($D:$D,$O:$O,"D_3_6")</f>
        <v>0</v>
      </c>
      <c r="BA24" s="46">
        <f>SUMIFS($D:$D,$E:$E,"FAUX",$G:$G,"D3",$M:$M,"E",$N:$N,"D*")*SUMIFS($J:$J,$O:$O,"E_1_1")</f>
        <v>0</v>
      </c>
      <c r="BB24" s="47">
        <f>SUMIFS($D:$D,$E:$E,"FAUX",$G:$G,"D3",$M:$M,"E",$N:$N,"D*")*SUMIFS($J:$J,$O:$O,"E_1_2")</f>
        <v>0</v>
      </c>
      <c r="BC24" s="47">
        <f>SUMIFS($D:$D,$E:$E,"FAUX",$G:$G,"D3",$M:$M,"E",$N:$N,"D*")*SUMIFS($J:$J,$O:$O,"E_1_3")</f>
        <v>0</v>
      </c>
      <c r="BD24" s="47">
        <f>SUMIFS($D:$D,$E:$E,"FAUX",$G:$G,"D3",$M:$M,"E",$N:$N,"D*")*SUMIFS($J:$J,$O:$O,"E_1_4")</f>
        <v>0</v>
      </c>
      <c r="BE24" s="47">
        <f>SUMIFS($D:$D,$E:$E,"FAUX",$G:$G,"D3",$M:$M,"E",$N:$N,"D*")*SUMIFS($J:$J,$O:$O,"E_1_5")</f>
        <v>0</v>
      </c>
      <c r="BF24" s="48">
        <f>SUMIFS($D:$D,$E:$E,"FAUX",$G:$G,"D3",$M:$M,"E",$N:$N,"D*")*SUMIFS($J:$J,$O:$O,"E_1_6")</f>
        <v>0</v>
      </c>
      <c r="BG24" s="46">
        <f>SUMIFS($D:$D,$E:$E,"FAUX",$G:$G,"D3",$M:$M,"E",$N:$N,"D*")*SUMIFS($J:$J,$E:$E,"VRAI",$F:$F,"D",$M:$M,"F")*SUMIFS($J:$J,$E:$E,"VRAI",$H:$H,"E",$I:$I,"F1")</f>
        <v>0</v>
      </c>
      <c r="BH24" s="47">
        <f>SUMIFS($D:$D,$E:$E,"FAUX",$G:$G,"D3",$M:$M,"E",$N:$N,"D*")*SUMIFS($J:$J,$E:$E,"VRAI",$F:$F,"D",$M:$M,"F")*SUMIFS($J:$J,$E:$E,"VRAI",$H:$H,"E",$I:$I,"F2")</f>
        <v>0</v>
      </c>
      <c r="BI24" s="47">
        <f>SUMIFS($D:$D,$E:$E,"FAUX",$G:$G,"D3",$M:$M,"E",$N:$N,"D*")*SUMIFS($J:$J,$E:$E,"VRAI",$F:$F,"D",$M:$M,"F")*SUMIFS($J:$J,$E:$E,"VRAI",$H:$H,"E",$I:$I,"F3")</f>
        <v>0</v>
      </c>
      <c r="BJ24" s="47">
        <f>SUMIFS($D:$D,$E:$E,"FAUX",$G:$G,"D3",$M:$M,"E",$N:$N,"D*")*SUMIFS($J:$J,$E:$E,"VRAI",$F:$F,"D",$M:$M,"F")*SUMIFS($J:$J,$E:$E,"VRAI",$H:$H,"E",$I:$I,"F4")</f>
        <v>0</v>
      </c>
      <c r="BK24" s="47">
        <f>SUMIFS($D:$D,$E:$E,"FAUX",$G:$G,"D3",$M:$M,"E",$N:$N,"D*")*SUMIFS($J:$J,$E:$E,"VRAI",$F:$F,"D",$M:$M,"F")*SUMIFS($J:$J,$E:$E,"VRAI",$H:$H,"E",$I:$I,"F5")</f>
        <v>0</v>
      </c>
      <c r="BL24" s="47">
        <f>SUMIFS($D:$D,$E:$E,"FAUX",$G:$G,"D4",$M:$M,"E",$N:$N,"D*")*SUMIFS($J:$J,$E:$E,"VRAI",$F:$F,"D",$M:$M,"F")*SUMIFS($J:$J,$E:$E,"VRAI",$H:$H,"E",$I:$I,"F6")</f>
        <v>0</v>
      </c>
      <c r="BM24" s="46">
        <f>SUMIFS($D:$D,$E:$E,"FAUX",$G:$G,"D3",$M:$M,"E",$N:$N,"D*")*SUMIFS($J:$J,$E:$E,"VRAI",$F:$F,"D",$M:$M,"F")*SUMIFS($J:$J,$E:$E,"VRAI",$F:$F,"E",$M:$M,"G")*SUMIFS($J:$J,$E:$E,"VRAI",$F:$F,"F",$I:$I,"G1")</f>
        <v>0</v>
      </c>
      <c r="BN24" s="47">
        <f>SUMIFS($D:$D,$E:$E,"FAUX",$G:$G,"D3",$M:$M,"E",$N:$N,"D*")*SUMIFS($J:$J,$E:$E,"VRAI",$F:$F,"D",$M:$M,"F")*SUMIFS($J:$J,$E:$E,"VRAI",$F:$F,"E",$M:$M,"G")*SUMIFS($J:$J,$E:$E,"VRAI",$F:$F,"F",$I:$I,"G2")</f>
        <v>0</v>
      </c>
      <c r="BO24" s="47">
        <f>SUMIFS($D:$D,$E:$E,"FAUX",$G:$G,"D3",$M:$M,"E",$N:$N,"D*")*SUMIFS($J:$J,$E:$E,"VRAI",$F:$F,"D",$M:$M,"F")*SUMIFS($J:$J,$E:$E,"VRAI",$F:$F,"E",$M:$M,"G")*SUMIFS($J:$J,$E:$E,"VRAI",$F:$F,"F",$I:$I,"G3")</f>
        <v>0</v>
      </c>
      <c r="BP24" s="47">
        <f>SUMIFS($D:$D,$E:$E,"FAUX",$G:$G,"D3",$M:$M,"E",$N:$N,"D*")*SUMIFS($J:$J,$E:$E,"VRAI",$F:$F,"D",$M:$M,"F")*SUMIFS($J:$J,$E:$E,"VRAI",$F:$F,"E",$M:$M,"G")*SUMIFS($J:$J,$E:$E,"VRAI",$F:$F,"F",$I:$I,"G4")</f>
        <v>0</v>
      </c>
      <c r="BQ24" s="47">
        <f>SUMIFS($D:$D,$E:$E,"FAUX",$G:$G,"D3",$M:$M,"E",$N:$N,"D*")*SUMIFS($J:$J,$E:$E,"VRAI",$F:$F,"D",$M:$M,"F")*SUMIFS($J:$J,$E:$E,"VRAI",$F:$F,"E",$M:$M,"G")*SUMIFS($J:$J,$E:$E,"VRAI",$F:$F,"F",$I:$I,"G5")</f>
        <v>0</v>
      </c>
      <c r="BR24" s="48">
        <f>SUMIFS($D:$D,$E:$E,"FAUX",$G:$G,"D3",$M:$M,"E",$N:$N,"D*")*SUMIFS($J:$J,$E:$E,"VRAI",$F:$F,"D",$M:$M,"F")*SUMIFS($J:$J,$E:$E,"VRAI",$F:$F,"E",$M:$M,"G")*SUMIFS($J:$J,$E:$E,"VRAI",$F:$F,"F",$I:$I,"G6")</f>
        <v>0</v>
      </c>
      <c r="BS24" s="46">
        <f>SUMIFS($D:$D,$E:$E,"FAUX",$G:$G,"D3",$M:$M,"E",$N:$N,"D*")*SUMIFS($J:$J,$E:$E,"VRAI",$F:$F,"D",$M:$M,"F")*SUMIFS($J:$J,$E:$E,"VRAI",$F:$F,"E",$M:$M,"G")*SUMIFS($J:$J,$E:$E,"VRAI",$F:$F,"F",$M:$M,"H")*SUMIFS($J:$J,$E:$E,"VRAI",$F:$F,"G",$I:$I,"H1")</f>
        <v>0</v>
      </c>
      <c r="BT24" s="47">
        <f>SUMIFS($D:$D,$E:$E,"FAUX",$G:$G,"D3",$M:$M,"E",$N:$N,"D*")*SUMIFS($J:$J,$E:$E,"VRAI",$F:$F,"D",$M:$M,"F")*SUMIFS($J:$J,$E:$E,"VRAI",$F:$F,"E",$M:$M,"G")*SUMIFS($J:$J,$E:$E,"VRAI",$F:$F,"F",$M:$M,"H")*SUMIFS($J:$J,$E:$E,"VRAI",$F:$F,"G",$I:$I,"H2")</f>
        <v>0</v>
      </c>
      <c r="BU24" s="47">
        <f>SUMIFS($D:$D,$E:$E,"FAUX",$G:$G,"D3",$M:$M,"E",$N:$N,"D*")*SUMIFS($J:$J,$E:$E,"VRAI",$F:$F,"D",$M:$M,"F")*SUMIFS($J:$J,$E:$E,"VRAI",$F:$F,"E",$M:$M,"G")*SUMIFS($J:$J,$E:$E,"VRAI",$F:$F,"F",$M:$M,"H")*SUMIFS($J:$J,$E:$E,"VRAI",$F:$F,"G",$I:$I,"H3")</f>
        <v>0</v>
      </c>
      <c r="BV24" s="47">
        <f>SUMIFS($D:$D,$E:$E,"FAUX",$G:$G,"D3",$M:$M,"E",$N:$N,"D*")*SUMIFS($J:$J,$E:$E,"VRAI",$F:$F,"D",$M:$M,"F")*SUMIFS($J:$J,$E:$E,"VRAI",$F:$F,"E",$M:$M,"G")*SUMIFS($J:$J,$E:$E,"VRAI",$F:$F,"F",$M:$M,"H")*SUMIFS($J:$J,$E:$E,"VRAI",$F:$F,"G",$I:$I,"H4")</f>
        <v>0</v>
      </c>
      <c r="BW24" s="47">
        <f>SUMIFS($D:$D,$E:$E,"FAUX",$G:$G,"D3",$M:$M,"E",$N:$N,"D*")*SUMIFS($J:$J,$E:$E,"VRAI",$F:$F,"D",$M:$M,"F")*SUMIFS($J:$J,$E:$E,"VRAI",$F:$F,"E",$M:$M,"G")*SUMIFS($J:$J,$E:$E,"VRAI",$F:$F,"F",$M:$M,"H")*SUMIFS($J:$J,$E:$E,"VRAI",$F:$F,"G",$I:$I,"H5")</f>
        <v>0</v>
      </c>
      <c r="BX24" s="47">
        <f>SUMIFS($D:$D,$E:$E,"FAUX",$G:$G,"D3",$M:$M,"E",$N:$N,"D*")*SUMIFS($J:$J,$E:$E,"VRAI",$F:$F,"D",$M:$M,"F")*SUMIFS($J:$J,$E:$E,"VRAI",$F:$F,"E",$M:$M,"G")*SUMIFS($J:$J,$E:$E,"VRAI",$F:$F,"F",$M:$M,"H")*SUMIFS($J:$J,$E:$E,"VRAI",$F:$F,"G",$I:$I,"H6")</f>
        <v>0</v>
      </c>
      <c r="BY24" s="46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4" s="46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4" s="46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4" s="47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4" s="48">
        <f>SUMIFS($D:$D,$E:$E,"FAUX",$G:$G,"D3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5" spans="1:94">
      <c r="A25" s="35" t="s">
        <v>8</v>
      </c>
      <c r="B25" s="35">
        <v>5</v>
      </c>
      <c r="C25" s="35">
        <v>2</v>
      </c>
      <c r="D25" s="35">
        <v>0</v>
      </c>
      <c r="E25" s="35" t="b">
        <v>0</v>
      </c>
      <c r="F25" s="35"/>
      <c r="G25" s="53" t="str">
        <f t="shared" si="0"/>
        <v>A5</v>
      </c>
      <c r="H25" s="52" t="str">
        <f t="shared" si="5"/>
        <v/>
      </c>
      <c r="I25" s="41" t="str">
        <f t="shared" si="1"/>
        <v>A2</v>
      </c>
      <c r="J25" s="42">
        <f t="shared" si="2"/>
        <v>0</v>
      </c>
      <c r="K25" s="41">
        <f t="shared" si="6"/>
        <v>188</v>
      </c>
      <c r="L25" s="41" t="str">
        <f t="shared" si="3"/>
        <v/>
      </c>
      <c r="M25" s="41" t="str">
        <f t="shared" si="7"/>
        <v/>
      </c>
      <c r="N25" s="41" t="str">
        <f>IFERROR(VLOOKUP(I25,L25:L:L,1,FALSE),"")</f>
        <v/>
      </c>
      <c r="O25" s="56" t="str">
        <f t="shared" si="8"/>
        <v>A_5_2</v>
      </c>
      <c r="U25" t="s">
        <v>42</v>
      </c>
      <c r="V25">
        <f>SUMIFS(D:D,A:A,"C",B:B,"6")</f>
        <v>0</v>
      </c>
      <c r="Z25" t="e">
        <f t="shared" si="9"/>
        <v>#N/A</v>
      </c>
      <c r="AA25" t="str">
        <f t="shared" si="10"/>
        <v>D4</v>
      </c>
      <c r="AB25" t="s">
        <v>20</v>
      </c>
      <c r="AC25" s="16">
        <f>SUMIFS($D:$D,$E:$E,"FAUX",$G:$G,"D4",$M:$M,"C",$N:$N,"D*")*SUMIFS($J:$J,$E:$E,"VRAI",$F:$F,"D",$M:$M,"B")*SUMIFS($J:$J,$E:$E,"VRAI",$F:$F,"C",$M:$M,"A")*SUMIFS($J:$J,$E:$E,"VRAI",$H:$H,"B",$I:$I,"A1")</f>
        <v>0</v>
      </c>
      <c r="AD25" s="17">
        <f>SUMIFS($D:$D,$E:$E,"FAUX",$G:$G,"D4",$M:$M,"C",$N:$N,"D*")*SUMIFS($J:$J,$E:$E,"VRAI",$F:$F,"D",$M:$M,"B")*SUMIFS($J:$J,$E:$E,"VRAI",$F:$F,"C",$M:$M,"A")*SUMIFS($J:$J,$E:$E,"VRAI",$H:$H,"B",$I:$I,"A2")</f>
        <v>0</v>
      </c>
      <c r="AE25" s="17">
        <f>SUMIFS($D:$D,$E:$E,"FAUX",$G:$G,"D4",$M:$M,"C",$N:$N,"D*")*SUMIFS($J:$J,$E:$E,"VRAI",$F:$F,"D",$M:$M,"B")*SUMIFS($J:$J,$E:$E,"VRAI",$F:$F,"C",$M:$M,"A")*SUMIFS($J:$J,$E:$E,"VRAI",$H:$H,"B",$I:$I,"A3")</f>
        <v>0</v>
      </c>
      <c r="AF25" s="17">
        <f>SUMIFS($D:$D,$E:$E,"FAUX",$G:$G,"D4",$M:$M,"C",$N:$N,"D*")*SUMIFS($J:$J,$E:$E,"VRAI",$F:$F,"D",$M:$M,"B")*SUMIFS($J:$J,$E:$E,"VRAI",$F:$F,"C",$M:$M,"A")*SUMIFS($J:$J,$E:$E,"VRAI",$H:$H,"B",$I:$I,"A4")</f>
        <v>0</v>
      </c>
      <c r="AG25" s="17">
        <f>SUMIFS($D:$D,$E:$E,"FAUX",$G:$G,"D4",$M:$M,"C",$N:$N,"D*")*SUMIFS($J:$J,$E:$E,"VRAI",$F:$F,"D",$M:$M,"B")*SUMIFS($J:$J,$E:$E,"VRAI",$F:$F,"C",$M:$M,"A")*SUMIFS($J:$J,$E:$E,"VRAI",$H:$H,"B",$I:$I,"A5")</f>
        <v>0</v>
      </c>
      <c r="AH25" s="18">
        <f>SUMIFS($D:$D,$E:$E,"FAUX",$G:$G,"D4",$M:$M,"C",$N:$N,"D*")*SUMIFS($J:$J,$E:$E,"VRAI",$F:$F,"D",$M:$M,"B")*SUMIFS($J:$J,$E:$E,"VRAI",$F:$F,"C",$M:$M,"A")*SUMIFS($J:$J,$E:$E,"VRAI",$H:$H,"B",$I:$I,"A6")</f>
        <v>0</v>
      </c>
      <c r="AI25" s="16">
        <f>SUMIFS($D:$D,$E:$E,"FAUX",$G:$G,"D4",$M:$M,"C",$N:$N,"D*")*SUMIFS($J:$J,$E:$E,"VRAI",$F:$F,"F",$M:$M,"D")*SUMIFS($J:$J,$E:$E,"VRAI",$H:$H,"C",$I:$I,"B1")</f>
        <v>0</v>
      </c>
      <c r="AJ25" s="17">
        <f>SUMIFS($D:$D,$E:$E,"FAUX",$G:$G,"D4",$M:$M,"C",$N:$N,"D*")*SUMIFS($J:$J,$E:$E,"VRAI",$F:$F,"F",$M:$M,"D")*SUMIFS($J:$J,$E:$E,"VRAI",$H:$H,"C",$I:$I,"B2")</f>
        <v>0</v>
      </c>
      <c r="AK25" s="17">
        <f>SUMIFS($D:$D,$E:$E,"FAUX",$G:$G,"D4",$M:$M,"C",$N:$N,"D*")*SUMIFS($J:$J,$E:$E,"VRAI",$F:$F,"F",$M:$M,"D")*SUMIFS($J:$J,$E:$E,"VRAI",$H:$H,"C",$I:$I,"B3")</f>
        <v>0</v>
      </c>
      <c r="AL25" s="17">
        <f>SUMIFS($D:$D,$E:$E,"FAUX",$G:$G,"D4",$M:$M,"C",$N:$N,"D*")*SUMIFS($J:$J,$E:$E,"VRAI",$F:$F,"F",$M:$M,"D")*SUMIFS($J:$J,$E:$E,"VRAI",$H:$H,"C",$I:$I,"B4")</f>
        <v>0</v>
      </c>
      <c r="AM25" s="17">
        <f>SUMIFS($D:$D,$E:$E,"FAUX",$G:$G,"D4",$M:$M,"C",$N:$N,"D*")*SUMIFS($J:$J,$E:$E,"VRAI",$F:$F,"F",$M:$M,"D")*SUMIFS($J:$J,$E:$E,"VRAI",$H:$H,"C",$I:$I,"B5")</f>
        <v>0</v>
      </c>
      <c r="AN25" s="18">
        <f>SUMIFS($D:$D,$E:$E,"FAUX",$G:$G,"D4",$M:$M,"C",$N:$N,"D*")*SUMIFS($J:$J,$E:$E,"VRAI",$F:$F,"F",$M:$M,"D")*SUMIFS($J:$J,$E:$E,"VRAI",$H:$H,"C",$I:$I,"B6")</f>
        <v>0</v>
      </c>
      <c r="AO25" s="16">
        <f>SUMIFS($D:$D,$E:$E,"FAUX",$G:$G,"D4",$M:$M,"C",$N:$N,"D*")*SUMIFS($J:$J,$E:$E,"VRAI",$I:$I,"C1",$F:$F,"D")</f>
        <v>0</v>
      </c>
      <c r="AP25" s="17">
        <f>SUMIFS($D:$D,$E:$E,"FAUX",$G:$G,"D4",$M:$M,"C",$N:$N,"D*")*SUMIFS($J:$J,$E:$E,"VRAI",$I:$I,"C2",$F:$F,"D")</f>
        <v>0</v>
      </c>
      <c r="AQ25" s="17">
        <f>SUMIFS($D:$D,$E:$E,"FAUX",$G:$G,"D4",$M:$M,"C",$N:$N,"D*")*SUMIFS($J:$J,$E:$E,"VRAI",$I:$I,"C2",$F:$F,"D")</f>
        <v>0</v>
      </c>
      <c r="AR25" s="17">
        <f>SUMIFS($D:$D,$E:$E,"FAUX",$G:$G,"D4",$M:$M,"C",$N:$N,"D*")*SUMIFS($J:$J,$E:$E,"VRAI",$I:$I,"C4",$F:$F,"D")</f>
        <v>0</v>
      </c>
      <c r="AS25" s="17">
        <f>SUMIFS($D:$D,$E:$E,"FAUX",$G:$G,"D4",$M:$M,"C",$N:$N,"D*")*SUMIFS($J:$J,$E:$E,"VRAI",$I:$I,"C5",$F:$F,"D")</f>
        <v>0</v>
      </c>
      <c r="AT25" s="18">
        <f>SUMIFS($D:$D,$E:$E,"FAUX",$G:$G,"D4",$M:$M,"C",$N:$N,"D*")*SUMIFS($J:$J,$E:$E,"VRAI",$I:$I,"C6",$F:$F,"D")</f>
        <v>0</v>
      </c>
      <c r="AU25" s="43">
        <f>SUMIFS($D:$D,$O:$O,"D_4_1")</f>
        <v>0</v>
      </c>
      <c r="AV25" s="43">
        <f>SUMIFS($D:$D,$O:$O,"D_4_2")</f>
        <v>0</v>
      </c>
      <c r="AW25" s="43">
        <f>SUMIFS($D:$D,$O:$O,"D_4_3")</f>
        <v>0</v>
      </c>
      <c r="AX25" s="43">
        <f>SUMIFS($D:$D,$O:$O,"D_4_4")</f>
        <v>0</v>
      </c>
      <c r="AY25" s="43">
        <f>SUMIFS($D:$D,$O:$O,"D_4_5")</f>
        <v>0</v>
      </c>
      <c r="AZ25" s="36">
        <f>SUMIFS($D:$D,$O:$O,"D_4_6")</f>
        <v>0</v>
      </c>
      <c r="BA25" s="46">
        <f>SUMIFS($D:$D,$E:$E,"FAUX",$G:$G,"D4",$M:$M,"E",$N:$N,"D*")*SUMIFS($J:$J,$O:$O,"E_1_1")</f>
        <v>0</v>
      </c>
      <c r="BB25" s="47">
        <f>SUMIFS($D:$D,$E:$E,"FAUX",$G:$G,"D4",$M:$M,"E",$N:$N,"D*")*SUMIFS($J:$J,$O:$O,"E_1_2")</f>
        <v>0</v>
      </c>
      <c r="BC25" s="47">
        <f>SUMIFS($D:$D,$E:$E,"FAUX",$G:$G,"D4",$M:$M,"E",$N:$N,"D*")*SUMIFS($J:$J,$O:$O,"E_1_3")</f>
        <v>0</v>
      </c>
      <c r="BD25" s="47">
        <f>SUMIFS($D:$D,$E:$E,"FAUX",$G:$G,"D4",$M:$M,"E",$N:$N,"D*")*SUMIFS($J:$J,$O:$O,"E_1_4")</f>
        <v>0</v>
      </c>
      <c r="BE25" s="47">
        <f>SUMIFS($D:$D,$E:$E,"FAUX",$G:$G,"D4",$M:$M,"E",$N:$N,"D*")*SUMIFS($J:$J,$O:$O,"E_1_5")</f>
        <v>0</v>
      </c>
      <c r="BF25" s="48">
        <f>SUMIFS($D:$D,$E:$E,"FAUX",$G:$G,"D4",$M:$M,"E",$N:$N,"D*")*SUMIFS($J:$J,$O:$O,"E_1_6")</f>
        <v>0</v>
      </c>
      <c r="BG25" s="46">
        <f>SUMIFS($D:$D,$E:$E,"FAUX",$G:$G,"D4",$M:$M,"E",$N:$N,"D*")*SUMIFS($J:$J,$E:$E,"VRAI",$F:$F,"D",$M:$M,"F")*SUMIFS($J:$J,$E:$E,"VRAI",$H:$H,"E",$I:$I,"F1")</f>
        <v>0</v>
      </c>
      <c r="BH25" s="47">
        <f>SUMIFS($D:$D,$E:$E,"FAUX",$G:$G,"D4",$M:$M,"E",$N:$N,"D*")*SUMIFS($J:$J,$E:$E,"VRAI",$F:$F,"D",$M:$M,"F")*SUMIFS($J:$J,$E:$E,"VRAI",$H:$H,"E",$I:$I,"F2")</f>
        <v>0</v>
      </c>
      <c r="BI25" s="47">
        <f>SUMIFS($D:$D,$E:$E,"FAUX",$G:$G,"D4",$M:$M,"E",$N:$N,"D*")*SUMIFS($J:$J,$E:$E,"VRAI",$F:$F,"D",$M:$M,"F")*SUMIFS($J:$J,$E:$E,"VRAI",$H:$H,"E",$I:$I,"F3")</f>
        <v>0</v>
      </c>
      <c r="BJ25" s="47">
        <f>SUMIFS($D:$D,$E:$E,"FAUX",$G:$G,"D4",$M:$M,"E",$N:$N,"D*")*SUMIFS($J:$J,$E:$E,"VRAI",$F:$F,"D",$M:$M,"F")*SUMIFS($J:$J,$E:$E,"VRAI",$H:$H,"E",$I:$I,"F4")</f>
        <v>0</v>
      </c>
      <c r="BK25" s="47">
        <f>SUMIFS($D:$D,$E:$E,"FAUX",$G:$G,"D4",$M:$M,"E",$N:$N,"D*")*SUMIFS($J:$J,$E:$E,"VRAI",$F:$F,"D",$M:$M,"F")*SUMIFS($J:$J,$E:$E,"VRAI",$H:$H,"E",$I:$I,"F5")</f>
        <v>0</v>
      </c>
      <c r="BL25" s="47">
        <f>SUMIFS($D:$D,$E:$E,"FAUX",$G:$G,"D5",$M:$M,"E",$N:$N,"D*")*SUMIFS($J:$J,$E:$E,"VRAI",$F:$F,"D",$M:$M,"F")*SUMIFS($J:$J,$E:$E,"VRAI",$H:$H,"E",$I:$I,"F6")</f>
        <v>0</v>
      </c>
      <c r="BM25" s="46">
        <f>SUMIFS($D:$D,$E:$E,"FAUX",$G:$G,"D4",$M:$M,"E",$N:$N,"D*")*SUMIFS($J:$J,$E:$E,"VRAI",$F:$F,"D",$M:$M,"F")*SUMIFS($J:$J,$E:$E,"VRAI",$F:$F,"E",$M:$M,"G")*SUMIFS($J:$J,$E:$E,"VRAI",$F:$F,"F",$I:$I,"G1")</f>
        <v>0</v>
      </c>
      <c r="BN25" s="47">
        <f>SUMIFS($D:$D,$E:$E,"FAUX",$G:$G,"D4",$M:$M,"E",$N:$N,"D*")*SUMIFS($J:$J,$E:$E,"VRAI",$F:$F,"D",$M:$M,"F")*SUMIFS($J:$J,$E:$E,"VRAI",$F:$F,"E",$M:$M,"G")*SUMIFS($J:$J,$E:$E,"VRAI",$F:$F,"F",$I:$I,"G2")</f>
        <v>0</v>
      </c>
      <c r="BO25" s="47">
        <f>SUMIFS($D:$D,$E:$E,"FAUX",$G:$G,"D4",$M:$M,"E",$N:$N,"D*")*SUMIFS($J:$J,$E:$E,"VRAI",$F:$F,"D",$M:$M,"F")*SUMIFS($J:$J,$E:$E,"VRAI",$F:$F,"E",$M:$M,"G")*SUMIFS($J:$J,$E:$E,"VRAI",$F:$F,"F",$I:$I,"G3")</f>
        <v>0</v>
      </c>
      <c r="BP25" s="47">
        <f>SUMIFS($D:$D,$E:$E,"FAUX",$G:$G,"D4",$M:$M,"E",$N:$N,"D*")*SUMIFS($J:$J,$E:$E,"VRAI",$F:$F,"D",$M:$M,"F")*SUMIFS($J:$J,$E:$E,"VRAI",$F:$F,"E",$M:$M,"G")*SUMIFS($J:$J,$E:$E,"VRAI",$F:$F,"F",$I:$I,"G4")</f>
        <v>0</v>
      </c>
      <c r="BQ25" s="47">
        <f>SUMIFS($D:$D,$E:$E,"FAUX",$G:$G,"D4",$M:$M,"E",$N:$N,"D*")*SUMIFS($J:$J,$E:$E,"VRAI",$F:$F,"D",$M:$M,"F")*SUMIFS($J:$J,$E:$E,"VRAI",$F:$F,"E",$M:$M,"G")*SUMIFS($J:$J,$E:$E,"VRAI",$F:$F,"F",$I:$I,"G5")</f>
        <v>0</v>
      </c>
      <c r="BR25" s="48">
        <f>SUMIFS($D:$D,$E:$E,"FAUX",$G:$G,"D4",$M:$M,"E",$N:$N,"D*")*SUMIFS($J:$J,$E:$E,"VRAI",$F:$F,"D",$M:$M,"F")*SUMIFS($J:$J,$E:$E,"VRAI",$F:$F,"E",$M:$M,"G")*SUMIFS($J:$J,$E:$E,"VRAI",$F:$F,"F",$I:$I,"G6")</f>
        <v>0</v>
      </c>
      <c r="BS25" s="46">
        <f>SUMIFS($D:$D,$E:$E,"FAUX",$G:$G,"D4",$M:$M,"E",$N:$N,"D*")*SUMIFS($J:$J,$E:$E,"VRAI",$F:$F,"D",$M:$M,"F")*SUMIFS($J:$J,$E:$E,"VRAI",$F:$F,"E",$M:$M,"G")*SUMIFS($J:$J,$E:$E,"VRAI",$F:$F,"F",$M:$M,"H")*SUMIFS($J:$J,$E:$E,"VRAI",$F:$F,"G",$I:$I,"H1")</f>
        <v>0</v>
      </c>
      <c r="BT25" s="47">
        <f>SUMIFS($D:$D,$E:$E,"FAUX",$G:$G,"D4",$M:$M,"E",$N:$N,"D*")*SUMIFS($J:$J,$E:$E,"VRAI",$F:$F,"D",$M:$M,"F")*SUMIFS($J:$J,$E:$E,"VRAI",$F:$F,"E",$M:$M,"G")*SUMIFS($J:$J,$E:$E,"VRAI",$F:$F,"F",$M:$M,"H")*SUMIFS($J:$J,$E:$E,"VRAI",$F:$F,"G",$I:$I,"H2")</f>
        <v>0</v>
      </c>
      <c r="BU25" s="47">
        <f>SUMIFS($D:$D,$E:$E,"FAUX",$G:$G,"D4",$M:$M,"E",$N:$N,"D*")*SUMIFS($J:$J,$E:$E,"VRAI",$F:$F,"D",$M:$M,"F")*SUMIFS($J:$J,$E:$E,"VRAI",$F:$F,"E",$M:$M,"G")*SUMIFS($J:$J,$E:$E,"VRAI",$F:$F,"F",$M:$M,"H")*SUMIFS($J:$J,$E:$E,"VRAI",$F:$F,"G",$I:$I,"H3")</f>
        <v>0</v>
      </c>
      <c r="BV25" s="47">
        <f>SUMIFS($D:$D,$E:$E,"FAUX",$G:$G,"D4",$M:$M,"E",$N:$N,"D*")*SUMIFS($J:$J,$E:$E,"VRAI",$F:$F,"D",$M:$M,"F")*SUMIFS($J:$J,$E:$E,"VRAI",$F:$F,"E",$M:$M,"G")*SUMIFS($J:$J,$E:$E,"VRAI",$F:$F,"F",$M:$M,"H")*SUMIFS($J:$J,$E:$E,"VRAI",$F:$F,"G",$I:$I,"H4")</f>
        <v>0</v>
      </c>
      <c r="BW25" s="47">
        <f>SUMIFS($D:$D,$E:$E,"FAUX",$G:$G,"D4",$M:$M,"E",$N:$N,"D*")*SUMIFS($J:$J,$E:$E,"VRAI",$F:$F,"D",$M:$M,"F")*SUMIFS($J:$J,$E:$E,"VRAI",$F:$F,"E",$M:$M,"G")*SUMIFS($J:$J,$E:$E,"VRAI",$F:$F,"F",$M:$M,"H")*SUMIFS($J:$J,$E:$E,"VRAI",$F:$F,"G",$I:$I,"H5")</f>
        <v>0</v>
      </c>
      <c r="BX25" s="47">
        <f>SUMIFS($D:$D,$E:$E,"FAUX",$G:$G,"D4",$M:$M,"E",$N:$N,"D*")*SUMIFS($J:$J,$E:$E,"VRAI",$F:$F,"D",$M:$M,"F")*SUMIFS($J:$J,$E:$E,"VRAI",$F:$F,"E",$M:$M,"G")*SUMIFS($J:$J,$E:$E,"VRAI",$F:$F,"F",$M:$M,"H")*SUMIFS($J:$J,$E:$E,"VRAI",$F:$F,"G",$I:$I,"H6")</f>
        <v>0</v>
      </c>
      <c r="BY25" s="46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5" s="46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5" s="46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5" s="47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5" s="48">
        <f>SUMIFS($D:$D,$E:$E,"FAUX",$G:$G,"D4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6" spans="1:94">
      <c r="A26" s="35" t="s">
        <v>8</v>
      </c>
      <c r="B26" s="35">
        <v>5</v>
      </c>
      <c r="C26" s="35">
        <v>3</v>
      </c>
      <c r="D26" s="35">
        <v>0</v>
      </c>
      <c r="E26" s="35" t="b">
        <v>0</v>
      </c>
      <c r="F26" s="35"/>
      <c r="G26" s="53" t="str">
        <f t="shared" si="0"/>
        <v>A5</v>
      </c>
      <c r="H26" s="52" t="str">
        <f t="shared" si="5"/>
        <v/>
      </c>
      <c r="I26" s="41" t="str">
        <f t="shared" si="1"/>
        <v>A3</v>
      </c>
      <c r="J26" s="42">
        <f t="shared" si="2"/>
        <v>0</v>
      </c>
      <c r="K26" s="41">
        <f t="shared" si="6"/>
        <v>188</v>
      </c>
      <c r="L26" s="41" t="str">
        <f t="shared" si="3"/>
        <v/>
      </c>
      <c r="M26" s="41" t="str">
        <f t="shared" si="7"/>
        <v/>
      </c>
      <c r="N26" s="41" t="str">
        <f>IFERROR(VLOOKUP(I26,L26:L:L,1,FALSE),"")</f>
        <v/>
      </c>
      <c r="O26" s="56" t="str">
        <f t="shared" si="8"/>
        <v>A_5_3</v>
      </c>
      <c r="Z26" t="e">
        <f t="shared" si="9"/>
        <v>#N/A</v>
      </c>
      <c r="AA26" t="e">
        <f t="shared" si="10"/>
        <v>#N/A</v>
      </c>
      <c r="AB26" t="s">
        <v>43</v>
      </c>
      <c r="AC26" s="16">
        <f>SUMIFS($D:$D,$E:$E,"FAUX",$G:$G,"D5",$M:$M,"C",$N:$N,"D*")*SUMIFS($J:$J,$E:$E,"VRAI",$F:$F,"D",$M:$M,"B")*SUMIFS($J:$J,$E:$E,"VRAI",$F:$F,"C",$M:$M,"A")*SUMIFS($J:$J,$E:$E,"VRAI",$H:$H,"B",$I:$I,"A1")</f>
        <v>0</v>
      </c>
      <c r="AD26" s="17">
        <f>SUMIFS($D:$D,$E:$E,"FAUX",$G:$G,"D5",$M:$M,"C",$N:$N,"D*")*SUMIFS($J:$J,$E:$E,"VRAI",$F:$F,"D",$M:$M,"B")*SUMIFS($J:$J,$E:$E,"VRAI",$F:$F,"C",$M:$M,"A")*SUMIFS($J:$J,$E:$E,"VRAI",$H:$H,"B",$I:$I,"A2")</f>
        <v>0</v>
      </c>
      <c r="AE26" s="17">
        <f>SUMIFS($D:$D,$E:$E,"FAUX",$G:$G,"D5",$M:$M,"C",$N:$N,"D*")*SUMIFS($J:$J,$E:$E,"VRAI",$F:$F,"D",$M:$M,"B")*SUMIFS($J:$J,$E:$E,"VRAI",$F:$F,"C",$M:$M,"A")*SUMIFS($J:$J,$E:$E,"VRAI",$H:$H,"B",$I:$I,"A3")</f>
        <v>0</v>
      </c>
      <c r="AF26" s="17">
        <f>SUMIFS($D:$D,$E:$E,"FAUX",$G:$G,"D5",$M:$M,"C",$N:$N,"D*")*SUMIFS($J:$J,$E:$E,"VRAI",$F:$F,"D",$M:$M,"B")*SUMIFS($J:$J,$E:$E,"VRAI",$F:$F,"C",$M:$M,"A")*SUMIFS($J:$J,$E:$E,"VRAI",$H:$H,"B",$I:$I,"A4")</f>
        <v>0</v>
      </c>
      <c r="AG26" s="17">
        <f>SUMIFS($D:$D,$E:$E,"FAUX",$G:$G,"D5",$M:$M,"C",$N:$N,"D*")*SUMIFS($J:$J,$E:$E,"VRAI",$F:$F,"D",$M:$M,"B")*SUMIFS($J:$J,$E:$E,"VRAI",$F:$F,"C",$M:$M,"A")*SUMIFS($J:$J,$E:$E,"VRAI",$H:$H,"B",$I:$I,"A5")</f>
        <v>0</v>
      </c>
      <c r="AH26" s="18">
        <f>SUMIFS($D:$D,$E:$E,"FAUX",$G:$G,"D5",$M:$M,"C",$N:$N,"D*")*SUMIFS($J:$J,$E:$E,"VRAI",$F:$F,"D",$M:$M,"B")*SUMIFS($J:$J,$E:$E,"VRAI",$F:$F,"C",$M:$M,"A")*SUMIFS($J:$J,$E:$E,"VRAI",$H:$H,"B",$I:$I,"A6")</f>
        <v>0</v>
      </c>
      <c r="AI26" s="16">
        <f>SUMIFS($D:$D,$E:$E,"FAUX",$G:$G,"D5",$M:$M,"C",$N:$N,"D*")*SUMIFS($J:$J,$E:$E,"VRAI",$F:$F,"F",$M:$M,"D")*SUMIFS($J:$J,$E:$E,"VRAI",$H:$H,"C",$I:$I,"B1")</f>
        <v>0</v>
      </c>
      <c r="AJ26" s="17">
        <f>SUMIFS($D:$D,$E:$E,"FAUX",$G:$G,"D5",$M:$M,"C",$N:$N,"D*")*SUMIFS($J:$J,$E:$E,"VRAI",$F:$F,"F",$M:$M,"D")*SUMIFS($J:$J,$E:$E,"VRAI",$H:$H,"C",$I:$I,"B2")</f>
        <v>0</v>
      </c>
      <c r="AK26" s="17">
        <f>SUMIFS($D:$D,$E:$E,"FAUX",$G:$G,"D5",$M:$M,"C",$N:$N,"D*")*SUMIFS($J:$J,$E:$E,"VRAI",$F:$F,"F",$M:$M,"D")*SUMIFS($J:$J,$E:$E,"VRAI",$H:$H,"C",$I:$I,"B3")</f>
        <v>0</v>
      </c>
      <c r="AL26" s="17">
        <f>SUMIFS($D:$D,$E:$E,"FAUX",$G:$G,"D5",$M:$M,"C",$N:$N,"D*")*SUMIFS($J:$J,$E:$E,"VRAI",$F:$F,"F",$M:$M,"D")*SUMIFS($J:$J,$E:$E,"VRAI",$H:$H,"C",$I:$I,"B4")</f>
        <v>0</v>
      </c>
      <c r="AM26" s="17">
        <f>SUMIFS($D:$D,$E:$E,"FAUX",$G:$G,"D5",$M:$M,"C",$N:$N,"D*")*SUMIFS($J:$J,$E:$E,"VRAI",$F:$F,"F",$M:$M,"D")*SUMIFS($J:$J,$E:$E,"VRAI",$H:$H,"C",$I:$I,"B5")</f>
        <v>0</v>
      </c>
      <c r="AN26" s="18">
        <f>SUMIFS($D:$D,$E:$E,"FAUX",$G:$G,"D5",$M:$M,"C",$N:$N,"D*")*SUMIFS($J:$J,$E:$E,"VRAI",$F:$F,"F",$M:$M,"D")*SUMIFS($J:$J,$E:$E,"VRAI",$H:$H,"C",$I:$I,"B6")</f>
        <v>0</v>
      </c>
      <c r="AO26" s="16">
        <f>SUMIFS($D:$D,$E:$E,"FAUX",$G:$G,"D5",$M:$M,"C",$N:$N,"D*")*SUMIFS($J:$J,$E:$E,"VRAI",$I:$I,"C1",$F:$F,"D")</f>
        <v>0</v>
      </c>
      <c r="AP26" s="17">
        <f>SUMIFS($D:$D,$E:$E,"FAUX",$G:$G,"D5",$M:$M,"C",$N:$N,"D*")*SUMIFS($J:$J,$E:$E,"VRAI",$I:$I,"C2",$F:$F,"D")</f>
        <v>0</v>
      </c>
      <c r="AQ26" s="17">
        <f>SUMIFS($D:$D,$E:$E,"FAUX",$G:$G,"D5",$M:$M,"C",$N:$N,"D*")*SUMIFS($J:$J,$E:$E,"VRAI",$I:$I,"C2",$F:$F,"D")</f>
        <v>0</v>
      </c>
      <c r="AR26" s="17">
        <f>SUMIFS($D:$D,$E:$E,"FAUX",$G:$G,"D5",$M:$M,"C",$N:$N,"D*")*SUMIFS($J:$J,$E:$E,"VRAI",$I:$I,"C4",$F:$F,"D")</f>
        <v>0</v>
      </c>
      <c r="AS26" s="17">
        <f>SUMIFS($D:$D,$E:$E,"FAUX",$G:$G,"D5",$M:$M,"C",$N:$N,"D*")*SUMIFS($J:$J,$E:$E,"VRAI",$I:$I,"C5",$F:$F,"D")</f>
        <v>0</v>
      </c>
      <c r="AT26" s="18">
        <f>SUMIFS($D:$D,$E:$E,"FAUX",$G:$G,"D5",$M:$M,"C",$N:$N,"D*")*SUMIFS($J:$J,$E:$E,"VRAI",$I:$I,"C6",$F:$F,"D")</f>
        <v>0</v>
      </c>
      <c r="AU26" s="43">
        <f>SUMIFS($D:$D,$O:$O,"D_5_1")</f>
        <v>0</v>
      </c>
      <c r="AV26" s="43">
        <f>SUMIFS($D:$D,$O:$O,"D_5_2")</f>
        <v>0</v>
      </c>
      <c r="AW26" s="43">
        <f>SUMIFS($D:$D,$O:$O,"D_5_3")</f>
        <v>0</v>
      </c>
      <c r="AX26" s="43">
        <f>SUMIFS($D:$D,$O:$O,"D_5_4")</f>
        <v>0</v>
      </c>
      <c r="AY26" s="43">
        <f>SUMIFS($D:$D,$O:$O,"D_5_5")</f>
        <v>0</v>
      </c>
      <c r="AZ26" s="36">
        <f>SUMIFS($D:$D,$O:$O,"D_5_6")</f>
        <v>0</v>
      </c>
      <c r="BA26" s="46">
        <f>SUMIFS($D:$D,$E:$E,"FAUX",$G:$G,"D5",$M:$M,"E",$N:$N,"D*")*SUMIFS($J:$J,$O:$O,"E_1_1")</f>
        <v>0</v>
      </c>
      <c r="BB26" s="47">
        <f>SUMIFS($D:$D,$E:$E,"FAUX",$G:$G,"D5",$M:$M,"E",$N:$N,"D*")*SUMIFS($J:$J,$O:$O,"E_1_2")</f>
        <v>0</v>
      </c>
      <c r="BC26" s="47">
        <f>SUMIFS($D:$D,$E:$E,"FAUX",$G:$G,"D5",$M:$M,"E",$N:$N,"D*")*SUMIFS($J:$J,$O:$O,"E_1_3")</f>
        <v>0</v>
      </c>
      <c r="BD26" s="47">
        <f>SUMIFS($D:$D,$E:$E,"FAUX",$G:$G,"D5",$M:$M,"E",$N:$N,"D*")*SUMIFS($J:$J,$O:$O,"E_1_4")</f>
        <v>0</v>
      </c>
      <c r="BE26" s="47">
        <f>SUMIFS($D:$D,$E:$E,"FAUX",$G:$G,"D5",$M:$M,"E",$N:$N,"D*")*SUMIFS($J:$J,$O:$O,"E_1_5")</f>
        <v>0</v>
      </c>
      <c r="BF26" s="48">
        <f>SUMIFS($D:$D,$E:$E,"FAUX",$G:$G,"D5",$M:$M,"E",$N:$N,"D*")*SUMIFS($J:$J,$O:$O,"E_1_6")</f>
        <v>0</v>
      </c>
      <c r="BG26" s="46">
        <f>SUMIFS($D:$D,$E:$E,"FAUX",$G:$G,"D5",$M:$M,"E",$N:$N,"D*")*SUMIFS($J:$J,$E:$E,"VRAI",$F:$F,"D",$M:$M,"F")*SUMIFS($J:$J,$E:$E,"VRAI",$H:$H,"E",$I:$I,"F1")</f>
        <v>0</v>
      </c>
      <c r="BH26" s="47">
        <f>SUMIFS($D:$D,$E:$E,"FAUX",$G:$G,"D5",$M:$M,"E",$N:$N,"D*")*SUMIFS($J:$J,$E:$E,"VRAI",$F:$F,"D",$M:$M,"F")*SUMIFS($J:$J,$E:$E,"VRAI",$H:$H,"E",$I:$I,"F2")</f>
        <v>0</v>
      </c>
      <c r="BI26" s="47">
        <f>SUMIFS($D:$D,$E:$E,"FAUX",$G:$G,"D5",$M:$M,"E",$N:$N,"D*")*SUMIFS($J:$J,$E:$E,"VRAI",$F:$F,"D",$M:$M,"F")*SUMIFS($J:$J,$E:$E,"VRAI",$H:$H,"E",$I:$I,"F3")</f>
        <v>0</v>
      </c>
      <c r="BJ26" s="47">
        <f>SUMIFS($D:$D,$E:$E,"FAUX",$G:$G,"D5",$M:$M,"E",$N:$N,"D*")*SUMIFS($J:$J,$E:$E,"VRAI",$F:$F,"D",$M:$M,"F")*SUMIFS($J:$J,$E:$E,"VRAI",$H:$H,"E",$I:$I,"F4")</f>
        <v>0</v>
      </c>
      <c r="BK26" s="47">
        <f>SUMIFS($D:$D,$E:$E,"FAUX",$G:$G,"D5",$M:$M,"E",$N:$N,"D*")*SUMIFS($J:$J,$E:$E,"VRAI",$F:$F,"D",$M:$M,"F")*SUMIFS($J:$J,$E:$E,"VRAI",$H:$H,"E",$I:$I,"F5")</f>
        <v>0</v>
      </c>
      <c r="BL26" s="47">
        <f>SUMIFS($D:$D,$E:$E,"FAUX",$G:$G,"D6",$M:$M,"E",$N:$N,"D*")*SUMIFS($J:$J,$E:$E,"VRAI",$F:$F,"D",$M:$M,"F")*SUMIFS($J:$J,$E:$E,"VRAI",$H:$H,"E",$I:$I,"F6")</f>
        <v>0</v>
      </c>
      <c r="BM26" s="46">
        <f>SUMIFS($D:$D,$E:$E,"FAUX",$G:$G,"D5",$M:$M,"E",$N:$N,"D*")*SUMIFS($J:$J,$E:$E,"VRAI",$F:$F,"D",$M:$M,"F")*SUMIFS($J:$J,$E:$E,"VRAI",$F:$F,"E",$M:$M,"G")*SUMIFS($J:$J,$E:$E,"VRAI",$F:$F,"F",$I:$I,"G1")</f>
        <v>0</v>
      </c>
      <c r="BN26" s="47">
        <f>SUMIFS($D:$D,$E:$E,"FAUX",$G:$G,"D5",$M:$M,"E",$N:$N,"D*")*SUMIFS($J:$J,$E:$E,"VRAI",$F:$F,"D",$M:$M,"F")*SUMIFS($J:$J,$E:$E,"VRAI",$F:$F,"E",$M:$M,"G")*SUMIFS($J:$J,$E:$E,"VRAI",$F:$F,"F",$I:$I,"G2")</f>
        <v>0</v>
      </c>
      <c r="BO26" s="47">
        <f>SUMIFS($D:$D,$E:$E,"FAUX",$G:$G,"D5",$M:$M,"E",$N:$N,"D*")*SUMIFS($J:$J,$E:$E,"VRAI",$F:$F,"D",$M:$M,"F")*SUMIFS($J:$J,$E:$E,"VRAI",$F:$F,"E",$M:$M,"G")*SUMIFS($J:$J,$E:$E,"VRAI",$F:$F,"F",$I:$I,"G3")</f>
        <v>0</v>
      </c>
      <c r="BP26" s="47">
        <f>SUMIFS($D:$D,$E:$E,"FAUX",$G:$G,"D5",$M:$M,"E",$N:$N,"D*")*SUMIFS($J:$J,$E:$E,"VRAI",$F:$F,"D",$M:$M,"F")*SUMIFS($J:$J,$E:$E,"VRAI",$F:$F,"E",$M:$M,"G")*SUMIFS($J:$J,$E:$E,"VRAI",$F:$F,"F",$I:$I,"G4")</f>
        <v>0</v>
      </c>
      <c r="BQ26" s="47">
        <f>SUMIFS($D:$D,$E:$E,"FAUX",$G:$G,"D5",$M:$M,"E",$N:$N,"D*")*SUMIFS($J:$J,$E:$E,"VRAI",$F:$F,"D",$M:$M,"F")*SUMIFS($J:$J,$E:$E,"VRAI",$F:$F,"E",$M:$M,"G")*SUMIFS($J:$J,$E:$E,"VRAI",$F:$F,"F",$I:$I,"G5")</f>
        <v>0</v>
      </c>
      <c r="BR26" s="48">
        <f>SUMIFS($D:$D,$E:$E,"FAUX",$G:$G,"D5",$M:$M,"E",$N:$N,"D*")*SUMIFS($J:$J,$E:$E,"VRAI",$F:$F,"D",$M:$M,"F")*SUMIFS($J:$J,$E:$E,"VRAI",$F:$F,"E",$M:$M,"G")*SUMIFS($J:$J,$E:$E,"VRAI",$F:$F,"F",$I:$I,"G6")</f>
        <v>0</v>
      </c>
      <c r="BS26" s="46">
        <f>SUMIFS($D:$D,$E:$E,"FAUX",$G:$G,"D5",$M:$M,"E",$N:$N,"D*")*SUMIFS($J:$J,$E:$E,"VRAI",$F:$F,"D",$M:$M,"F")*SUMIFS($J:$J,$E:$E,"VRAI",$F:$F,"E",$M:$M,"G")*SUMIFS($J:$J,$E:$E,"VRAI",$F:$F,"F",$M:$M,"H")*SUMIFS($J:$J,$E:$E,"VRAI",$F:$F,"G",$I:$I,"H1")</f>
        <v>0</v>
      </c>
      <c r="BT26" s="47">
        <f>SUMIFS($D:$D,$E:$E,"FAUX",$G:$G,"D5",$M:$M,"E",$N:$N,"D*")*SUMIFS($J:$J,$E:$E,"VRAI",$F:$F,"D",$M:$M,"F")*SUMIFS($J:$J,$E:$E,"VRAI",$F:$F,"E",$M:$M,"G")*SUMIFS($J:$J,$E:$E,"VRAI",$F:$F,"F",$M:$M,"H")*SUMIFS($J:$J,$E:$E,"VRAI",$F:$F,"G",$I:$I,"H2")</f>
        <v>0</v>
      </c>
      <c r="BU26" s="47">
        <f>SUMIFS($D:$D,$E:$E,"FAUX",$G:$G,"D5",$M:$M,"E",$N:$N,"D*")*SUMIFS($J:$J,$E:$E,"VRAI",$F:$F,"D",$M:$M,"F")*SUMIFS($J:$J,$E:$E,"VRAI",$F:$F,"E",$M:$M,"G")*SUMIFS($J:$J,$E:$E,"VRAI",$F:$F,"F",$M:$M,"H")*SUMIFS($J:$J,$E:$E,"VRAI",$F:$F,"G",$I:$I,"H3")</f>
        <v>0</v>
      </c>
      <c r="BV26" s="47">
        <f>SUMIFS($D:$D,$E:$E,"FAUX",$G:$G,"D5",$M:$M,"E",$N:$N,"D*")*SUMIFS($J:$J,$E:$E,"VRAI",$F:$F,"D",$M:$M,"F")*SUMIFS($J:$J,$E:$E,"VRAI",$F:$F,"E",$M:$M,"G")*SUMIFS($J:$J,$E:$E,"VRAI",$F:$F,"F",$M:$M,"H")*SUMIFS($J:$J,$E:$E,"VRAI",$F:$F,"G",$I:$I,"H4")</f>
        <v>0</v>
      </c>
      <c r="BW26" s="47">
        <f>SUMIFS($D:$D,$E:$E,"FAUX",$G:$G,"D5",$M:$M,"E",$N:$N,"D*")*SUMIFS($J:$J,$E:$E,"VRAI",$F:$F,"D",$M:$M,"F")*SUMIFS($J:$J,$E:$E,"VRAI",$F:$F,"E",$M:$M,"G")*SUMIFS($J:$J,$E:$E,"VRAI",$F:$F,"F",$M:$M,"H")*SUMIFS($J:$J,$E:$E,"VRAI",$F:$F,"G",$I:$I,"H5")</f>
        <v>0</v>
      </c>
      <c r="BX26" s="47">
        <f>SUMIFS($D:$D,$E:$E,"FAUX",$G:$G,"D5",$M:$M,"E",$N:$N,"D*")*SUMIFS($J:$J,$E:$E,"VRAI",$F:$F,"D",$M:$M,"F")*SUMIFS($J:$J,$E:$E,"VRAI",$F:$F,"E",$M:$M,"G")*SUMIFS($J:$J,$E:$E,"VRAI",$F:$F,"F",$M:$M,"H")*SUMIFS($J:$J,$E:$E,"VRAI",$F:$F,"G",$I:$I,"H6")</f>
        <v>0</v>
      </c>
      <c r="BY26" s="46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6" s="46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6" s="46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6" s="47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6" s="48">
        <f>SUMIFS($D:$D,$E:$E,"FAUX",$G:$G,"D5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7" spans="1:94">
      <c r="A27" s="35" t="s">
        <v>8</v>
      </c>
      <c r="B27" s="35">
        <v>5</v>
      </c>
      <c r="C27" s="35">
        <v>4</v>
      </c>
      <c r="D27" s="35">
        <v>187</v>
      </c>
      <c r="E27" s="35" t="b">
        <v>0</v>
      </c>
      <c r="F27" s="35"/>
      <c r="G27" s="53" t="str">
        <f t="shared" si="0"/>
        <v>A5</v>
      </c>
      <c r="H27" s="52" t="str">
        <f t="shared" si="5"/>
        <v/>
      </c>
      <c r="I27" s="41" t="str">
        <f t="shared" si="1"/>
        <v>A4</v>
      </c>
      <c r="J27" s="42">
        <f t="shared" si="2"/>
        <v>0.99468085106382975</v>
      </c>
      <c r="K27" s="41">
        <f t="shared" si="6"/>
        <v>188</v>
      </c>
      <c r="L27" s="41" t="str">
        <f t="shared" si="3"/>
        <v/>
      </c>
      <c r="M27" s="41" t="str">
        <f t="shared" si="7"/>
        <v>B</v>
      </c>
      <c r="N27" s="41" t="str">
        <f>IFERROR(VLOOKUP(I27,L27:L:L,1,FALSE),"")</f>
        <v>A4</v>
      </c>
      <c r="O27" s="56" t="str">
        <f t="shared" si="8"/>
        <v>A_5_4</v>
      </c>
      <c r="U27" s="1" t="s">
        <v>11</v>
      </c>
      <c r="V27" s="2">
        <f>SUMIF(A:A,"D",D:D)</f>
        <v>2388</v>
      </c>
      <c r="Z27" t="e">
        <f t="shared" si="9"/>
        <v>#N/A</v>
      </c>
      <c r="AA27" t="e">
        <f t="shared" si="10"/>
        <v>#N/A</v>
      </c>
      <c r="AB27" t="s">
        <v>44</v>
      </c>
      <c r="AC27" s="19">
        <f>SUMIFS($D:$D,$E:$E,"FAUX",$G:$G,"D6",$M:$M,"C",$N:$N,"D*")*SUMIFS($J:$J,$E:$E,"VRAI",$F:$F,"D",$M:$M,"B")*SUMIFS($J:$J,$E:$E,"VRAI",$F:$F,"C",$M:$M,"A")*SUMIFS($J:$J,$E:$E,"VRAI",$H:$H,"B",$I:$I,"A1")</f>
        <v>0</v>
      </c>
      <c r="AD27" s="20">
        <f>SUMIFS($D:$D,$E:$E,"FAUX",$G:$G,"D6",$M:$M,"C",$N:$N,"D*")*SUMIFS($J:$J,$E:$E,"VRAI",$F:$F,"D",$M:$M,"B")*SUMIFS($J:$J,$E:$E,"VRAI",$F:$F,"C",$M:$M,"A")*SUMIFS($J:$J,$E:$E,"VRAI",$H:$H,"B",$I:$I,"A2")</f>
        <v>0</v>
      </c>
      <c r="AE27" s="20">
        <f>SUMIFS($D:$D,$E:$E,"FAUX",$G:$G,"D6",$M:$M,"C",$N:$N,"D*")*SUMIFS($J:$J,$E:$E,"VRAI",$F:$F,"D",$M:$M,"B")*SUMIFS($J:$J,$E:$E,"VRAI",$F:$F,"C",$M:$M,"A")*SUMIFS($J:$J,$E:$E,"VRAI",$H:$H,"B",$I:$I,"A3")</f>
        <v>0</v>
      </c>
      <c r="AF27" s="20">
        <f>SUMIFS($D:$D,$E:$E,"FAUX",$G:$G,"D6",$M:$M,"C",$N:$N,"D*")*SUMIFS($J:$J,$E:$E,"VRAI",$F:$F,"D",$M:$M,"B")*SUMIFS($J:$J,$E:$E,"VRAI",$F:$F,"C",$M:$M,"A")*SUMIFS($J:$J,$E:$E,"VRAI",$H:$H,"B",$I:$I,"A4")</f>
        <v>0</v>
      </c>
      <c r="AG27" s="20">
        <f>SUMIFS($D:$D,$E:$E,"FAUX",$G:$G,"D6",$M:$M,"C",$N:$N,"D*")*SUMIFS($J:$J,$E:$E,"VRAI",$F:$F,"D",$M:$M,"B")*SUMIFS($J:$J,$E:$E,"VRAI",$F:$F,"C",$M:$M,"A")*SUMIFS($J:$J,$E:$E,"VRAI",$H:$H,"B",$I:$I,"A5")</f>
        <v>0</v>
      </c>
      <c r="AH27" s="21">
        <f>SUMIFS($D:$D,$E:$E,"FAUX",$G:$G,"D6",$M:$M,"C",$N:$N,"D*")*SUMIFS($J:$J,$E:$E,"VRAI",$F:$F,"D",$M:$M,"B")*SUMIFS($J:$J,$E:$E,"VRAI",$F:$F,"C",$M:$M,"A")*SUMIFS($J:$J,$E:$E,"VRAI",$H:$H,"B",$I:$I,"A6")</f>
        <v>0</v>
      </c>
      <c r="AI27" s="19">
        <f>SUMIFS($D:$D,$E:$E,"FAUX",$G:$G,"D6",$M:$M,"C",$N:$N,"D*")*SUMIFS($J:$J,$E:$E,"VRAI",$F:$F,"F",$M:$M,"D")*SUMIFS($J:$J,$E:$E,"VRAI",$H:$H,"C",$I:$I,"B1")</f>
        <v>0</v>
      </c>
      <c r="AJ27" s="20">
        <f>SUMIFS($D:$D,$E:$E,"FAUX",$G:$G,"D6",$M:$M,"C",$N:$N,"D*")*SUMIFS($J:$J,$E:$E,"VRAI",$F:$F,"F",$M:$M,"D")*SUMIFS($J:$J,$E:$E,"VRAI",$H:$H,"C",$I:$I,"B2")</f>
        <v>0</v>
      </c>
      <c r="AK27" s="20">
        <f>SUMIFS($D:$D,$E:$E,"FAUX",$G:$G,"D6",$M:$M,"C",$N:$N,"D*")*SUMIFS($J:$J,$E:$E,"VRAI",$F:$F,"F",$M:$M,"D")*SUMIFS($J:$J,$E:$E,"VRAI",$H:$H,"C",$I:$I,"B3")</f>
        <v>0</v>
      </c>
      <c r="AL27" s="20">
        <f>SUMIFS($D:$D,$E:$E,"FAUX",$G:$G,"D6",$M:$M,"C",$N:$N,"D*")*SUMIFS($J:$J,$E:$E,"VRAI",$F:$F,"F",$M:$M,"D")*SUMIFS($J:$J,$E:$E,"VRAI",$H:$H,"C",$I:$I,"B4")</f>
        <v>0</v>
      </c>
      <c r="AM27" s="20">
        <f>SUMIFS($D:$D,$E:$E,"FAUX",$G:$G,"D6",$M:$M,"C",$N:$N,"D*")*SUMIFS($J:$J,$E:$E,"VRAI",$F:$F,"F",$M:$M,"D")*SUMIFS($J:$J,$E:$E,"VRAI",$H:$H,"C",$I:$I,"B5")</f>
        <v>0</v>
      </c>
      <c r="AN27" s="21">
        <f>SUMIFS($D:$D,$E:$E,"FAUX",$G:$G,"D6",$M:$M,"C",$N:$N,"D*")*SUMIFS($J:$J,$E:$E,"VRAI",$F:$F,"F",$M:$M,"D")*SUMIFS($J:$J,$E:$E,"VRAI",$H:$H,"C",$I:$I,"B6")</f>
        <v>0</v>
      </c>
      <c r="AO27" s="19">
        <f>SUMIFS($D:$D,$E:$E,"FAUX",$G:$G,"D6",$M:$M,"C",$N:$N,"D*")*SUMIFS($J:$J,$E:$E,"VRAI",$I:$I,"C1",$F:$F,"D")</f>
        <v>0</v>
      </c>
      <c r="AP27" s="20">
        <f>SUMIFS($D:$D,$E:$E,"FAUX",$G:$G,"D6",$M:$M,"C",$N:$N,"D*")*SUMIFS($J:$J,$E:$E,"VRAI",$I:$I,"C2",$F:$F,"D")</f>
        <v>0</v>
      </c>
      <c r="AQ27" s="20">
        <f>SUMIFS($D:$D,$E:$E,"FAUX",$G:$G,"D6",$M:$M,"C",$N:$N,"D*")*SUMIFS($J:$J,$E:$E,"VRAI",$I:$I,"C2",$F:$F,"D")</f>
        <v>0</v>
      </c>
      <c r="AR27" s="20">
        <f>SUMIFS($D:$D,$E:$E,"FAUX",$G:$G,"D6",$M:$M,"C",$N:$N,"D*")*SUMIFS($J:$J,$E:$E,"VRAI",$I:$I,"C4",$F:$F,"D")</f>
        <v>0</v>
      </c>
      <c r="AS27" s="20">
        <f>SUMIFS($D:$D,$E:$E,"FAUX",$G:$G,"D6",$M:$M,"C",$N:$N,"D*")*SUMIFS($J:$J,$E:$E,"VRAI",$I:$I,"C5",$F:$F,"D")</f>
        <v>0</v>
      </c>
      <c r="AT27" s="21">
        <f>SUMIFS($D:$D,$E:$E,"FAUX",$G:$G,"D6",$M:$M,"C",$N:$N,"D*")*SUMIFS($J:$J,$E:$E,"VRAI",$I:$I,"C6",$F:$F,"D")</f>
        <v>0</v>
      </c>
      <c r="AU27" s="40">
        <f>SUMIFS($D:$D,$O:$O,"D_6_1")</f>
        <v>0</v>
      </c>
      <c r="AV27" s="40">
        <f>SUMIFS($D:$D,$O:$O,"D_6_2")</f>
        <v>0</v>
      </c>
      <c r="AW27" s="40">
        <f>SUMIFS($D:$D,$O:$O,"D_6_3")</f>
        <v>0</v>
      </c>
      <c r="AX27" s="40">
        <f>SUMIFS($D:$D,$O:$O,"D_6_4")</f>
        <v>0</v>
      </c>
      <c r="AY27" s="40">
        <f>SUMIFS($D:$D,$O:$O,"D_6_5")</f>
        <v>0</v>
      </c>
      <c r="AZ27" s="39">
        <f>SUMIFS($D:$D,$O:$O,"D_6_6")</f>
        <v>0</v>
      </c>
      <c r="BA27" s="49">
        <f>SUMIFS($D:$D,$E:$E,"FAUX",$G:$G,"D6",$M:$M,"E",$N:$N,"D*")*SUMIFS($J:$J,$O:$O,"E_1_1")</f>
        <v>0</v>
      </c>
      <c r="BB27" s="50">
        <f>SUMIFS($D:$D,$E:$E,"FAUX",$G:$G,"D6",$M:$M,"E",$N:$N,"D*")*SUMIFS($J:$J,$O:$O,"E_1_2")</f>
        <v>0</v>
      </c>
      <c r="BC27" s="50">
        <f>SUMIFS($D:$D,$E:$E,"FAUX",$G:$G,"D6",$M:$M,"E",$N:$N,"D*")*SUMIFS($J:$J,$O:$O,"E_1_3")</f>
        <v>0</v>
      </c>
      <c r="BD27" s="50">
        <f>SUMIFS($D:$D,$E:$E,"FAUX",$G:$G,"D6",$M:$M,"E",$N:$N,"D*")*SUMIFS($J:$J,$O:$O,"E_1_4")</f>
        <v>0</v>
      </c>
      <c r="BE27" s="50">
        <f>SUMIFS($D:$D,$E:$E,"FAUX",$G:$G,"D6",$M:$M,"E",$N:$N,"D*")*SUMIFS($J:$J,$O:$O,"E_1_5")</f>
        <v>0</v>
      </c>
      <c r="BF27" s="51">
        <f>SUMIFS($D:$D,$E:$E,"FAUX",$G:$G,"D6",$M:$M,"E",$N:$N,"D*")*SUMIFS($J:$J,$O:$O,"E_1_6")</f>
        <v>0</v>
      </c>
      <c r="BG27" s="49">
        <f>SUMIFS($D:$D,$E:$E,"FAUX",$G:$G,"D6",$M:$M,"E",$N:$N,"D*")*SUMIFS($J:$J,$E:$E,"VRAI",$F:$F,"D",$M:$M,"F")*SUMIFS($J:$J,$E:$E,"VRAI",$H:$H,"E",$I:$I,"F1")</f>
        <v>0</v>
      </c>
      <c r="BH27" s="50">
        <f>SUMIFS($D:$D,$E:$E,"FAUX",$G:$G,"D6",$M:$M,"E",$N:$N,"D*")*SUMIFS($J:$J,$E:$E,"VRAI",$F:$F,"D",$M:$M,"F")*SUMIFS($J:$J,$E:$E,"VRAI",$H:$H,"E",$I:$I,"F2")</f>
        <v>0</v>
      </c>
      <c r="BI27" s="50">
        <f>SUMIFS($D:$D,$E:$E,"FAUX",$G:$G,"D6",$M:$M,"E",$N:$N,"D*")*SUMIFS($J:$J,$E:$E,"VRAI",$F:$F,"D",$M:$M,"F")*SUMIFS($J:$J,$E:$E,"VRAI",$H:$H,"E",$I:$I,"F3")</f>
        <v>0</v>
      </c>
      <c r="BJ27" s="50">
        <f>SUMIFS($D:$D,$E:$E,"FAUX",$G:$G,"D6",$M:$M,"E",$N:$N,"D*")*SUMIFS($J:$J,$E:$E,"VRAI",$F:$F,"D",$M:$M,"F")*SUMIFS($J:$J,$E:$E,"VRAI",$H:$H,"E",$I:$I,"F4")</f>
        <v>0</v>
      </c>
      <c r="BK27" s="50">
        <f>SUMIFS($D:$D,$E:$E,"FAUX",$G:$G,"D6",$M:$M,"E",$N:$N,"D*")*SUMIFS($J:$J,$E:$E,"VRAI",$F:$F,"D",$M:$M,"F")*SUMIFS($J:$J,$E:$E,"VRAI",$H:$H,"E",$I:$I,"F5")</f>
        <v>0</v>
      </c>
      <c r="BL27" s="50">
        <f>SUMIFS($D:$D,$E:$E,"FAUX",$G:$G,"D1",$M:$M,"E",$N:$N,"D*")*SUMIFS($J:$J,$E:$E,"VRAI",$F:$F,"D",$M:$M,"F")*SUMIFS($J:$J,$E:$E,"VRAI",$H:$H,"E",$I:$I,"F6")</f>
        <v>0</v>
      </c>
      <c r="BM27" s="49">
        <f>SUMIFS($D:$D,$E:$E,"FAUX",$G:$G,"D6",$M:$M,"E",$N:$N,"D*")*SUMIFS($J:$J,$E:$E,"VRAI",$F:$F,"D",$M:$M,"F")*SUMIFS($J:$J,$E:$E,"VRAI",$F:$F,"E",$M:$M,"G")*SUMIFS($J:$J,$E:$E,"VRAI",$F:$F,"F",$I:$I,"G1")</f>
        <v>0</v>
      </c>
      <c r="BN27" s="50">
        <f>SUMIFS($D:$D,$E:$E,"FAUX",$G:$G,"D6",$M:$M,"E",$N:$N,"D*")*SUMIFS($J:$J,$E:$E,"VRAI",$F:$F,"D",$M:$M,"F")*SUMIFS($J:$J,$E:$E,"VRAI",$F:$F,"E",$M:$M,"G")*SUMIFS($J:$J,$E:$E,"VRAI",$F:$F,"F",$I:$I,"G2")</f>
        <v>0</v>
      </c>
      <c r="BO27" s="50">
        <f>SUMIFS($D:$D,$E:$E,"FAUX",$G:$G,"D6",$M:$M,"E",$N:$N,"D*")*SUMIFS($J:$J,$E:$E,"VRAI",$F:$F,"D",$M:$M,"F")*SUMIFS($J:$J,$E:$E,"VRAI",$F:$F,"E",$M:$M,"G")*SUMIFS($J:$J,$E:$E,"VRAI",$F:$F,"F",$I:$I,"G3")</f>
        <v>0</v>
      </c>
      <c r="BP27" s="50">
        <f>SUMIFS($D:$D,$E:$E,"FAUX",$G:$G,"D6",$M:$M,"E",$N:$N,"D*")*SUMIFS($J:$J,$E:$E,"VRAI",$F:$F,"D",$M:$M,"F")*SUMIFS($J:$J,$E:$E,"VRAI",$F:$F,"E",$M:$M,"G")*SUMIFS($J:$J,$E:$E,"VRAI",$F:$F,"F",$I:$I,"G4")</f>
        <v>0</v>
      </c>
      <c r="BQ27" s="50">
        <f>SUMIFS($D:$D,$E:$E,"FAUX",$G:$G,"D6",$M:$M,"E",$N:$N,"D*")*SUMIFS($J:$J,$E:$E,"VRAI",$F:$F,"D",$M:$M,"F")*SUMIFS($J:$J,$E:$E,"VRAI",$F:$F,"E",$M:$M,"G")*SUMIFS($J:$J,$E:$E,"VRAI",$F:$F,"F",$I:$I,"G5")</f>
        <v>0</v>
      </c>
      <c r="BR27" s="51">
        <f>SUMIFS($D:$D,$E:$E,"FAUX",$G:$G,"D6",$M:$M,"E",$N:$N,"D*")*SUMIFS($J:$J,$E:$E,"VRAI",$F:$F,"D",$M:$M,"F")*SUMIFS($J:$J,$E:$E,"VRAI",$F:$F,"E",$M:$M,"G")*SUMIFS($J:$J,$E:$E,"VRAI",$F:$F,"F",$I:$I,"G6")</f>
        <v>0</v>
      </c>
      <c r="BS27" s="49">
        <f>SUMIFS($D:$D,$E:$E,"FAUX",$G:$G,"D6",$M:$M,"E",$N:$N,"D*")*SUMIFS($J:$J,$E:$E,"VRAI",$F:$F,"D",$M:$M,"F")*SUMIFS($J:$J,$E:$E,"VRAI",$F:$F,"E",$M:$M,"G")*SUMIFS($J:$J,$E:$E,"VRAI",$F:$F,"F",$M:$M,"H")*SUMIFS($J:$J,$E:$E,"VRAI",$F:$F,"G",$I:$I,"H1")</f>
        <v>0</v>
      </c>
      <c r="BT27" s="50">
        <f>SUMIFS($D:$D,$E:$E,"FAUX",$G:$G,"D6",$M:$M,"E",$N:$N,"D*")*SUMIFS($J:$J,$E:$E,"VRAI",$F:$F,"D",$M:$M,"F")*SUMIFS($J:$J,$E:$E,"VRAI",$F:$F,"E",$M:$M,"G")*SUMIFS($J:$J,$E:$E,"VRAI",$F:$F,"F",$M:$M,"H")*SUMIFS($J:$J,$E:$E,"VRAI",$F:$F,"G",$I:$I,"H2")</f>
        <v>0</v>
      </c>
      <c r="BU27" s="50">
        <f>SUMIFS($D:$D,$E:$E,"FAUX",$G:$G,"D6",$M:$M,"E",$N:$N,"D*")*SUMIFS($J:$J,$E:$E,"VRAI",$F:$F,"D",$M:$M,"F")*SUMIFS($J:$J,$E:$E,"VRAI",$F:$F,"E",$M:$M,"G")*SUMIFS($J:$J,$E:$E,"VRAI",$F:$F,"F",$M:$M,"H")*SUMIFS($J:$J,$E:$E,"VRAI",$F:$F,"G",$I:$I,"H3")</f>
        <v>0</v>
      </c>
      <c r="BV27" s="50">
        <f>SUMIFS($D:$D,$E:$E,"FAUX",$G:$G,"D6",$M:$M,"E",$N:$N,"D*")*SUMIFS($J:$J,$E:$E,"VRAI",$F:$F,"D",$M:$M,"F")*SUMIFS($J:$J,$E:$E,"VRAI",$F:$F,"E",$M:$M,"G")*SUMIFS($J:$J,$E:$E,"VRAI",$F:$F,"F",$M:$M,"H")*SUMIFS($J:$J,$E:$E,"VRAI",$F:$F,"G",$I:$I,"H4")</f>
        <v>0</v>
      </c>
      <c r="BW27" s="50">
        <f>SUMIFS($D:$D,$E:$E,"FAUX",$G:$G,"D6",$M:$M,"E",$N:$N,"D*")*SUMIFS($J:$J,$E:$E,"VRAI",$F:$F,"D",$M:$M,"F")*SUMIFS($J:$J,$E:$E,"VRAI",$F:$F,"E",$M:$M,"G")*SUMIFS($J:$J,$E:$E,"VRAI",$F:$F,"F",$M:$M,"H")*SUMIFS($J:$J,$E:$E,"VRAI",$F:$F,"G",$I:$I,"H5")</f>
        <v>0</v>
      </c>
      <c r="BX27" s="50">
        <f>SUMIFS($D:$D,$E:$E,"FAUX",$G:$G,"D6",$M:$M,"E",$N:$N,"D*")*SUMIFS($J:$J,$E:$E,"VRAI",$F:$F,"D",$M:$M,"F")*SUMIFS($J:$J,$E:$E,"VRAI",$F:$F,"E",$M:$M,"G")*SUMIFS($J:$J,$E:$E,"VRAI",$F:$F,"F",$M:$M,"H")*SUMIFS($J:$J,$E:$E,"VRAI",$F:$F,"G",$I:$I,"H6")</f>
        <v>0</v>
      </c>
      <c r="BY27" s="49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1")</f>
        <v>0</v>
      </c>
      <c r="BZ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2")</f>
        <v>0</v>
      </c>
      <c r="CA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3")</f>
        <v>0</v>
      </c>
      <c r="CB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4")</f>
        <v>0</v>
      </c>
      <c r="CC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5")</f>
        <v>0</v>
      </c>
      <c r="CD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I:$I,"I6")</f>
        <v>0</v>
      </c>
      <c r="CE27" s="49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7" s="49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7" s="50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7" s="51">
        <f>SUMIFS($D:$D,$E:$E,"FAUX",$G:$G,"D6",$M:$M,"E",$N:$N,"D*")*SUMIFS($J:$J,$E:$E,"VRAI",$F:$F,"D",$M:$M,"F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8" spans="1:94">
      <c r="A28" s="35" t="s">
        <v>8</v>
      </c>
      <c r="B28" s="35">
        <v>5</v>
      </c>
      <c r="C28" s="35">
        <v>5</v>
      </c>
      <c r="D28" s="35">
        <v>0</v>
      </c>
      <c r="E28" s="35" t="b">
        <v>0</v>
      </c>
      <c r="F28" s="35"/>
      <c r="G28" s="53" t="str">
        <f t="shared" si="0"/>
        <v>A5</v>
      </c>
      <c r="H28" s="52" t="str">
        <f t="shared" si="5"/>
        <v/>
      </c>
      <c r="I28" s="41" t="str">
        <f t="shared" si="1"/>
        <v>A5</v>
      </c>
      <c r="J28" s="42">
        <f t="shared" si="2"/>
        <v>0</v>
      </c>
      <c r="K28" s="41">
        <f t="shared" si="6"/>
        <v>188</v>
      </c>
      <c r="L28" s="41" t="str">
        <f t="shared" si="3"/>
        <v/>
      </c>
      <c r="M28" s="41" t="str">
        <f t="shared" si="7"/>
        <v/>
      </c>
      <c r="N28" s="41" t="str">
        <f>IFERROR(VLOOKUP(I28,L28:L:L,1,FALSE),"")</f>
        <v/>
      </c>
      <c r="O28" s="56" t="str">
        <f t="shared" si="8"/>
        <v>A_5_5</v>
      </c>
      <c r="U28" t="s">
        <v>18</v>
      </c>
      <c r="V28">
        <f>SUMIFS(D:D,A:A,"D",B:B,"1")</f>
        <v>1147</v>
      </c>
      <c r="Z28" t="str">
        <f t="shared" si="9"/>
        <v>E1</v>
      </c>
      <c r="AA28" t="str">
        <f t="shared" si="10"/>
        <v>E1</v>
      </c>
      <c r="AB28" t="s">
        <v>45</v>
      </c>
      <c r="AC28" s="43">
        <f>SUMIFS($D:$D,$E:$E,"FAUX",$G:$G,"E1",$M:$M,"D",$N:$N,"E*")*SUMIFS($J:$J,$E:$E,"VRAI",$F:$F,"D",$M:$M,"B")*SUMIFS($J:$J,$E:$E,"VRAI",$F:$F,"C",$M:$M,"A")*SUMIFS($J:$J,$E:$E,"VRAI",$F:$F,"E",$M:$M,"C")*SUMIFS($J:$J,$E:$E,"VRAI",$H:$H,"B",$I:$I,"A1")</f>
        <v>0</v>
      </c>
      <c r="AD28" s="44">
        <f>SUMIFS($D:$D,$E:$E,"FAUX",$G:$G,"E1",$M:$M,"D",$N:$N,"E*")*SUMIFS($J:$J,$E:$E,"VRAI",$F:$F,"D",$M:$M,"B")*SUMIFS($J:$J,$E:$E,"VRAI",$F:$F,"C",$M:$M,"A")*SUMIFS($J:$J,$E:$E,"VRAI",$F:$F,"E",$M:$M,"C")*SUMIFS($J:$J,$E:$E,"VRAI",$H:$H,"B",$I:$I,"A2")</f>
        <v>0</v>
      </c>
      <c r="AE28" s="44">
        <f>SUMIFS($D:$D,$E:$E,"FAUX",$G:$G,"E1",$M:$M,"D",$N:$N,"E*")*SUMIFS($J:$J,$E:$E,"VRAI",$F:$F,"D",$M:$M,"B")*SUMIFS($J:$J,$E:$E,"VRAI",$F:$F,"C",$M:$M,"A")*SUMIFS($J:$J,$E:$E,"VRAI",$F:$F,"E",$M:$M,"C")*SUMIFS($J:$J,$E:$E,"VRAI",$H:$H,"B",$I:$I,"A3")</f>
        <v>0</v>
      </c>
      <c r="AF28" s="44">
        <f>SUMIFS($D:$D,$E:$E,"FAUX",$G:$G,"E1",$M:$M,"D",$N:$N,"E*")*SUMIFS($J:$J,$E:$E,"VRAI",$F:$F,"D",$M:$M,"B")*SUMIFS($J:$J,$E:$E,"VRAI",$F:$F,"C",$M:$M,"A")*SUMIFS($J:$J,$E:$E,"VRAI",$F:$F,"E",$M:$M,"C")*SUMIFS($J:$J,$E:$E,"VRAI",$H:$H,"B",$I:$I,"A4")</f>
        <v>0</v>
      </c>
      <c r="AG28" s="44">
        <f>SUMIFS($D:$D,$E:$E,"FAUX",$G:$G,"E1",$M:$M,"D",$N:$N,"E*")*SUMIFS($J:$J,$E:$E,"VRAI",$F:$F,"D",$M:$M,"B")*SUMIFS($J:$J,$E:$E,"VRAI",$F:$F,"C",$M:$M,"A")*SUMIFS($J:$J,$E:$E,"VRAI",$F:$F,"E",$M:$M,"C")*SUMIFS($J:$J,$E:$E,"VRAI",$H:$H,"B",$I:$I,"A5")</f>
        <v>0</v>
      </c>
      <c r="AH28" s="45">
        <f>SUMIFS($D:$D,$E:$E,"FAUX",$G:$G,"E1",$M:$M,"D",$N:$N,"E*")*SUMIFS($J:$J,$E:$E,"VRAI",$F:$F,"D",$M:$M,"B")*SUMIFS($J:$J,$E:$E,"VRAI",$F:$F,"C",$M:$M,"A")*SUMIFS($J:$J,$E:$E,"VRAI",$F:$F,"E",$M:$M,"C")*SUMIFS($J:$J,$E:$E,"VRAI",$H:$H,"B",$I:$I,"A6")</f>
        <v>0</v>
      </c>
      <c r="AI28" s="43">
        <f>SUMIFS($D:$D,$E:$E,"FAUX",$G:$G,"E1",$M:$M,"D",$N:$N,"E*")*SUMIFS($J:$J,$E:$E,"VRAI",$F:$F,"E",$M:$M,"C")*SUMIFS($J:$J,$E:$E,"VRAI",$F:$F,"F",$M:$M,"D")*SUMIFS($J:$J,$E:$E,"VRAI",$H:$H,"C",$I:$I,"B1")</f>
        <v>0</v>
      </c>
      <c r="AJ28" s="44">
        <f>SUMIFS($D:$D,$E:$E,"FAUX",$G:$G,"E1",$M:$M,"D",$N:$N,"E*")*SUMIFS($J:$J,$E:$E,"VRAI",$F:$F,"E",$M:$M,"C")*SUMIFS($J:$J,$E:$E,"VRAI",$F:$F,"F",$M:$M,"D")*SUMIFS($J:$J,$E:$E,"VRAI",$H:$H,"C",$I:$I,"B2")</f>
        <v>0</v>
      </c>
      <c r="AK28" s="44">
        <f>SUMIFS($D:$D,$E:$E,"FAUX",$G:$G,"E1",$M:$M,"D",$N:$N,"E*")*SUMIFS($J:$J,$E:$E,"VRAI",$F:$F,"E",$M:$M,"C")*SUMIFS($J:$J,$E:$E,"VRAI",$F:$F,"F",$M:$M,"D")*SUMIFS($J:$J,$E:$E,"VRAI",$H:$H,"C",$I:$I,"B3")</f>
        <v>0</v>
      </c>
      <c r="AL28" s="44">
        <f>SUMIFS($D:$D,$E:$E,"FAUX",$G:$G,"E1",$M:$M,"D",$N:$N,"E*")*SUMIFS($J:$J,$E:$E,"VRAI",$F:$F,"E",$M:$M,"C")*SUMIFS($J:$J,$E:$E,"VRAI",$F:$F,"F",$M:$M,"D")*SUMIFS($J:$J,$E:$E,"VRAI",$H:$H,"C",$I:$I,"B4")</f>
        <v>0</v>
      </c>
      <c r="AM28" s="44">
        <f>SUMIFS($D:$D,$E:$E,"FAUX",$G:$G,"E1",$M:$M,"D",$N:$N,"E*")*SUMIFS($J:$J,$E:$E,"VRAI",$F:$F,"E",$M:$M,"C")*SUMIFS($J:$J,$E:$E,"VRAI",$F:$F,"F",$M:$M,"D")*SUMIFS($J:$J,$E:$E,"VRAI",$H:$H,"C",$I:$I,"B5")</f>
        <v>0</v>
      </c>
      <c r="AN28" s="45">
        <f>SUMIFS($D:$D,$E:$E,"FAUX",$G:$G,"E1",$M:$M,"D",$N:$N,"E*")*SUMIFS($J:$J,$E:$E,"VRAI",$F:$F,"E",$M:$M,"C")*SUMIFS($J:$J,$E:$E,"VRAI",$F:$F,"F",$M:$M,"D")*SUMIFS($J:$J,$E:$E,"VRAI",$H:$H,"C",$I:$I,"B6")</f>
        <v>0</v>
      </c>
      <c r="AO28" s="43">
        <f>SUMIFS($D:$D,$E:$E,"FAUX",$G:$G,"E1",$M:$M,"D",$N:$N,"E*")*SUMIFS($J:$J,$E:$E,"VRAI",$F:$F,"E",$M:$M,"C")*SUMIFS($J:$J,$E:$E,"VRAI",$H:$H,"D",$I:$I,"C1")</f>
        <v>0</v>
      </c>
      <c r="AP28" s="44">
        <f>SUMIFS($D:$D,$E:$E,"FAUX",$G:$G,"E1",$M:$M,"D",$N:$N,"E*")*SUMIFS($J:$J,$E:$E,"VRAI",$F:$F,"E",$M:$M,"C")*SUMIFS($J:$J,$E:$E,"VRAI",$H:$H,"D",$I:$I,"C2")</f>
        <v>0</v>
      </c>
      <c r="AQ28" s="44">
        <f>SUMIFS($D:$D,$E:$E,"FAUX",$G:$G,"E1",$M:$M,"D",$N:$N,"E*")*SUMIFS($J:$J,$E:$E,"VRAI",$F:$F,"E",$M:$M,"C")*SUMIFS($J:$J,$E:$E,"VRAI",$H:$H,"D",$I:$I,"C3")</f>
        <v>0</v>
      </c>
      <c r="AR28" s="44">
        <f>SUMIFS($D:$D,$E:$E,"FAUX",$G:$G,"E1",$M:$M,"D",$N:$N,"E*")*SUMIFS($J:$J,$E:$E,"VRAI",$F:$F,"E",$M:$M,"C")*SUMIFS($J:$J,$E:$E,"VRAI",$H:$H,"D",$I:$I,"C4")</f>
        <v>0</v>
      </c>
      <c r="AS28" s="44">
        <f>SUMIFS($D:$D,$E:$E,"FAUX",$G:$G,"E1",$M:$M,"D",$N:$N,"E*")*SUMIFS($J:$J,$E:$E,"VRAI",$F:$F,"E",$M:$M,"C")*SUMIFS($J:$J,$E:$E,"VRAI",$H:$H,"D",$I:$I,"C5")</f>
        <v>0</v>
      </c>
      <c r="AT28" s="45">
        <f>SUMIFS($D:$D,$E:$E,"FAUX",$G:$G,"E1",$M:$M,"D",$N:$N,"E*")*SUMIFS($J:$J,$E:$E,"VRAI",$F:$F,"E",$M:$M,"C")*SUMIFS($J:$J,$E:$E,"VRAI",$H:$H,"D",$I:$I,"C6")</f>
        <v>0</v>
      </c>
      <c r="AU28" s="43">
        <f>SUMIFS($D:$D,$E:$E,"FAUX",$G:$G,"E1",$M:$M,"D",$N:$N,"E*")*SUMIFS($J:$J,$E:$E,"VRAI",$I:$I,"D1",$F:$F,"E")</f>
        <v>0</v>
      </c>
      <c r="AV28" s="44">
        <f>SUMIFS($D:$D,$E:$E,"FAUX",$G:$G,"E1",$M:$M,"D",$N:$N,"E*")*SUMIFS($J:$J,$E:$E,"VRAI",$I:$I,"D2",$F:$F,"E")</f>
        <v>0</v>
      </c>
      <c r="AW28" s="44">
        <f>SUMIFS($D:$D,$E:$E,"FAUX",$G:$G,"E1",$M:$M,"D",$N:$N,"E*")*SUMIFS($J:$J,$E:$E,"VRAI",$I:$I,"D3",$F:$F,"E")</f>
        <v>0</v>
      </c>
      <c r="AX28" s="44">
        <f>SUMIFS($D:$D,$E:$E,"FAUX",$G:$G,"E1",$M:$M,"D",$N:$N,"E*")*SUMIFS($J:$J,$E:$E,"VRAI",$I:$I,"D4",$F:$F,"E")</f>
        <v>0</v>
      </c>
      <c r="AY28" s="44">
        <f>SUMIFS($D:$D,$E:$E,"FAUX",$G:$G,"E1",$M:$M,"D",$N:$N,"E*")*SUMIFS($J:$J,$E:$E,"VRAI",$I:$I,"D5",$F:$F,"E")</f>
        <v>0</v>
      </c>
      <c r="AZ28" s="45">
        <f>SUMIFS($D:$D,$E:$E,"FAUX",$G:$G,"E1",$M:$M,"D",$N:$N,"E*")*SUMIFS($J:$J,$E:$E,"VRAI",$I:$I,"D6",$F:$F,"E")</f>
        <v>0</v>
      </c>
      <c r="BA28" s="39">
        <f>SUMIFS($D:$D,$O:$O,"E_1_1")</f>
        <v>0</v>
      </c>
      <c r="BB28" s="39">
        <f>SUMIFS($D:$D,$O:$O,"E_1_2")</f>
        <v>900</v>
      </c>
      <c r="BC28" s="39">
        <f>SUMIFS($D:$D,$O:$O,"E_1_3")</f>
        <v>53</v>
      </c>
      <c r="BD28" s="39">
        <f>SUMIFS($D:$D,$O:$O,"E_1_4")</f>
        <v>0</v>
      </c>
      <c r="BE28" s="39">
        <f>SUMIFS($D:$D,$O:$O,"E_1_5")</f>
        <v>0</v>
      </c>
      <c r="BF28" s="39">
        <f>SUMIFS($D:$D,$O:$O,"E_1_6")</f>
        <v>0</v>
      </c>
      <c r="BG28" s="43">
        <f>SUMIFS($D:$D,$E:$E,"FAUX",$G:$G,"E1",$M:$M,"F",$N:$N,"E*")*SUMIFS($J:$J,$O:$O,"F_1_1")</f>
        <v>0</v>
      </c>
      <c r="BH28" s="44">
        <f>SUMIFS($D:$D,$E:$E,"FAUX",$G:$G,"E1",$M:$M,"F",$N:$N,"E*")*SUMIFS($J:$J,$O:$O,"F_1_2")</f>
        <v>0</v>
      </c>
      <c r="BI28" s="44">
        <f>SUMIFS($D:$D,$E:$E,"FAUX",$G:$G,"E1",$M:$M,"F",$N:$N,"E*")*SUMIFS($J:$J,$O:$O,"F_1_3")</f>
        <v>0</v>
      </c>
      <c r="BJ28" s="44">
        <f>SUMIFS($D:$D,$E:$E,"FAUX",$G:$G,"E1",$M:$M,"F",$N:$N,"E*")*SUMIFS($J:$J,$O:$O,"F_1_4")</f>
        <v>0</v>
      </c>
      <c r="BK28" s="44">
        <f>SUMIFS($D:$D,$E:$E,"FAUX",$G:$G,"E1",$M:$M,"F",$N:$N,"E*")*SUMIFS($J:$J,$O:$O,"F_1_5")</f>
        <v>0</v>
      </c>
      <c r="BL28" s="44">
        <f>SUMIFS($D:$D,$E:$E,"FAUX",$G:$G,"E1",$M:$M,"F",$N:$N,"E*")*SUMIFS($J:$J,$O:$O,"F_1_6")</f>
        <v>0</v>
      </c>
      <c r="BM28" s="43">
        <f>SUMIFS($D:$D,$E:$E,"FAUX",$G:$G,"E1",$M:$M,"F",$N:$N,"E*")*SUMIFS($J:$J,$E:$E,"VRAI",$F:$F,"E",$M:$M,"G")*SUMIFS($J:$J,$E:$E,"VRAI",$F:$F,"F",$I:$I,"G1")</f>
        <v>0</v>
      </c>
      <c r="BN28" s="44">
        <f>SUMIFS($D:$D,$E:$E,"FAUX",$G:$G,"E1",$M:$M,"F",$N:$N,"E*")*SUMIFS($J:$J,$E:$E,"VRAI",$F:$F,"E",$M:$M,"G")*SUMIFS($J:$J,$E:$E,"VRAI",$F:$F,"F",$I:$I,"G2")</f>
        <v>0</v>
      </c>
      <c r="BO28" s="44">
        <f>SUMIFS($D:$D,$E:$E,"FAUX",$G:$G,"E1",$M:$M,"F",$N:$N,"E*")*SUMIFS($J:$J,$E:$E,"VRAI",$F:$F,"E",$M:$M,"G")*SUMIFS($J:$J,$E:$E,"VRAI",$F:$F,"F",$I:$I,"G3")</f>
        <v>0</v>
      </c>
      <c r="BP28" s="44">
        <f>SUMIFS($D:$D,$E:$E,"FAUX",$G:$G,"E1",$M:$M,"F",$N:$N,"E*")*SUMIFS($J:$J,$E:$E,"VRAI",$F:$F,"E",$M:$M,"G")*SUMIFS($J:$J,$E:$E,"VRAI",$F:$F,"F",$I:$I,"G4")</f>
        <v>0</v>
      </c>
      <c r="BQ28" s="44">
        <f>SUMIFS($D:$D,$E:$E,"FAUX",$G:$G,"E1",$M:$M,"F",$N:$N,"E*")*SUMIFS($J:$J,$E:$E,"VRAI",$F:$F,"E",$M:$M,"G")*SUMIFS($J:$J,$E:$E,"VRAI",$F:$F,"F",$I:$I,"G5")</f>
        <v>0</v>
      </c>
      <c r="BR28" s="45">
        <f>SUMIFS($D:$D,$E:$E,"FAUX",$G:$G,"E1",$M:$M,"F",$N:$N,"E*")*SUMIFS($J:$J,$E:$E,"VRAI",$F:$F,"E",$M:$M,"G")*SUMIFS($J:$J,$E:$E,"VRAI",$F:$F,"F",$I:$I,"G6")</f>
        <v>0</v>
      </c>
      <c r="BS28" s="43">
        <f>SUMIFS($D:$D,$E:$E,"FAUX",$G:$G,"E1",$M:$M,"F",$N:$N,"E*")*SUMIFS($J:$J,$E:$E,"VRAI",$F:$F,"E",$M:$M,"G")*SUMIFS($J:$J,$E:$E,"VRAI",$F:$F,"F",$M:$M,"H")*SUMIFS($J:$J,$E:$E,"VRAI",$F:$F,"G",$I:$I,"H1")</f>
        <v>0</v>
      </c>
      <c r="BT28" s="44">
        <f>SUMIFS($D:$D,$E:$E,"FAUX",$G:$G,"E1",$M:$M,"F",$N:$N,"E*")*SUMIFS($J:$J,$E:$E,"VRAI",$F:$F,"E",$M:$M,"G")*SUMIFS($J:$J,$E:$E,"VRAI",$F:$F,"F",$M:$M,"H")*SUMIFS($J:$J,$E:$E,"VRAI",$F:$F,"G",$I:$I,"H2")</f>
        <v>0</v>
      </c>
      <c r="BU28" s="44">
        <f>SUMIFS($D:$D,$E:$E,"FAUX",$G:$G,"E1",$M:$M,"F",$N:$N,"E*")*SUMIFS($J:$J,$E:$E,"VRAI",$F:$F,"E",$M:$M,"G")*SUMIFS($J:$J,$E:$E,"VRAI",$F:$F,"F",$M:$M,"H")*SUMIFS($J:$J,$E:$E,"VRAI",$F:$F,"G",$I:$I,"H3")</f>
        <v>0</v>
      </c>
      <c r="BV28" s="44">
        <f>SUMIFS($D:$D,$E:$E,"FAUX",$G:$G,"E1",$M:$M,"F",$N:$N,"E*")*SUMIFS($J:$J,$E:$E,"VRAI",$F:$F,"E",$M:$M,"G")*SUMIFS($J:$J,$E:$E,"VRAI",$F:$F,"F",$M:$M,"H")*SUMIFS($J:$J,$E:$E,"VRAI",$F:$F,"G",$I:$I,"H4")</f>
        <v>0</v>
      </c>
      <c r="BW28" s="44">
        <f>SUMIFS($D:$D,$E:$E,"FAUX",$G:$G,"E1",$M:$M,"F",$N:$N,"E*")*SUMIFS($J:$J,$E:$E,"VRAI",$F:$F,"E",$M:$M,"G")*SUMIFS($J:$J,$E:$E,"VRAI",$F:$F,"F",$M:$M,"H")*SUMIFS($J:$J,$E:$E,"VRAI",$F:$F,"G",$I:$I,"H5")</f>
        <v>0</v>
      </c>
      <c r="BX28" s="44">
        <f>SUMIFS($D:$D,$E:$E,"FAUX",$G:$G,"E1",$M:$M,"F",$N:$N,"E*")*SUMIFS($J:$J,$E:$E,"VRAI",$F:$F,"E",$M:$M,"G")*SUMIFS($J:$J,$E:$E,"VRAI",$F:$F,"F",$M:$M,"H")*SUMIFS($J:$J,$E:$E,"VRAI",$F:$F,"G",$I:$I,"H6")</f>
        <v>0</v>
      </c>
      <c r="BY28" s="43">
        <f>SUMIFS($D:$D,$E:$E,"FAUX",$G:$G,"E1",$M:$M,"F",$N:$N,"E*")*SUMIFS($J:$J,$E:$E,"VRAI",$F:$F,"E",$M:$M,"G")*SUMIFS($J:$J,$E:$E,"VRAI",$F:$F,"F",$M:$M,"H")*SUMIFS($J:$J,$E:$E,"VRAI",$F:$F,"G",$M:$M,"I")*SUMIFS($J:$J,$E:$E,"VRAI",$F:$F,"H",$I:$I,"I1")</f>
        <v>0</v>
      </c>
      <c r="BZ28" s="44">
        <f>SUMIFS($D:$D,$E:$E,"FAUX",$G:$G,"E1",$M:$M,"F",$N:$N,"E*")*SUMIFS($J:$J,$E:$E,"VRAI",$F:$F,"E",$M:$M,"G")*SUMIFS($J:$J,$E:$E,"VRAI",$F:$F,"F",$M:$M,"H")*SUMIFS($J:$J,$E:$E,"VRAI",$F:$F,"G",$M:$M,"I")*SUMIFS($J:$J,$E:$E,"VRAI",$F:$F,"H",$I:$I,"I2")</f>
        <v>0</v>
      </c>
      <c r="CA28" s="44">
        <f>SUMIFS($D:$D,$E:$E,"FAUX",$G:$G,"E1",$M:$M,"F",$N:$N,"E*")*SUMIFS($J:$J,$E:$E,"VRAI",$F:$F,"E",$M:$M,"G")*SUMIFS($J:$J,$E:$E,"VRAI",$F:$F,"F",$M:$M,"H")*SUMIFS($J:$J,$E:$E,"VRAI",$F:$F,"G",$M:$M,"I")*SUMIFS($J:$J,$E:$E,"VRAI",$F:$F,"H",$I:$I,"I3")</f>
        <v>0</v>
      </c>
      <c r="CB28" s="44">
        <f>SUMIFS($D:$D,$E:$E,"FAUX",$G:$G,"E1",$M:$M,"F",$N:$N,"E*")*SUMIFS($J:$J,$E:$E,"VRAI",$F:$F,"E",$M:$M,"G")*SUMIFS($J:$J,$E:$E,"VRAI",$F:$F,"F",$M:$M,"H")*SUMIFS($J:$J,$E:$E,"VRAI",$F:$F,"G",$M:$M,"I")*SUMIFS($J:$J,$E:$E,"VRAI",$F:$F,"H",$I:$I,"I4")</f>
        <v>0</v>
      </c>
      <c r="CC28" s="44">
        <f>SUMIFS($D:$D,$E:$E,"FAUX",$G:$G,"E1",$M:$M,"F",$N:$N,"E*")*SUMIFS($J:$J,$E:$E,"VRAI",$F:$F,"E",$M:$M,"G")*SUMIFS($J:$J,$E:$E,"VRAI",$F:$F,"F",$M:$M,"H")*SUMIFS($J:$J,$E:$E,"VRAI",$F:$F,"G",$M:$M,"I")*SUMIFS($J:$J,$E:$E,"VRAI",$F:$F,"H",$I:$I,"I5")</f>
        <v>0</v>
      </c>
      <c r="CD28" s="44">
        <f>SUMIFS($D:$D,$E:$E,"FAUX",$G:$G,"E1",$M:$M,"F",$N:$N,"E*")*SUMIFS($J:$J,$E:$E,"VRAI",$F:$F,"E",$M:$M,"G")*SUMIFS($J:$J,$E:$E,"VRAI",$F:$F,"F",$M:$M,"H")*SUMIFS($J:$J,$E:$E,"VRAI",$F:$F,"G",$M:$M,"I")*SUMIFS($J:$J,$E:$E,"VRAI",$F:$F,"H",$I:$I,"I6")</f>
        <v>0</v>
      </c>
      <c r="CE28" s="43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8" s="43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8" s="44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8" s="45">
        <f>SUMIFS($D:$D,$E:$E,"FAUX",$G:$G,"E1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29" spans="1:94">
      <c r="A29" s="35" t="s">
        <v>9</v>
      </c>
      <c r="B29" s="35">
        <v>1</v>
      </c>
      <c r="C29" s="35">
        <v>2</v>
      </c>
      <c r="D29" s="35">
        <v>0</v>
      </c>
      <c r="E29" s="35" t="b">
        <v>1</v>
      </c>
      <c r="F29" s="35" t="s">
        <v>8</v>
      </c>
      <c r="G29" s="53" t="str">
        <f t="shared" si="0"/>
        <v>B1</v>
      </c>
      <c r="H29" s="52" t="str">
        <f t="shared" si="5"/>
        <v>A</v>
      </c>
      <c r="I29" s="41" t="str">
        <f t="shared" si="1"/>
        <v>B2</v>
      </c>
      <c r="J29" s="42">
        <f t="shared" si="2"/>
        <v>0</v>
      </c>
      <c r="K29" s="41">
        <f t="shared" si="6"/>
        <v>962</v>
      </c>
      <c r="L29" s="41" t="str">
        <f t="shared" si="3"/>
        <v>B1</v>
      </c>
      <c r="M29" s="41" t="str">
        <f t="shared" si="7"/>
        <v/>
      </c>
      <c r="N29" s="41" t="str">
        <f>IFERROR(VLOOKUP(I29,L29:L:L,1,FALSE),"")</f>
        <v/>
      </c>
      <c r="O29" s="56" t="str">
        <f t="shared" si="8"/>
        <v>B_1_2</v>
      </c>
      <c r="U29" t="s">
        <v>34</v>
      </c>
      <c r="V29">
        <f>SUMIFS(D:D,A:A,"D",B:B,"2")</f>
        <v>0</v>
      </c>
      <c r="Z29" t="str">
        <f t="shared" si="9"/>
        <v>E2</v>
      </c>
      <c r="AA29" t="str">
        <f t="shared" si="10"/>
        <v>E2</v>
      </c>
      <c r="AB29" t="s">
        <v>46</v>
      </c>
      <c r="AC29" s="46">
        <f>SUMIFS($D:$D,$E:$E,"FAUX",$G:$G,"E2",$M:$M,"D",$N:$N,"E*")*SUMIFS($J:$J,$E:$E,"VRAI",$F:$F,"D",$M:$M,"B")*SUMIFS($J:$J,$E:$E,"VRAI",$F:$F,"C",$M:$M,"A")*SUMIFS($J:$J,$E:$E,"VRAI",$F:$F,"E",$M:$M,"C")*SUMIFS($J:$J,$E:$E,"VRAI",$H:$H,"B",$I:$I,"A1")</f>
        <v>0</v>
      </c>
      <c r="AD29" s="47">
        <f>SUMIFS($D:$D,$E:$E,"FAUX",$G:$G,"E2",$M:$M,"D",$N:$N,"E*")*SUMIFS($J:$J,$E:$E,"VRAI",$F:$F,"D",$M:$M,"B")*SUMIFS($J:$J,$E:$E,"VRAI",$F:$F,"C",$M:$M,"A")*SUMIFS($J:$J,$E:$E,"VRAI",$F:$F,"E",$M:$M,"C")*SUMIFS($J:$J,$E:$E,"VRAI",$H:$H,"B",$I:$I,"A2")</f>
        <v>0</v>
      </c>
      <c r="AE29" s="47">
        <f>SUMIFS($D:$D,$E:$E,"FAUX",$G:$G,"E2",$M:$M,"D",$N:$N,"E*")*SUMIFS($J:$J,$E:$E,"VRAI",$F:$F,"D",$M:$M,"B")*SUMIFS($J:$J,$E:$E,"VRAI",$F:$F,"C",$M:$M,"A")*SUMIFS($J:$J,$E:$E,"VRAI",$F:$F,"E",$M:$M,"C")*SUMIFS($J:$J,$E:$E,"VRAI",$H:$H,"B",$I:$I,"A3")</f>
        <v>0</v>
      </c>
      <c r="AF29" s="47">
        <f>SUMIFS($D:$D,$E:$E,"FAUX",$G:$G,"E2",$M:$M,"D",$N:$N,"E*")*SUMIFS($J:$J,$E:$E,"VRAI",$F:$F,"D",$M:$M,"B")*SUMIFS($J:$J,$E:$E,"VRAI",$F:$F,"C",$M:$M,"A")*SUMIFS($J:$J,$E:$E,"VRAI",$F:$F,"E",$M:$M,"C")*SUMIFS($J:$J,$E:$E,"VRAI",$H:$H,"B",$I:$I,"A4")</f>
        <v>0</v>
      </c>
      <c r="AG29" s="47">
        <f>SUMIFS($D:$D,$E:$E,"FAUX",$G:$G,"E2",$M:$M,"D",$N:$N,"E*")*SUMIFS($J:$J,$E:$E,"VRAI",$F:$F,"D",$M:$M,"B")*SUMIFS($J:$J,$E:$E,"VRAI",$F:$F,"C",$M:$M,"A")*SUMIFS($J:$J,$E:$E,"VRAI",$F:$F,"E",$M:$M,"C")*SUMIFS($J:$J,$E:$E,"VRAI",$H:$H,"B",$I:$I,"A5")</f>
        <v>0</v>
      </c>
      <c r="AH29" s="48">
        <f>SUMIFS($D:$D,$E:$E,"FAUX",$G:$G,"E2",$M:$M,"D",$N:$N,"E*")*SUMIFS($J:$J,$E:$E,"VRAI",$F:$F,"D",$M:$M,"B")*SUMIFS($J:$J,$E:$E,"VRAI",$F:$F,"C",$M:$M,"A")*SUMIFS($J:$J,$E:$E,"VRAI",$F:$F,"E",$M:$M,"C")*SUMIFS($J:$J,$E:$E,"VRAI",$H:$H,"B",$I:$I,"A6")</f>
        <v>0</v>
      </c>
      <c r="AI29" s="46">
        <f>SUMIFS($D:$D,$E:$E,"FAUX",$G:$G,"E2",$M:$M,"D",$N:$N,"E*")*SUMIFS($J:$J,$E:$E,"VRAI",$F:$F,"E",$M:$M,"C")*SUMIFS($J:$J,$E:$E,"VRAI",$F:$F,"F",$M:$M,"D")*SUMIFS($J:$J,$E:$E,"VRAI",$H:$H,"C",$I:$I,"B1")</f>
        <v>0</v>
      </c>
      <c r="AJ29" s="47">
        <f>SUMIFS($D:$D,$E:$E,"FAUX",$G:$G,"E2",$M:$M,"D",$N:$N,"E*")*SUMIFS($J:$J,$E:$E,"VRAI",$F:$F,"E",$M:$M,"C")*SUMIFS($J:$J,$E:$E,"VRAI",$F:$F,"F",$M:$M,"D")*SUMIFS($J:$J,$E:$E,"VRAI",$H:$H,"C",$I:$I,"B2")</f>
        <v>0</v>
      </c>
      <c r="AK29" s="47">
        <f>SUMIFS($D:$D,$E:$E,"FAUX",$G:$G,"E2",$M:$M,"D",$N:$N,"E*")*SUMIFS($J:$J,$E:$E,"VRAI",$F:$F,"E",$M:$M,"C")*SUMIFS($J:$J,$E:$E,"VRAI",$F:$F,"F",$M:$M,"D")*SUMIFS($J:$J,$E:$E,"VRAI",$H:$H,"C",$I:$I,"B3")</f>
        <v>0</v>
      </c>
      <c r="AL29" s="47">
        <f>SUMIFS($D:$D,$E:$E,"FAUX",$G:$G,"E2",$M:$M,"D",$N:$N,"E*")*SUMIFS($J:$J,$E:$E,"VRAI",$F:$F,"E",$M:$M,"C")*SUMIFS($J:$J,$E:$E,"VRAI",$F:$F,"F",$M:$M,"D")*SUMIFS($J:$J,$E:$E,"VRAI",$H:$H,"C",$I:$I,"B4")</f>
        <v>0</v>
      </c>
      <c r="AM29" s="47">
        <f>SUMIFS($D:$D,$E:$E,"FAUX",$G:$G,"E2",$M:$M,"D",$N:$N,"E*")*SUMIFS($J:$J,$E:$E,"VRAI",$F:$F,"E",$M:$M,"C")*SUMIFS($J:$J,$E:$E,"VRAI",$F:$F,"F",$M:$M,"D")*SUMIFS($J:$J,$E:$E,"VRAI",$H:$H,"C",$I:$I,"B5")</f>
        <v>0</v>
      </c>
      <c r="AN29" s="48">
        <f>SUMIFS($D:$D,$E:$E,"FAUX",$G:$G,"E2",$M:$M,"D",$N:$N,"E*")*SUMIFS($J:$J,$E:$E,"VRAI",$F:$F,"E",$M:$M,"C")*SUMIFS($J:$J,$E:$E,"VRAI",$F:$F,"F",$M:$M,"D")*SUMIFS($J:$J,$E:$E,"VRAI",$H:$H,"C",$I:$I,"B6")</f>
        <v>0</v>
      </c>
      <c r="AO29" s="46">
        <f>SUMIFS($D:$D,$E:$E,"FAUX",$G:$G,"E2",$M:$M,"D",$N:$N,"E*")*SUMIFS($J:$J,$E:$E,"VRAI",$F:$F,"E",$M:$M,"C")*SUMIFS($J:$J,$E:$E,"VRAI",$H:$H,"D",$I:$I,"C1")</f>
        <v>0</v>
      </c>
      <c r="AP29" s="47">
        <f>SUMIFS($D:$D,$E:$E,"FAUX",$G:$G,"E2",$M:$M,"D",$N:$N,"E*")*SUMIFS($J:$J,$E:$E,"VRAI",$F:$F,"E",$M:$M,"C")*SUMIFS($J:$J,$E:$E,"VRAI",$H:$H,"D",$I:$I,"C2")</f>
        <v>0</v>
      </c>
      <c r="AQ29" s="47">
        <f>SUMIFS($D:$D,$E:$E,"FAUX",$G:$G,"E2",$M:$M,"D",$N:$N,"E*")*SUMIFS($J:$J,$E:$E,"VRAI",$F:$F,"E",$M:$M,"C")*SUMIFS($J:$J,$E:$E,"VRAI",$H:$H,"D",$I:$I,"C3")</f>
        <v>0</v>
      </c>
      <c r="AR29" s="47">
        <f>SUMIFS($D:$D,$E:$E,"FAUX",$G:$G,"E2",$M:$M,"D",$N:$N,"E*")*SUMIFS($J:$J,$E:$E,"VRAI",$F:$F,"E",$M:$M,"C")*SUMIFS($J:$J,$E:$E,"VRAI",$H:$H,"D",$I:$I,"C4")</f>
        <v>0</v>
      </c>
      <c r="AS29" s="47">
        <f>SUMIFS($D:$D,$E:$E,"FAUX",$G:$G,"E2",$M:$M,"D",$N:$N,"E*")*SUMIFS($J:$J,$E:$E,"VRAI",$F:$F,"E",$M:$M,"C")*SUMIFS($J:$J,$E:$E,"VRAI",$H:$H,"D",$I:$I,"C5")</f>
        <v>0</v>
      </c>
      <c r="AT29" s="48">
        <f>SUMIFS($D:$D,$E:$E,"FAUX",$G:$G,"E2",$M:$M,"D",$N:$N,"E*")*SUMIFS($J:$J,$E:$E,"VRAI",$F:$F,"E",$M:$M,"C")*SUMIFS($J:$J,$E:$E,"VRAI",$H:$H,"D",$I:$I,"C6")</f>
        <v>0</v>
      </c>
      <c r="AU29" s="46">
        <f>SUMIFS($D:$D,$E:$E,"FAUX",$G:$G,"E2",$M:$M,"D",$N:$N,"E*")*SUMIFS($J:$J,$E:$E,"VRAI",$I:$I,"D1",$F:$F,"E")</f>
        <v>0</v>
      </c>
      <c r="AV29" s="47">
        <f>SUMIFS($D:$D,$E:$E,"FAUX",$G:$G,"E2",$M:$M,"D",$N:$N,"E*")*SUMIFS($J:$J,$E:$E,"VRAI",$I:$I,"D2",$F:$F,"E")</f>
        <v>0</v>
      </c>
      <c r="AW29" s="47">
        <f>SUMIFS($D:$D,$E:$E,"FAUX",$G:$G,"E2",$M:$M,"D",$N:$N,"E*")*SUMIFS($J:$J,$E:$E,"VRAI",$I:$I,"D3",$F:$F,"E")</f>
        <v>0</v>
      </c>
      <c r="AX29" s="47">
        <f>SUMIFS($D:$D,$E:$E,"FAUX",$G:$G,"E2",$M:$M,"D",$N:$N,"E*")*SUMIFS($J:$J,$E:$E,"VRAI",$I:$I,"D4",$F:$F,"E")</f>
        <v>0</v>
      </c>
      <c r="AY29" s="47">
        <f>SUMIFS($D:$D,$E:$E,"FAUX",$G:$G,"E2",$M:$M,"D",$N:$N,"E*")*SUMIFS($J:$J,$E:$E,"VRAI",$I:$I,"D5",$F:$F,"E")</f>
        <v>0</v>
      </c>
      <c r="AZ29" s="48">
        <f>SUMIFS($D:$D,$E:$E,"FAUX",$G:$G,"E2",$M:$M,"D",$N:$N,"E*")*SUMIFS($J:$J,$E:$E,"VRAI",$I:$I,"D6",$F:$F,"E")</f>
        <v>0</v>
      </c>
      <c r="BA29" s="39">
        <f>SUMIFS($D:$D,$O:$O,"E_2_1")</f>
        <v>1095</v>
      </c>
      <c r="BB29" s="39">
        <f>SUMIFS($D:$D,$O:$O,"E_2_2")</f>
        <v>0</v>
      </c>
      <c r="BC29" s="39">
        <f>SUMIFS($D:$D,$O:$O,"E_2_3")</f>
        <v>157</v>
      </c>
      <c r="BD29" s="39">
        <f>SUMIFS($D:$D,$O:$O,"E_2_4")</f>
        <v>0</v>
      </c>
      <c r="BE29" s="39">
        <f>SUMIFS($D:$D,$O:$O,"E_2_5")</f>
        <v>0</v>
      </c>
      <c r="BF29" s="39">
        <f>SUMIFS($D:$D,$O:$O,"E_2_6")</f>
        <v>0</v>
      </c>
      <c r="BG29" s="46">
        <f>SUMIFS($D:$D,$E:$E,"FAUX",$G:$G,"E2",$M:$M,"F",$N:$N,"E*")*SUMIFS($J:$J,$O:$O,"F_1_1")</f>
        <v>0</v>
      </c>
      <c r="BH29" s="47">
        <f>SUMIFS($D:$D,$E:$E,"FAUX",$G:$G,"E2",$M:$M,"F",$N:$N,"E*")*SUMIFS($J:$J,$O:$O,"F_1_2")</f>
        <v>0</v>
      </c>
      <c r="BI29" s="47">
        <f>SUMIFS($D:$D,$E:$E,"FAUX",$G:$G,"E2",$M:$M,"F",$N:$N,"E*")*SUMIFS($J:$J,$O:$O,"F_1_3")</f>
        <v>0</v>
      </c>
      <c r="BJ29" s="47">
        <f>SUMIFS($D:$D,$E:$E,"FAUX",$G:$G,"E2",$M:$M,"F",$N:$N,"E*")*SUMIFS($J:$J,$O:$O,"F_1_4")</f>
        <v>0</v>
      </c>
      <c r="BK29" s="47">
        <f>SUMIFS($D:$D,$E:$E,"FAUX",$G:$G,"E2",$M:$M,"F",$N:$N,"E*")*SUMIFS($J:$J,$O:$O,"F_1_5")</f>
        <v>0</v>
      </c>
      <c r="BL29" s="47">
        <f>SUMIFS($D:$D,$E:$E,"FAUX",$G:$G,"E2",$M:$M,"F",$N:$N,"E*")*SUMIFS($J:$J,$O:$O,"F_1_6")</f>
        <v>0</v>
      </c>
      <c r="BM29" s="46">
        <f>SUMIFS($D:$D,$E:$E,"FAUX",$G:$G,"E2",$M:$M,"F",$N:$N,"E*")*SUMIFS($J:$J,$E:$E,"VRAI",$F:$F,"E",$M:$M,"G")*SUMIFS($J:$J,$E:$E,"VRAI",$F:$F,"F",$I:$I,"G1")</f>
        <v>0</v>
      </c>
      <c r="BN29" s="47">
        <f>SUMIFS($D:$D,$E:$E,"FAUX",$G:$G,"E2",$M:$M,"F",$N:$N,"E*")*SUMIFS($J:$J,$E:$E,"VRAI",$F:$F,"E",$M:$M,"G")*SUMIFS($J:$J,$E:$E,"VRAI",$F:$F,"F",$I:$I,"G2")</f>
        <v>0</v>
      </c>
      <c r="BO29" s="47">
        <f>SUMIFS($D:$D,$E:$E,"FAUX",$G:$G,"E2",$M:$M,"F",$N:$N,"E*")*SUMIFS($J:$J,$E:$E,"VRAI",$F:$F,"E",$M:$M,"G")*SUMIFS($J:$J,$E:$E,"VRAI",$F:$F,"F",$I:$I,"G3")</f>
        <v>0</v>
      </c>
      <c r="BP29" s="47">
        <f>SUMIFS($D:$D,$E:$E,"FAUX",$G:$G,"E2",$M:$M,"F",$N:$N,"E*")*SUMIFS($J:$J,$E:$E,"VRAI",$F:$F,"E",$M:$M,"G")*SUMIFS($J:$J,$E:$E,"VRAI",$F:$F,"F",$I:$I,"G4")</f>
        <v>0</v>
      </c>
      <c r="BQ29" s="47">
        <f>SUMIFS($D:$D,$E:$E,"FAUX",$G:$G,"E2",$M:$M,"F",$N:$N,"E*")*SUMIFS($J:$J,$E:$E,"VRAI",$F:$F,"E",$M:$M,"G")*SUMIFS($J:$J,$E:$E,"VRAI",$F:$F,"F",$I:$I,"G5")</f>
        <v>0</v>
      </c>
      <c r="BR29" s="48">
        <f>SUMIFS($D:$D,$E:$E,"FAUX",$G:$G,"E2",$M:$M,"F",$N:$N,"E*")*SUMIFS($J:$J,$E:$E,"VRAI",$F:$F,"E",$M:$M,"G")*SUMIFS($J:$J,$E:$E,"VRAI",$F:$F,"F",$I:$I,"G6")</f>
        <v>0</v>
      </c>
      <c r="BS29" s="46">
        <f>SUMIFS($D:$D,$E:$E,"FAUX",$G:$G,"E2",$M:$M,"F",$N:$N,"E*")*SUMIFS($J:$J,$E:$E,"VRAI",$F:$F,"E",$M:$M,"G")*SUMIFS($J:$J,$E:$E,"VRAI",$F:$F,"F",$M:$M,"H")*SUMIFS($J:$J,$E:$E,"VRAI",$F:$F,"G",$I:$I,"H1")</f>
        <v>0</v>
      </c>
      <c r="BT29" s="47">
        <f>SUMIFS($D:$D,$E:$E,"FAUX",$G:$G,"E2",$M:$M,"F",$N:$N,"E*")*SUMIFS($J:$J,$E:$E,"VRAI",$F:$F,"E",$M:$M,"G")*SUMIFS($J:$J,$E:$E,"VRAI",$F:$F,"F",$M:$M,"H")*SUMIFS($J:$J,$E:$E,"VRAI",$F:$F,"G",$I:$I,"H2")</f>
        <v>0</v>
      </c>
      <c r="BU29" s="47">
        <f>SUMIFS($D:$D,$E:$E,"FAUX",$G:$G,"E2",$M:$M,"F",$N:$N,"E*")*SUMIFS($J:$J,$E:$E,"VRAI",$F:$F,"E",$M:$M,"G")*SUMIFS($J:$J,$E:$E,"VRAI",$F:$F,"F",$M:$M,"H")*SUMIFS($J:$J,$E:$E,"VRAI",$F:$F,"G",$I:$I,"H3")</f>
        <v>0</v>
      </c>
      <c r="BV29" s="47">
        <f>SUMIFS($D:$D,$E:$E,"FAUX",$G:$G,"E2",$M:$M,"F",$N:$N,"E*")*SUMIFS($J:$J,$E:$E,"VRAI",$F:$F,"E",$M:$M,"G")*SUMIFS($J:$J,$E:$E,"VRAI",$F:$F,"F",$M:$M,"H")*SUMIFS($J:$J,$E:$E,"VRAI",$F:$F,"G",$I:$I,"H4")</f>
        <v>0</v>
      </c>
      <c r="BW29" s="47">
        <f>SUMIFS($D:$D,$E:$E,"FAUX",$G:$G,"E2",$M:$M,"F",$N:$N,"E*")*SUMIFS($J:$J,$E:$E,"VRAI",$F:$F,"E",$M:$M,"G")*SUMIFS($J:$J,$E:$E,"VRAI",$F:$F,"F",$M:$M,"H")*SUMIFS($J:$J,$E:$E,"VRAI",$F:$F,"G",$I:$I,"H5")</f>
        <v>0</v>
      </c>
      <c r="BX29" s="47">
        <f>SUMIFS($D:$D,$E:$E,"FAUX",$G:$G,"E2",$M:$M,"F",$N:$N,"E*")*SUMIFS($J:$J,$E:$E,"VRAI",$F:$F,"E",$M:$M,"G")*SUMIFS($J:$J,$E:$E,"VRAI",$F:$F,"F",$M:$M,"H")*SUMIFS($J:$J,$E:$E,"VRAI",$F:$F,"G",$I:$I,"H6")</f>
        <v>0</v>
      </c>
      <c r="BY29" s="46">
        <f>SUMIFS($D:$D,$E:$E,"FAUX",$G:$G,"E2",$M:$M,"F",$N:$N,"E*")*SUMIFS($J:$J,$E:$E,"VRAI",$F:$F,"E",$M:$M,"G")*SUMIFS($J:$J,$E:$E,"VRAI",$F:$F,"F",$M:$M,"H")*SUMIFS($J:$J,$E:$E,"VRAI",$F:$F,"G",$M:$M,"I")*SUMIFS($J:$J,$E:$E,"VRAI",$F:$F,"H",$I:$I,"I1")</f>
        <v>0</v>
      </c>
      <c r="BZ29" s="47">
        <f>SUMIFS($D:$D,$E:$E,"FAUX",$G:$G,"E2",$M:$M,"F",$N:$N,"E*")*SUMIFS($J:$J,$E:$E,"VRAI",$F:$F,"E",$M:$M,"G")*SUMIFS($J:$J,$E:$E,"VRAI",$F:$F,"F",$M:$M,"H")*SUMIFS($J:$J,$E:$E,"VRAI",$F:$F,"G",$M:$M,"I")*SUMIFS($J:$J,$E:$E,"VRAI",$F:$F,"H",$I:$I,"I2")</f>
        <v>0</v>
      </c>
      <c r="CA29" s="47">
        <f>SUMIFS($D:$D,$E:$E,"FAUX",$G:$G,"E2",$M:$M,"F",$N:$N,"E*")*SUMIFS($J:$J,$E:$E,"VRAI",$F:$F,"E",$M:$M,"G")*SUMIFS($J:$J,$E:$E,"VRAI",$F:$F,"F",$M:$M,"H")*SUMIFS($J:$J,$E:$E,"VRAI",$F:$F,"G",$M:$M,"I")*SUMIFS($J:$J,$E:$E,"VRAI",$F:$F,"H",$I:$I,"I3")</f>
        <v>0</v>
      </c>
      <c r="CB29" s="47">
        <f>SUMIFS($D:$D,$E:$E,"FAUX",$G:$G,"E2",$M:$M,"F",$N:$N,"E*")*SUMIFS($J:$J,$E:$E,"VRAI",$F:$F,"E",$M:$M,"G")*SUMIFS($J:$J,$E:$E,"VRAI",$F:$F,"F",$M:$M,"H")*SUMIFS($J:$J,$E:$E,"VRAI",$F:$F,"G",$M:$M,"I")*SUMIFS($J:$J,$E:$E,"VRAI",$F:$F,"H",$I:$I,"I4")</f>
        <v>0</v>
      </c>
      <c r="CC29" s="47">
        <f>SUMIFS($D:$D,$E:$E,"FAUX",$G:$G,"E2",$M:$M,"F",$N:$N,"E*")*SUMIFS($J:$J,$E:$E,"VRAI",$F:$F,"E",$M:$M,"G")*SUMIFS($J:$J,$E:$E,"VRAI",$F:$F,"F",$M:$M,"H")*SUMIFS($J:$J,$E:$E,"VRAI",$F:$F,"G",$M:$M,"I")*SUMIFS($J:$J,$E:$E,"VRAI",$F:$F,"H",$I:$I,"I5")</f>
        <v>0</v>
      </c>
      <c r="CD29" s="47">
        <f>SUMIFS($D:$D,$E:$E,"FAUX",$G:$G,"E2",$M:$M,"F",$N:$N,"E*")*SUMIFS($J:$J,$E:$E,"VRAI",$F:$F,"E",$M:$M,"G")*SUMIFS($J:$J,$E:$E,"VRAI",$F:$F,"F",$M:$M,"H")*SUMIFS($J:$J,$E:$E,"VRAI",$F:$F,"G",$M:$M,"I")*SUMIFS($J:$J,$E:$E,"VRAI",$F:$F,"H",$I:$I,"I6")</f>
        <v>0</v>
      </c>
      <c r="CE29" s="46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29" s="46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29" s="47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29" s="48">
        <f>SUMIFS($D:$D,$E:$E,"FAUX",$G:$G,"E2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0" spans="1:94">
      <c r="A30" s="35" t="s">
        <v>9</v>
      </c>
      <c r="B30" s="35">
        <v>1</v>
      </c>
      <c r="C30" s="35">
        <v>3</v>
      </c>
      <c r="D30" s="35">
        <v>557</v>
      </c>
      <c r="E30" s="35" t="b">
        <v>1</v>
      </c>
      <c r="F30" s="35" t="s">
        <v>8</v>
      </c>
      <c r="G30" s="53" t="str">
        <f t="shared" si="0"/>
        <v>B1</v>
      </c>
      <c r="H30" s="52" t="str">
        <f t="shared" si="5"/>
        <v>A</v>
      </c>
      <c r="I30" s="41" t="str">
        <f t="shared" si="1"/>
        <v>B3</v>
      </c>
      <c r="J30" s="42">
        <f t="shared" si="2"/>
        <v>0.57900207900207901</v>
      </c>
      <c r="K30" s="41">
        <f t="shared" si="6"/>
        <v>962</v>
      </c>
      <c r="L30" s="41" t="str">
        <f t="shared" si="3"/>
        <v>B1</v>
      </c>
      <c r="M30" s="41" t="str">
        <f t="shared" si="7"/>
        <v>C</v>
      </c>
      <c r="N30" s="41" t="str">
        <f>IFERROR(VLOOKUP(I30,L30:L:L,1,FALSE),"")</f>
        <v>B3</v>
      </c>
      <c r="O30" s="56" t="str">
        <f t="shared" si="8"/>
        <v>B_1_3</v>
      </c>
      <c r="U30" t="s">
        <v>19</v>
      </c>
      <c r="V30">
        <f>SUMIFS(D:D,A:A,"D",B:B,"3")</f>
        <v>1241</v>
      </c>
      <c r="Z30" t="e">
        <f t="shared" si="9"/>
        <v>#N/A</v>
      </c>
      <c r="AA30" t="str">
        <f t="shared" si="10"/>
        <v>E3</v>
      </c>
      <c r="AB30" t="s">
        <v>47</v>
      </c>
      <c r="AC30" s="46">
        <f>SUMIFS($D:$D,$E:$E,"FAUX",$G:$G,"E3",$M:$M,"D",$N:$N,"E*")*SUMIFS($J:$J,$E:$E,"VRAI",$F:$F,"D",$M:$M,"B")*SUMIFS($J:$J,$E:$E,"VRAI",$F:$F,"C",$M:$M,"A")*SUMIFS($J:$J,$E:$E,"VRAI",$F:$F,"E",$M:$M,"C")*SUMIFS($J:$J,$E:$E,"VRAI",$H:$H,"B",$I:$I,"A1")</f>
        <v>39.460878092680581</v>
      </c>
      <c r="AD30" s="47">
        <f>SUMIFS($D:$D,$E:$E,"FAUX",$G:$G,"E3",$M:$M,"D",$N:$N,"E*")*SUMIFS($J:$J,$E:$E,"VRAI",$F:$F,"D",$M:$M,"B")*SUMIFS($J:$J,$E:$E,"VRAI",$F:$F,"C",$M:$M,"A")*SUMIFS($J:$J,$E:$E,"VRAI",$F:$F,"E",$M:$M,"C")*SUMIFS($J:$J,$E:$E,"VRAI",$H:$H,"B",$I:$I,"A2")</f>
        <v>0</v>
      </c>
      <c r="AE30" s="47">
        <f>SUMIFS($D:$D,$E:$E,"FAUX",$G:$G,"E3",$M:$M,"D",$N:$N,"E*")*SUMIFS($J:$J,$E:$E,"VRAI",$F:$F,"D",$M:$M,"B")*SUMIFS($J:$J,$E:$E,"VRAI",$F:$F,"C",$M:$M,"A")*SUMIFS($J:$J,$E:$E,"VRAI",$F:$F,"E",$M:$M,"C")*SUMIFS($J:$J,$E:$E,"VRAI",$H:$H,"B",$I:$I,"A3")</f>
        <v>25.017386795359638</v>
      </c>
      <c r="AF30" s="47">
        <f>SUMIFS($D:$D,$E:$E,"FAUX",$G:$G,"E3",$M:$M,"D",$N:$N,"E*")*SUMIFS($J:$J,$E:$E,"VRAI",$F:$F,"D",$M:$M,"B")*SUMIFS($J:$J,$E:$E,"VRAI",$F:$F,"C",$M:$M,"A")*SUMIFS($J:$J,$E:$E,"VRAI",$F:$F,"E",$M:$M,"C")*SUMIFS($J:$J,$E:$E,"VRAI",$H:$H,"B",$I:$I,"A4")</f>
        <v>0</v>
      </c>
      <c r="AG30" s="47">
        <f>SUMIFS($D:$D,$E:$E,"FAUX",$G:$G,"E3",$M:$M,"D",$N:$N,"E*")*SUMIFS($J:$J,$E:$E,"VRAI",$F:$F,"D",$M:$M,"B")*SUMIFS($J:$J,$E:$E,"VRAI",$F:$F,"C",$M:$M,"A")*SUMIFS($J:$J,$E:$E,"VRAI",$F:$F,"E",$M:$M,"C")*SUMIFS($J:$J,$E:$E,"VRAI",$H:$H,"B",$I:$I,"A5")</f>
        <v>0</v>
      </c>
      <c r="AH30" s="48">
        <f>SUMIFS($D:$D,$E:$E,"FAUX",$G:$G,"E3",$M:$M,"D",$N:$N,"E*")*SUMIFS($J:$J,$E:$E,"VRAI",$F:$F,"D",$M:$M,"B")*SUMIFS($J:$J,$E:$E,"VRAI",$F:$F,"C",$M:$M,"A")*SUMIFS($J:$J,$E:$E,"VRAI",$F:$F,"E",$M:$M,"C")*SUMIFS($J:$J,$E:$E,"VRAI",$H:$H,"B",$I:$I,"A6")</f>
        <v>0</v>
      </c>
      <c r="AI30" s="46">
        <f>SUMIFS($D:$D,$E:$E,"FAUX",$G:$G,"E3",$M:$M,"D",$N:$N,"E*")*SUMIFS($J:$J,$E:$E,"VRAI",$F:$F,"E",$M:$M,"C")*SUMIFS($J:$J,$E:$E,"VRAI",$F:$F,"F",$M:$M,"D")*SUMIFS($J:$J,$E:$E,"VRAI",$H:$H,"C",$I:$I,"B1")</f>
        <v>56.392731671249223</v>
      </c>
      <c r="AJ30" s="47">
        <f>SUMIFS($D:$D,$E:$E,"FAUX",$G:$G,"E3",$M:$M,"D",$N:$N,"E*")*SUMIFS($J:$J,$E:$E,"VRAI",$F:$F,"E",$M:$M,"C")*SUMIFS($J:$J,$E:$E,"VRAI",$F:$F,"F",$M:$M,"D")*SUMIFS($J:$J,$E:$E,"VRAI",$H:$H,"C",$I:$I,"B2")</f>
        <v>0</v>
      </c>
      <c r="AK30" s="47">
        <f>SUMIFS($D:$D,$E:$E,"FAUX",$G:$G,"E3",$M:$M,"D",$N:$N,"E*")*SUMIFS($J:$J,$E:$E,"VRAI",$F:$F,"E",$M:$M,"C")*SUMIFS($J:$J,$E:$E,"VRAI",$F:$F,"F",$M:$M,"D")*SUMIFS($J:$J,$E:$E,"VRAI",$H:$H,"C",$I:$I,"B3")</f>
        <v>0</v>
      </c>
      <c r="AL30" s="47">
        <f>SUMIFS($D:$D,$E:$E,"FAUX",$G:$G,"E3",$M:$M,"D",$N:$N,"E*")*SUMIFS($J:$J,$E:$E,"VRAI",$F:$F,"E",$M:$M,"C")*SUMIFS($J:$J,$E:$E,"VRAI",$F:$F,"F",$M:$M,"D")*SUMIFS($J:$J,$E:$E,"VRAI",$H:$H,"C",$I:$I,"B4")</f>
        <v>4.5467064043004797</v>
      </c>
      <c r="AM30" s="47">
        <f>SUMIFS($D:$D,$E:$E,"FAUX",$G:$G,"E3",$M:$M,"D",$N:$N,"E*")*SUMIFS($J:$J,$E:$E,"VRAI",$F:$F,"E",$M:$M,"C")*SUMIFS($J:$J,$E:$E,"VRAI",$F:$F,"F",$M:$M,"D")*SUMIFS($J:$J,$E:$E,"VRAI",$H:$H,"C",$I:$I,"B5")</f>
        <v>0</v>
      </c>
      <c r="AN30" s="48">
        <f>SUMIFS($D:$D,$E:$E,"FAUX",$G:$G,"E3",$M:$M,"D",$N:$N,"E*")*SUMIFS($J:$J,$E:$E,"VRAI",$F:$F,"E",$M:$M,"C")*SUMIFS($J:$J,$E:$E,"VRAI",$F:$F,"F",$M:$M,"D")*SUMIFS($J:$J,$E:$E,"VRAI",$H:$H,"C",$I:$I,"B6")</f>
        <v>0</v>
      </c>
      <c r="AO30" s="46">
        <f>SUMIFS($D:$D,$E:$E,"FAUX",$G:$G,"E3",$M:$M,"D",$N:$N,"E*")*SUMIFS($J:$J,$E:$E,"VRAI",$F:$F,"E",$M:$M,"C")*SUMIFS($J:$J,$E:$E,"VRAI",$H:$H,"D",$I:$I,"C1")</f>
        <v>69.676873489121675</v>
      </c>
      <c r="AP30" s="47">
        <f>SUMIFS($D:$D,$E:$E,"FAUX",$G:$G,"E3",$M:$M,"D",$N:$N,"E*")*SUMIFS($J:$J,$E:$E,"VRAI",$F:$F,"E",$M:$M,"C")*SUMIFS($J:$J,$E:$E,"VRAI",$H:$H,"D",$I:$I,"C2")</f>
        <v>0</v>
      </c>
      <c r="AQ30" s="47">
        <f>SUMIFS($D:$D,$E:$E,"FAUX",$G:$G,"E3",$M:$M,"D",$N:$N,"E*")*SUMIFS($J:$J,$E:$E,"VRAI",$F:$F,"E",$M:$M,"C")*SUMIFS($J:$J,$E:$E,"VRAI",$H:$H,"D",$I:$I,"C3")</f>
        <v>0</v>
      </c>
      <c r="AR30" s="47">
        <f>SUMIFS($D:$D,$E:$E,"FAUX",$G:$G,"E3",$M:$M,"D",$N:$N,"E*")*SUMIFS($J:$J,$E:$E,"VRAI",$F:$F,"E",$M:$M,"C")*SUMIFS($J:$J,$E:$E,"VRAI",$H:$H,"D",$I:$I,"C4")</f>
        <v>0</v>
      </c>
      <c r="AS30" s="47">
        <f>SUMIFS($D:$D,$E:$E,"FAUX",$G:$G,"E3",$M:$M,"D",$N:$N,"E*")*SUMIFS($J:$J,$E:$E,"VRAI",$F:$F,"E",$M:$M,"C")*SUMIFS($J:$J,$E:$E,"VRAI",$H:$H,"D",$I:$I,"C5")</f>
        <v>0</v>
      </c>
      <c r="AT30" s="48">
        <f>SUMIFS($D:$D,$E:$E,"FAUX",$G:$G,"E3",$M:$M,"D",$N:$N,"E*")*SUMIFS($J:$J,$E:$E,"VRAI",$F:$F,"E",$M:$M,"C")*SUMIFS($J:$J,$E:$E,"VRAI",$H:$H,"D",$I:$I,"C6")</f>
        <v>0</v>
      </c>
      <c r="AU30" s="46">
        <f>SUMIFS($D:$D,$E:$E,"FAUX",$G:$G,"E3",$M:$M,"D",$N:$N,"E*")*SUMIFS($J:$J,$E:$E,"VRAI",$I:$I,"D1",$F:$F,"E")</f>
        <v>69.676873489121675</v>
      </c>
      <c r="AV30" s="47">
        <f>SUMIFS($D:$D,$E:$E,"FAUX",$G:$G,"E3",$M:$M,"D",$N:$N,"E*")*SUMIFS($J:$J,$E:$E,"VRAI",$I:$I,"D2",$F:$F,"E")</f>
        <v>30.321514907332794</v>
      </c>
      <c r="AW30" s="47">
        <f>SUMIFS($D:$D,$E:$E,"FAUX",$G:$G,"E3",$M:$M,"D",$N:$N,"E*")*SUMIFS($J:$J,$E:$E,"VRAI",$I:$I,"D3",$F:$F,"E")</f>
        <v>0</v>
      </c>
      <c r="AX30" s="47">
        <f>SUMIFS($D:$D,$E:$E,"FAUX",$G:$G,"E3",$M:$M,"D",$N:$N,"E*")*SUMIFS($J:$J,$E:$E,"VRAI",$I:$I,"D4",$F:$F,"E")</f>
        <v>11.001611603545527</v>
      </c>
      <c r="AY30" s="47">
        <f>SUMIFS($D:$D,$E:$E,"FAUX",$G:$G,"E3",$M:$M,"D",$N:$N,"E*")*SUMIFS($J:$J,$E:$E,"VRAI",$I:$I,"D5",$F:$F,"E")</f>
        <v>0</v>
      </c>
      <c r="AZ30" s="48">
        <f>SUMIFS($D:$D,$E:$E,"FAUX",$G:$G,"E3",$M:$M,"D",$N:$N,"E*")*SUMIFS($J:$J,$E:$E,"VRAI",$I:$I,"D6",$F:$F,"E")</f>
        <v>0</v>
      </c>
      <c r="BA30" s="39">
        <f>SUMIFS($D:$D,$O:$O,"E_3_1")</f>
        <v>111</v>
      </c>
      <c r="BB30" s="39">
        <f>SUMIFS($D:$D,$O:$O,"E_3_2")</f>
        <v>81</v>
      </c>
      <c r="BC30" s="39">
        <f>SUMIFS($D:$D,$O:$O,"E_3_3")</f>
        <v>0</v>
      </c>
      <c r="BD30" s="39">
        <f>SUMIFS($D:$D,$O:$O,"E_3_4")</f>
        <v>0</v>
      </c>
      <c r="BE30" s="39">
        <f>SUMIFS($D:$D,$O:$O,"E_3_5")</f>
        <v>0</v>
      </c>
      <c r="BF30" s="39">
        <f>SUMIFS($D:$D,$O:$O,"E_3_6")</f>
        <v>0</v>
      </c>
      <c r="BG30" s="46">
        <f>SUMIFS($D:$D,$E:$E,"FAUX",$G:$G,"E3",$M:$M,"F",$N:$N,"E*")*SUMIFS($J:$J,$O:$O,"F_1_1")</f>
        <v>0</v>
      </c>
      <c r="BH30" s="47">
        <f>SUMIFS($D:$D,$E:$E,"FAUX",$G:$G,"E3",$M:$M,"F",$N:$N,"E*")*SUMIFS($J:$J,$O:$O,"F_1_2")</f>
        <v>4.8983347940403155</v>
      </c>
      <c r="BI30" s="47">
        <f>SUMIFS($D:$D,$E:$E,"FAUX",$G:$G,"E3",$M:$M,"F",$N:$N,"E*")*SUMIFS($J:$J,$O:$O,"F_1_3")</f>
        <v>65.595092024539881</v>
      </c>
      <c r="BJ30" s="47">
        <f>SUMIFS($D:$D,$E:$E,"FAUX",$G:$G,"E3",$M:$M,"F",$N:$N,"E*")*SUMIFS($J:$J,$O:$O,"F_1_4")</f>
        <v>10.506573181419807</v>
      </c>
      <c r="BK30" s="47">
        <f>SUMIFS($D:$D,$E:$E,"FAUX",$G:$G,"E3",$M:$M,"F",$N:$N,"E*")*SUMIFS($J:$J,$O:$O,"F_1_5")</f>
        <v>0</v>
      </c>
      <c r="BL30" s="47">
        <f>SUMIFS($D:$D,$E:$E,"FAUX",$G:$G,"E3",$M:$M,"F",$N:$N,"E*")*SUMIFS($J:$J,$O:$O,"F_1_6")</f>
        <v>0</v>
      </c>
      <c r="BM30" s="46">
        <f>SUMIFS($D:$D,$E:$E,"FAUX",$G:$G,"E3",$M:$M,"F",$N:$N,"E*")*SUMIFS($J:$J,$E:$E,"VRAI",$F:$F,"E",$M:$M,"G")*SUMIFS($J:$J,$E:$E,"VRAI",$F:$F,"F",$I:$I,"G1")</f>
        <v>0</v>
      </c>
      <c r="BN30" s="47">
        <f>SUMIFS($D:$D,$E:$E,"FAUX",$G:$G,"E3",$M:$M,"F",$N:$N,"E*")*SUMIFS($J:$J,$E:$E,"VRAI",$F:$F,"E",$M:$M,"G")*SUMIFS($J:$J,$E:$E,"VRAI",$F:$F,"F",$I:$I,"G2")</f>
        <v>65.112331457661938</v>
      </c>
      <c r="BO30" s="47">
        <f>SUMIFS($D:$D,$E:$E,"FAUX",$G:$G,"E3",$M:$M,"F",$N:$N,"E*")*SUMIFS($J:$J,$E:$E,"VRAI",$F:$F,"E",$M:$M,"G")*SUMIFS($J:$J,$E:$E,"VRAI",$F:$F,"F",$I:$I,"G3")</f>
        <v>0.48276056687793839</v>
      </c>
      <c r="BP30" s="47">
        <f>SUMIFS($D:$D,$E:$E,"FAUX",$G:$G,"E3",$M:$M,"F",$N:$N,"E*")*SUMIFS($J:$J,$E:$E,"VRAI",$F:$F,"E",$M:$M,"G")*SUMIFS($J:$J,$E:$E,"VRAI",$F:$F,"F",$I:$I,"G4")</f>
        <v>0</v>
      </c>
      <c r="BQ30" s="47">
        <f>SUMIFS($D:$D,$E:$E,"FAUX",$G:$G,"E3",$M:$M,"F",$N:$N,"E*")*SUMIFS($J:$J,$E:$E,"VRAI",$F:$F,"E",$M:$M,"G")*SUMIFS($J:$J,$E:$E,"VRAI",$F:$F,"F",$I:$I,"G5")</f>
        <v>0</v>
      </c>
      <c r="BR30" s="48">
        <f>SUMIFS($D:$D,$E:$E,"FAUX",$G:$G,"E3",$M:$M,"F",$N:$N,"E*")*SUMIFS($J:$J,$E:$E,"VRAI",$F:$F,"E",$M:$M,"G")*SUMIFS($J:$J,$E:$E,"VRAI",$F:$F,"F",$I:$I,"G6")</f>
        <v>0</v>
      </c>
      <c r="BS30" s="46">
        <f>SUMIFS($D:$D,$E:$E,"FAUX",$G:$G,"E3",$M:$M,"F",$N:$N,"E*")*SUMIFS($J:$J,$E:$E,"VRAI",$F:$F,"E",$M:$M,"G")*SUMIFS($J:$J,$E:$E,"VRAI",$F:$F,"F",$M:$M,"H")*SUMIFS($J:$J,$E:$E,"VRAI",$F:$F,"G",$I:$I,"H1")</f>
        <v>0</v>
      </c>
      <c r="BT30" s="47">
        <f>SUMIFS($D:$D,$E:$E,"FAUX",$G:$G,"E3",$M:$M,"F",$N:$N,"E*")*SUMIFS($J:$J,$E:$E,"VRAI",$F:$F,"E",$M:$M,"G")*SUMIFS($J:$J,$E:$E,"VRAI",$F:$F,"F",$M:$M,"H")*SUMIFS($J:$J,$E:$E,"VRAI",$F:$F,"G",$I:$I,"H2")</f>
        <v>0</v>
      </c>
      <c r="BU30" s="47">
        <f>SUMIFS($D:$D,$E:$E,"FAUX",$G:$G,"E3",$M:$M,"F",$N:$N,"E*")*SUMIFS($J:$J,$E:$E,"VRAI",$F:$F,"E",$M:$M,"G")*SUMIFS($J:$J,$E:$E,"VRAI",$F:$F,"F",$M:$M,"H")*SUMIFS($J:$J,$E:$E,"VRAI",$F:$F,"G",$I:$I,"H3")</f>
        <v>59.270371405275895</v>
      </c>
      <c r="BV30" s="47">
        <f>SUMIFS($D:$D,$E:$E,"FAUX",$G:$G,"E3",$M:$M,"F",$N:$N,"E*")*SUMIFS($J:$J,$E:$E,"VRAI",$F:$F,"E",$M:$M,"G")*SUMIFS($J:$J,$E:$E,"VRAI",$F:$F,"F",$M:$M,"H")*SUMIFS($J:$J,$E:$E,"VRAI",$F:$F,"G",$I:$I,"H4")</f>
        <v>5.8419600523860451</v>
      </c>
      <c r="BW30" s="47">
        <f>SUMIFS($D:$D,$E:$E,"FAUX",$G:$G,"E3",$M:$M,"F",$N:$N,"E*")*SUMIFS($J:$J,$E:$E,"VRAI",$F:$F,"E",$M:$M,"G")*SUMIFS($J:$J,$E:$E,"VRAI",$F:$F,"F",$M:$M,"H")*SUMIFS($J:$J,$E:$E,"VRAI",$F:$F,"G",$I:$I,"H5")</f>
        <v>0</v>
      </c>
      <c r="BX30" s="47">
        <f>SUMIFS($D:$D,$E:$E,"FAUX",$G:$G,"E3",$M:$M,"F",$N:$N,"E*")*SUMIFS($J:$J,$E:$E,"VRAI",$F:$F,"E",$M:$M,"G")*SUMIFS($J:$J,$E:$E,"VRAI",$F:$F,"F",$M:$M,"H")*SUMIFS($J:$J,$E:$E,"VRAI",$F:$F,"G",$I:$I,"H6")</f>
        <v>0</v>
      </c>
      <c r="BY30" s="46">
        <f>SUMIFS($D:$D,$E:$E,"FAUX",$G:$G,"E3",$M:$M,"F",$N:$N,"E*")*SUMIFS($J:$J,$E:$E,"VRAI",$F:$F,"E",$M:$M,"G")*SUMIFS($J:$J,$E:$E,"VRAI",$F:$F,"F",$M:$M,"H")*SUMIFS($J:$J,$E:$E,"VRAI",$F:$F,"G",$M:$M,"I")*SUMIFS($J:$J,$E:$E,"VRAI",$F:$F,"H",$I:$I,"I1")</f>
        <v>0</v>
      </c>
      <c r="BZ30" s="47">
        <f>SUMIFS($D:$D,$E:$E,"FAUX",$G:$G,"E3",$M:$M,"F",$N:$N,"E*")*SUMIFS($J:$J,$E:$E,"VRAI",$F:$F,"E",$M:$M,"G")*SUMIFS($J:$J,$E:$E,"VRAI",$F:$F,"F",$M:$M,"H")*SUMIFS($J:$J,$E:$E,"VRAI",$F:$F,"G",$M:$M,"I")*SUMIFS($J:$J,$E:$E,"VRAI",$F:$F,"H",$I:$I,"I2")</f>
        <v>59.270371405275895</v>
      </c>
      <c r="CA30" s="47">
        <f>SUMIFS($D:$D,$E:$E,"FAUX",$G:$G,"E3",$M:$M,"F",$N:$N,"E*")*SUMIFS($J:$J,$E:$E,"VRAI",$F:$F,"E",$M:$M,"G")*SUMIFS($J:$J,$E:$E,"VRAI",$F:$F,"F",$M:$M,"H")*SUMIFS($J:$J,$E:$E,"VRAI",$F:$F,"G",$M:$M,"I")*SUMIFS($J:$J,$E:$E,"VRAI",$F:$F,"H",$I:$I,"I3")</f>
        <v>0</v>
      </c>
      <c r="CB30" s="47">
        <f>SUMIFS($D:$D,$E:$E,"FAUX",$G:$G,"E3",$M:$M,"F",$N:$N,"E*")*SUMIFS($J:$J,$E:$E,"VRAI",$F:$F,"E",$M:$M,"G")*SUMIFS($J:$J,$E:$E,"VRAI",$F:$F,"F",$M:$M,"H")*SUMIFS($J:$J,$E:$E,"VRAI",$F:$F,"G",$M:$M,"I")*SUMIFS($J:$J,$E:$E,"VRAI",$F:$F,"H",$I:$I,"I4")</f>
        <v>0</v>
      </c>
      <c r="CC30" s="47">
        <f>SUMIFS($D:$D,$E:$E,"FAUX",$G:$G,"E3",$M:$M,"F",$N:$N,"E*")*SUMIFS($J:$J,$E:$E,"VRAI",$F:$F,"E",$M:$M,"G")*SUMIFS($J:$J,$E:$E,"VRAI",$F:$F,"F",$M:$M,"H")*SUMIFS($J:$J,$E:$E,"VRAI",$F:$F,"G",$M:$M,"I")*SUMIFS($J:$J,$E:$E,"VRAI",$F:$F,"H",$I:$I,"I5")</f>
        <v>0</v>
      </c>
      <c r="CD30" s="47">
        <f>SUMIFS($D:$D,$E:$E,"FAUX",$G:$G,"E3",$M:$M,"F",$N:$N,"E*")*SUMIFS($J:$J,$E:$E,"VRAI",$F:$F,"E",$M:$M,"G")*SUMIFS($J:$J,$E:$E,"VRAI",$F:$F,"F",$M:$M,"H")*SUMIFS($J:$J,$E:$E,"VRAI",$F:$F,"G",$M:$M,"I")*SUMIFS($J:$J,$E:$E,"VRAI",$F:$F,"H",$I:$I,"I6")</f>
        <v>0</v>
      </c>
      <c r="CE30" s="46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2")</f>
        <v>10.226376087179164</v>
      </c>
      <c r="CG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3")</f>
        <v>39.030668732733801</v>
      </c>
      <c r="CH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4")</f>
        <v>10.013326585362931</v>
      </c>
      <c r="CI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30" s="46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23.833219941147597</v>
      </c>
      <c r="CM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15.197448791586204</v>
      </c>
      <c r="CN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0" s="47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0" s="48">
        <f>SUMIFS($D:$D,$E:$E,"FAUX",$G:$G,"E3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1" spans="1:94">
      <c r="A31" s="35" t="s">
        <v>9</v>
      </c>
      <c r="B31" s="35">
        <v>1</v>
      </c>
      <c r="C31" s="35">
        <v>4</v>
      </c>
      <c r="D31" s="35">
        <v>405</v>
      </c>
      <c r="E31" s="35" t="b">
        <v>1</v>
      </c>
      <c r="F31" s="35" t="s">
        <v>8</v>
      </c>
      <c r="G31" s="53" t="str">
        <f t="shared" si="0"/>
        <v>B1</v>
      </c>
      <c r="H31" s="52" t="str">
        <f t="shared" si="5"/>
        <v>A</v>
      </c>
      <c r="I31" s="41" t="str">
        <f t="shared" si="1"/>
        <v>B4</v>
      </c>
      <c r="J31" s="42">
        <f t="shared" si="2"/>
        <v>0.42099792099792099</v>
      </c>
      <c r="K31" s="41">
        <f t="shared" si="6"/>
        <v>962</v>
      </c>
      <c r="L31" s="41" t="str">
        <f t="shared" si="3"/>
        <v>B1</v>
      </c>
      <c r="M31" s="41" t="str">
        <f t="shared" si="7"/>
        <v/>
      </c>
      <c r="N31" s="41" t="str">
        <f>IFERROR(VLOOKUP(I31,L31:L:L,1,FALSE),"")</f>
        <v/>
      </c>
      <c r="O31" s="56" t="str">
        <f t="shared" si="8"/>
        <v>B_1_4</v>
      </c>
      <c r="U31" t="s">
        <v>20</v>
      </c>
      <c r="V31">
        <f>SUMIFS(D:D,A:A,"D",B:B,"4")</f>
        <v>0</v>
      </c>
      <c r="Z31" t="e">
        <f t="shared" si="9"/>
        <v>#N/A</v>
      </c>
      <c r="AA31" t="str">
        <f t="shared" si="10"/>
        <v>E4</v>
      </c>
      <c r="AB31" t="s">
        <v>48</v>
      </c>
      <c r="AC31" s="46">
        <f>SUMIFS($D:$D,$E:$E,"FAUX",$G:$G,"E4",$M:$M,"D",$N:$N,"E*")*SUMIFS($J:$J,$E:$E,"VRAI",$F:$F,"D",$M:$M,"B")*SUMIFS($J:$J,$E:$E,"VRAI",$F:$F,"C",$M:$M,"A")*SUMIFS($J:$J,$E:$E,"VRAI",$F:$F,"E",$M:$M,"C")*SUMIFS($J:$J,$E:$E,"VRAI",$H:$H,"B",$I:$I,"A1")</f>
        <v>10.309598780970601</v>
      </c>
      <c r="AD31" s="47">
        <f>SUMIFS($D:$D,$E:$E,"FAUX",$G:$G,"E4",$M:$M,"D",$N:$N,"E*")*SUMIFS($J:$J,$E:$E,"VRAI",$F:$F,"D",$M:$M,"B")*SUMIFS($J:$J,$E:$E,"VRAI",$F:$F,"C",$M:$M,"A")*SUMIFS($J:$J,$E:$E,"VRAI",$F:$F,"E",$M:$M,"C")*SUMIFS($J:$J,$E:$E,"VRAI",$H:$H,"B",$I:$I,"A2")</f>
        <v>0</v>
      </c>
      <c r="AE31" s="47">
        <f>SUMIFS($D:$D,$E:$E,"FAUX",$G:$G,"E4",$M:$M,"D",$N:$N,"E*")*SUMIFS($J:$J,$E:$E,"VRAI",$F:$F,"D",$M:$M,"B")*SUMIFS($J:$J,$E:$E,"VRAI",$F:$F,"C",$M:$M,"A")*SUMIFS($J:$J,$E:$E,"VRAI",$F:$F,"E",$M:$M,"C")*SUMIFS($J:$J,$E:$E,"VRAI",$H:$H,"B",$I:$I,"A3")</f>
        <v>6.5360740276164817</v>
      </c>
      <c r="AF31" s="47">
        <f>SUMIFS($D:$D,$E:$E,"FAUX",$G:$G,"E4",$M:$M,"D",$N:$N,"E*")*SUMIFS($J:$J,$E:$E,"VRAI",$F:$F,"D",$M:$M,"B")*SUMIFS($J:$J,$E:$E,"VRAI",$F:$F,"C",$M:$M,"A")*SUMIFS($J:$J,$E:$E,"VRAI",$F:$F,"E",$M:$M,"C")*SUMIFS($J:$J,$E:$E,"VRAI",$H:$H,"B",$I:$I,"A4")</f>
        <v>0</v>
      </c>
      <c r="AG31" s="47">
        <f>SUMIFS($D:$D,$E:$E,"FAUX",$G:$G,"E4",$M:$M,"D",$N:$N,"E*")*SUMIFS($J:$J,$E:$E,"VRAI",$F:$F,"D",$M:$M,"B")*SUMIFS($J:$J,$E:$E,"VRAI",$F:$F,"C",$M:$M,"A")*SUMIFS($J:$J,$E:$E,"VRAI",$F:$F,"E",$M:$M,"C")*SUMIFS($J:$J,$E:$E,"VRAI",$H:$H,"B",$I:$I,"A5")</f>
        <v>0</v>
      </c>
      <c r="AH31" s="48">
        <f>SUMIFS($D:$D,$E:$E,"FAUX",$G:$G,"E4",$M:$M,"D",$N:$N,"E*")*SUMIFS($J:$J,$E:$E,"VRAI",$F:$F,"D",$M:$M,"B")*SUMIFS($J:$J,$E:$E,"VRAI",$F:$F,"C",$M:$M,"A")*SUMIFS($J:$J,$E:$E,"VRAI",$F:$F,"E",$M:$M,"C")*SUMIFS($J:$J,$E:$E,"VRAI",$H:$H,"B",$I:$I,"A6")</f>
        <v>0</v>
      </c>
      <c r="AI31" s="46">
        <f>SUMIFS($D:$D,$E:$E,"FAUX",$G:$G,"E4",$M:$M,"D",$N:$N,"E*")*SUMIFS($J:$J,$E:$E,"VRAI",$F:$F,"E",$M:$M,"C")*SUMIFS($J:$J,$E:$E,"VRAI",$F:$F,"F",$M:$M,"D")*SUMIFS($J:$J,$E:$E,"VRAI",$H:$H,"C",$I:$I,"B1")</f>
        <v>14.733236202398446</v>
      </c>
      <c r="AJ31" s="47">
        <f>SUMIFS($D:$D,$E:$E,"FAUX",$G:$G,"E4",$M:$M,"D",$N:$N,"E*")*SUMIFS($J:$J,$E:$E,"VRAI",$F:$F,"E",$M:$M,"C")*SUMIFS($J:$J,$E:$E,"VRAI",$F:$F,"F",$M:$M,"D")*SUMIFS($J:$J,$E:$E,"VRAI",$H:$H,"C",$I:$I,"B2")</f>
        <v>0</v>
      </c>
      <c r="AK31" s="47">
        <f>SUMIFS($D:$D,$E:$E,"FAUX",$G:$G,"E4",$M:$M,"D",$N:$N,"E*")*SUMIFS($J:$J,$E:$E,"VRAI",$F:$F,"E",$M:$M,"C")*SUMIFS($J:$J,$E:$E,"VRAI",$F:$F,"F",$M:$M,"D")*SUMIFS($J:$J,$E:$E,"VRAI",$H:$H,"C",$I:$I,"B3")</f>
        <v>0</v>
      </c>
      <c r="AL31" s="47">
        <f>SUMIFS($D:$D,$E:$E,"FAUX",$G:$G,"E4",$M:$M,"D",$N:$N,"E*")*SUMIFS($J:$J,$E:$E,"VRAI",$F:$F,"E",$M:$M,"C")*SUMIFS($J:$J,$E:$E,"VRAI",$F:$F,"F",$M:$M,"D")*SUMIFS($J:$J,$E:$E,"VRAI",$H:$H,"C",$I:$I,"B4")</f>
        <v>1.1878782497721974</v>
      </c>
      <c r="AM31" s="47">
        <f>SUMIFS($D:$D,$E:$E,"FAUX",$G:$G,"E4",$M:$M,"D",$N:$N,"E*")*SUMIFS($J:$J,$E:$E,"VRAI",$F:$F,"E",$M:$M,"C")*SUMIFS($J:$J,$E:$E,"VRAI",$F:$F,"F",$M:$M,"D")*SUMIFS($J:$J,$E:$E,"VRAI",$H:$H,"C",$I:$I,"B5")</f>
        <v>0</v>
      </c>
      <c r="AN31" s="48">
        <f>SUMIFS($D:$D,$E:$E,"FAUX",$G:$G,"E4",$M:$M,"D",$N:$N,"E*")*SUMIFS($J:$J,$E:$E,"VRAI",$F:$F,"E",$M:$M,"C")*SUMIFS($J:$J,$E:$E,"VRAI",$F:$F,"F",$M:$M,"D")*SUMIFS($J:$J,$E:$E,"VRAI",$H:$H,"C",$I:$I,"B6")</f>
        <v>0</v>
      </c>
      <c r="AO31" s="46">
        <f>SUMIFS($D:$D,$E:$E,"FAUX",$G:$G,"E4",$M:$M,"D",$N:$N,"E*")*SUMIFS($J:$J,$E:$E,"VRAI",$F:$F,"E",$M:$M,"C")*SUMIFS($J:$J,$E:$E,"VRAI",$H:$H,"D",$I:$I,"C1")</f>
        <v>18.203867848509265</v>
      </c>
      <c r="AP31" s="47">
        <f>SUMIFS($D:$D,$E:$E,"FAUX",$G:$G,"E4",$M:$M,"D",$N:$N,"E*")*SUMIFS($J:$J,$E:$E,"VRAI",$F:$F,"E",$M:$M,"C")*SUMIFS($J:$J,$E:$E,"VRAI",$H:$H,"D",$I:$I,"C2")</f>
        <v>0</v>
      </c>
      <c r="AQ31" s="47">
        <f>SUMIFS($D:$D,$E:$E,"FAUX",$G:$G,"E4",$M:$M,"D",$N:$N,"E*")*SUMIFS($J:$J,$E:$E,"VRAI",$F:$F,"E",$M:$M,"C")*SUMIFS($J:$J,$E:$E,"VRAI",$H:$H,"D",$I:$I,"C3")</f>
        <v>0</v>
      </c>
      <c r="AR31" s="47">
        <f>SUMIFS($D:$D,$E:$E,"FAUX",$G:$G,"E4",$M:$M,"D",$N:$N,"E*")*SUMIFS($J:$J,$E:$E,"VRAI",$F:$F,"E",$M:$M,"C")*SUMIFS($J:$J,$E:$E,"VRAI",$H:$H,"D",$I:$I,"C4")</f>
        <v>0</v>
      </c>
      <c r="AS31" s="47">
        <f>SUMIFS($D:$D,$E:$E,"FAUX",$G:$G,"E4",$M:$M,"D",$N:$N,"E*")*SUMIFS($J:$J,$E:$E,"VRAI",$F:$F,"E",$M:$M,"C")*SUMIFS($J:$J,$E:$E,"VRAI",$H:$H,"D",$I:$I,"C5")</f>
        <v>0</v>
      </c>
      <c r="AT31" s="48">
        <f>SUMIFS($D:$D,$E:$E,"FAUX",$G:$G,"E4",$M:$M,"D",$N:$N,"E*")*SUMIFS($J:$J,$E:$E,"VRAI",$F:$F,"E",$M:$M,"C")*SUMIFS($J:$J,$E:$E,"VRAI",$H:$H,"D",$I:$I,"C6")</f>
        <v>0</v>
      </c>
      <c r="AU31" s="46">
        <f>SUMIFS($D:$D,$E:$E,"FAUX",$G:$G,"E4",$M:$M,"D",$N:$N,"E*")*SUMIFS($J:$J,$E:$E,"VRAI",$I:$I,"D1",$F:$F,"E")</f>
        <v>18.203867848509265</v>
      </c>
      <c r="AV31" s="47">
        <f>SUMIFS($D:$D,$E:$E,"FAUX",$G:$G,"E4",$M:$M,"D",$N:$N,"E*")*SUMIFS($J:$J,$E:$E,"VRAI",$I:$I,"D2",$F:$F,"E")</f>
        <v>7.9218372280419009</v>
      </c>
      <c r="AW31" s="47">
        <f>SUMIFS($D:$D,$E:$E,"FAUX",$G:$G,"E4",$M:$M,"D",$N:$N,"E*")*SUMIFS($J:$J,$E:$E,"VRAI",$I:$I,"D3",$F:$F,"E")</f>
        <v>0</v>
      </c>
      <c r="AX31" s="47">
        <f>SUMIFS($D:$D,$E:$E,"FAUX",$G:$G,"E4",$M:$M,"D",$N:$N,"E*")*SUMIFS($J:$J,$E:$E,"VRAI",$I:$I,"D4",$F:$F,"E")</f>
        <v>2.8742949234488315</v>
      </c>
      <c r="AY31" s="47">
        <f>SUMIFS($D:$D,$E:$E,"FAUX",$G:$G,"E4",$M:$M,"D",$N:$N,"E*")*SUMIFS($J:$J,$E:$E,"VRAI",$I:$I,"D5",$F:$F,"E")</f>
        <v>0</v>
      </c>
      <c r="AZ31" s="48">
        <f>SUMIFS($D:$D,$E:$E,"FAUX",$G:$G,"E4",$M:$M,"D",$N:$N,"E*")*SUMIFS($J:$J,$E:$E,"VRAI",$I:$I,"D6",$F:$F,"E")</f>
        <v>0</v>
      </c>
      <c r="BA31" s="39">
        <f>SUMIFS($D:$D,$O:$O,"E_4_1")</f>
        <v>29</v>
      </c>
      <c r="BB31" s="39">
        <f>SUMIFS($D:$D,$O:$O,"E_4_2")</f>
        <v>170</v>
      </c>
      <c r="BC31" s="39">
        <f>SUMIFS($D:$D,$O:$O,"E_4_3")</f>
        <v>40</v>
      </c>
      <c r="BD31" s="39">
        <f>SUMIFS($D:$D,$O:$O,"E_4_4")</f>
        <v>0</v>
      </c>
      <c r="BE31" s="39">
        <f>SUMIFS($D:$D,$O:$O,"E_4_5")</f>
        <v>0</v>
      </c>
      <c r="BF31" s="39">
        <f>SUMIFS($D:$D,$O:$O,"E_4_6")</f>
        <v>0</v>
      </c>
      <c r="BG31" s="46">
        <f>SUMIFS($D:$D,$E:$E,"FAUX",$G:$G,"E4",$M:$M,"F",$N:$N,"E*")*SUMIFS($J:$J,$O:$O,"F_1_1")</f>
        <v>0</v>
      </c>
      <c r="BH31" s="47">
        <f>SUMIFS($D:$D,$E:$E,"FAUX",$G:$G,"E4",$M:$M,"F",$N:$N,"E*")*SUMIFS($J:$J,$O:$O,"F_1_2")</f>
        <v>10.280455740578439</v>
      </c>
      <c r="BI31" s="47">
        <f>SUMIFS($D:$D,$E:$E,"FAUX",$G:$G,"E4",$M:$M,"F",$N:$N,"E*")*SUMIFS($J:$J,$O:$O,"F_1_3")</f>
        <v>137.66871165644173</v>
      </c>
      <c r="BJ31" s="47">
        <f>SUMIFS($D:$D,$E:$E,"FAUX",$G:$G,"E4",$M:$M,"F",$N:$N,"E*")*SUMIFS($J:$J,$O:$O,"F_1_4")</f>
        <v>22.050832602979842</v>
      </c>
      <c r="BK31" s="47">
        <f>SUMIFS($D:$D,$E:$E,"FAUX",$G:$G,"E4",$M:$M,"F",$N:$N,"E*")*SUMIFS($J:$J,$O:$O,"F_1_5")</f>
        <v>0</v>
      </c>
      <c r="BL31" s="47">
        <f>SUMIFS($D:$D,$E:$E,"FAUX",$G:$G,"E4",$M:$M,"F",$N:$N,"E*")*SUMIFS($J:$J,$O:$O,"F_1_6")</f>
        <v>0</v>
      </c>
      <c r="BM31" s="46">
        <f>SUMIFS($D:$D,$E:$E,"FAUX",$G:$G,"E4",$M:$M,"F",$N:$N,"E*")*SUMIFS($J:$J,$E:$E,"VRAI",$F:$F,"E",$M:$M,"G")*SUMIFS($J:$J,$E:$E,"VRAI",$F:$F,"F",$I:$I,"G1")</f>
        <v>0</v>
      </c>
      <c r="BN31" s="47">
        <f>SUMIFS($D:$D,$E:$E,"FAUX",$G:$G,"E4",$M:$M,"F",$N:$N,"E*")*SUMIFS($J:$J,$E:$E,"VRAI",$F:$F,"E",$M:$M,"G")*SUMIFS($J:$J,$E:$E,"VRAI",$F:$F,"F",$I:$I,"G2")</f>
        <v>136.6555104666979</v>
      </c>
      <c r="BO31" s="47">
        <f>SUMIFS($D:$D,$E:$E,"FAUX",$G:$G,"E4",$M:$M,"F",$N:$N,"E*")*SUMIFS($J:$J,$E:$E,"VRAI",$F:$F,"E",$M:$M,"G")*SUMIFS($J:$J,$E:$E,"VRAI",$F:$F,"F",$I:$I,"G3")</f>
        <v>1.0132011897438213</v>
      </c>
      <c r="BP31" s="47">
        <f>SUMIFS($D:$D,$E:$E,"FAUX",$G:$G,"E4",$M:$M,"F",$N:$N,"E*")*SUMIFS($J:$J,$E:$E,"VRAI",$F:$F,"E",$M:$M,"G")*SUMIFS($J:$J,$E:$E,"VRAI",$F:$F,"F",$I:$I,"G4")</f>
        <v>0</v>
      </c>
      <c r="BQ31" s="47">
        <f>SUMIFS($D:$D,$E:$E,"FAUX",$G:$G,"E4",$M:$M,"F",$N:$N,"E*")*SUMIFS($J:$J,$E:$E,"VRAI",$F:$F,"E",$M:$M,"G")*SUMIFS($J:$J,$E:$E,"VRAI",$F:$F,"F",$I:$I,"G5")</f>
        <v>0</v>
      </c>
      <c r="BR31" s="48">
        <f>SUMIFS($D:$D,$E:$E,"FAUX",$G:$G,"E4",$M:$M,"F",$N:$N,"E*")*SUMIFS($J:$J,$E:$E,"VRAI",$F:$F,"E",$M:$M,"G")*SUMIFS($J:$J,$E:$E,"VRAI",$F:$F,"F",$I:$I,"G6")</f>
        <v>0</v>
      </c>
      <c r="BS31" s="46">
        <f>SUMIFS($D:$D,$E:$E,"FAUX",$G:$G,"E4",$M:$M,"F",$N:$N,"E*")*SUMIFS($J:$J,$E:$E,"VRAI",$F:$F,"E",$M:$M,"G")*SUMIFS($J:$J,$E:$E,"VRAI",$F:$F,"F",$M:$M,"H")*SUMIFS($J:$J,$E:$E,"VRAI",$F:$F,"G",$I:$I,"H1")</f>
        <v>0</v>
      </c>
      <c r="BT31" s="47">
        <f>SUMIFS($D:$D,$E:$E,"FAUX",$G:$G,"E4",$M:$M,"F",$N:$N,"E*")*SUMIFS($J:$J,$E:$E,"VRAI",$F:$F,"E",$M:$M,"G")*SUMIFS($J:$J,$E:$E,"VRAI",$F:$F,"F",$M:$M,"H")*SUMIFS($J:$J,$E:$E,"VRAI",$F:$F,"G",$I:$I,"H2")</f>
        <v>0</v>
      </c>
      <c r="BU31" s="47">
        <f>SUMIFS($D:$D,$E:$E,"FAUX",$G:$G,"E4",$M:$M,"F",$N:$N,"E*")*SUMIFS($J:$J,$E:$E,"VRAI",$F:$F,"E",$M:$M,"G")*SUMIFS($J:$J,$E:$E,"VRAI",$F:$F,"F",$M:$M,"H")*SUMIFS($J:$J,$E:$E,"VRAI",$F:$F,"G",$I:$I,"H3")</f>
        <v>124.39460665304819</v>
      </c>
      <c r="BV31" s="47">
        <f>SUMIFS($D:$D,$E:$E,"FAUX",$G:$G,"E4",$M:$M,"F",$N:$N,"E*")*SUMIFS($J:$J,$E:$E,"VRAI",$F:$F,"E",$M:$M,"G")*SUMIFS($J:$J,$E:$E,"VRAI",$F:$F,"F",$M:$M,"H")*SUMIFS($J:$J,$E:$E,"VRAI",$F:$F,"G",$I:$I,"H4")</f>
        <v>12.260903813649724</v>
      </c>
      <c r="BW31" s="47">
        <f>SUMIFS($D:$D,$E:$E,"FAUX",$G:$G,"E4",$M:$M,"F",$N:$N,"E*")*SUMIFS($J:$J,$E:$E,"VRAI",$F:$F,"E",$M:$M,"G")*SUMIFS($J:$J,$E:$E,"VRAI",$F:$F,"F",$M:$M,"H")*SUMIFS($J:$J,$E:$E,"VRAI",$F:$F,"G",$I:$I,"H5")</f>
        <v>0</v>
      </c>
      <c r="BX31" s="47">
        <f>SUMIFS($D:$D,$E:$E,"FAUX",$G:$G,"E4",$M:$M,"F",$N:$N,"E*")*SUMIFS($J:$J,$E:$E,"VRAI",$F:$F,"E",$M:$M,"G")*SUMIFS($J:$J,$E:$E,"VRAI",$F:$F,"F",$M:$M,"H")*SUMIFS($J:$J,$E:$E,"VRAI",$F:$F,"G",$I:$I,"H6")</f>
        <v>0</v>
      </c>
      <c r="BY31" s="46">
        <f>SUMIFS($D:$D,$E:$E,"FAUX",$G:$G,"E4",$M:$M,"F",$N:$N,"E*")*SUMIFS($J:$J,$E:$E,"VRAI",$F:$F,"E",$M:$M,"G")*SUMIFS($J:$J,$E:$E,"VRAI",$F:$F,"F",$M:$M,"H")*SUMIFS($J:$J,$E:$E,"VRAI",$F:$F,"G",$M:$M,"I")*SUMIFS($J:$J,$E:$E,"VRAI",$F:$F,"H",$I:$I,"I1")</f>
        <v>0</v>
      </c>
      <c r="BZ31" s="47">
        <f>SUMIFS($D:$D,$E:$E,"FAUX",$G:$G,"E4",$M:$M,"F",$N:$N,"E*")*SUMIFS($J:$J,$E:$E,"VRAI",$F:$F,"E",$M:$M,"G")*SUMIFS($J:$J,$E:$E,"VRAI",$F:$F,"F",$M:$M,"H")*SUMIFS($J:$J,$E:$E,"VRAI",$F:$F,"G",$M:$M,"I")*SUMIFS($J:$J,$E:$E,"VRAI",$F:$F,"H",$I:$I,"I2")</f>
        <v>124.39460665304819</v>
      </c>
      <c r="CA31" s="47">
        <f>SUMIFS($D:$D,$E:$E,"FAUX",$G:$G,"E4",$M:$M,"F",$N:$N,"E*")*SUMIFS($J:$J,$E:$E,"VRAI",$F:$F,"E",$M:$M,"G")*SUMIFS($J:$J,$E:$E,"VRAI",$F:$F,"F",$M:$M,"H")*SUMIFS($J:$J,$E:$E,"VRAI",$F:$F,"G",$M:$M,"I")*SUMIFS($J:$J,$E:$E,"VRAI",$F:$F,"H",$I:$I,"I3")</f>
        <v>0</v>
      </c>
      <c r="CB31" s="47">
        <f>SUMIFS($D:$D,$E:$E,"FAUX",$G:$G,"E4",$M:$M,"F",$N:$N,"E*")*SUMIFS($J:$J,$E:$E,"VRAI",$F:$F,"E",$M:$M,"G")*SUMIFS($J:$J,$E:$E,"VRAI",$F:$F,"F",$M:$M,"H")*SUMIFS($J:$J,$E:$E,"VRAI",$F:$F,"G",$M:$M,"I")*SUMIFS($J:$J,$E:$E,"VRAI",$F:$F,"H",$I:$I,"I4")</f>
        <v>0</v>
      </c>
      <c r="CC31" s="47">
        <f>SUMIFS($D:$D,$E:$E,"FAUX",$G:$G,"E4",$M:$M,"F",$N:$N,"E*")*SUMIFS($J:$J,$E:$E,"VRAI",$F:$F,"E",$M:$M,"G")*SUMIFS($J:$J,$E:$E,"VRAI",$F:$F,"F",$M:$M,"H")*SUMIFS($J:$J,$E:$E,"VRAI",$F:$F,"G",$M:$M,"I")*SUMIFS($J:$J,$E:$E,"VRAI",$F:$F,"H",$I:$I,"I5")</f>
        <v>0</v>
      </c>
      <c r="CD31" s="47">
        <f>SUMIFS($D:$D,$E:$E,"FAUX",$G:$G,"E4",$M:$M,"F",$N:$N,"E*")*SUMIFS($J:$J,$E:$E,"VRAI",$F:$F,"E",$M:$M,"G")*SUMIFS($J:$J,$E:$E,"VRAI",$F:$F,"F",$M:$M,"H")*SUMIFS($J:$J,$E:$E,"VRAI",$F:$F,"G",$M:$M,"I")*SUMIFS($J:$J,$E:$E,"VRAI",$F:$F,"H",$I:$I,"I6")</f>
        <v>0</v>
      </c>
      <c r="CE31" s="46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2")</f>
        <v>21.462764627413058</v>
      </c>
      <c r="CG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3")</f>
        <v>81.916218327959839</v>
      </c>
      <c r="CH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4")</f>
        <v>21.015623697675288</v>
      </c>
      <c r="CI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31" s="46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50.020338148087554</v>
      </c>
      <c r="CM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31.895880179872286</v>
      </c>
      <c r="CN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1" s="47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1" s="48">
        <f>SUMIFS($D:$D,$E:$E,"FAUX",$G:$G,"E4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2" spans="1:94">
      <c r="A32" s="35" t="s">
        <v>9</v>
      </c>
      <c r="B32" s="35">
        <v>1</v>
      </c>
      <c r="C32" s="35">
        <v>1</v>
      </c>
      <c r="D32" s="35">
        <v>0</v>
      </c>
      <c r="E32" s="35" t="b">
        <v>1</v>
      </c>
      <c r="F32" s="35" t="s">
        <v>8</v>
      </c>
      <c r="G32" s="53" t="str">
        <f t="shared" si="0"/>
        <v>B1</v>
      </c>
      <c r="H32" s="52" t="str">
        <f t="shared" si="5"/>
        <v>A</v>
      </c>
      <c r="I32" s="41" t="str">
        <f t="shared" si="1"/>
        <v>B1</v>
      </c>
      <c r="J32" s="42">
        <f t="shared" si="2"/>
        <v>0</v>
      </c>
      <c r="K32" s="41">
        <f t="shared" si="6"/>
        <v>962</v>
      </c>
      <c r="L32" s="41" t="str">
        <f t="shared" si="3"/>
        <v>B1</v>
      </c>
      <c r="M32" s="41" t="str">
        <f t="shared" si="7"/>
        <v>A</v>
      </c>
      <c r="N32" s="41" t="str">
        <f>IFERROR(VLOOKUP(I32,L32:L:L,1,FALSE),"")</f>
        <v>B1</v>
      </c>
      <c r="O32" s="56" t="str">
        <f t="shared" si="8"/>
        <v>B_1_1</v>
      </c>
      <c r="U32" t="s">
        <v>43</v>
      </c>
      <c r="V32">
        <f>SUMIFS(D:D,A:A,"D",B:B,"5")</f>
        <v>0</v>
      </c>
      <c r="Z32" t="e">
        <f t="shared" si="9"/>
        <v>#N/A</v>
      </c>
      <c r="AA32" t="e">
        <f t="shared" si="10"/>
        <v>#N/A</v>
      </c>
      <c r="AB32" t="s">
        <v>49</v>
      </c>
      <c r="AC32" s="46">
        <f>SUMIFS($D:$D,$E:$E,"FAUX",$G:$G,"E5",$M:$M,"D",$N:$N,"E*")*SUMIFS($J:$J,$E:$E,"VRAI",$F:$F,"D",$M:$M,"B")*SUMIFS($J:$J,$E:$E,"VRAI",$F:$F,"C",$M:$M,"A")*SUMIFS($J:$J,$E:$E,"VRAI",$F:$F,"E",$M:$M,"C")*SUMIFS($J:$J,$E:$E,"VRAI",$H:$H,"B",$I:$I,"A1")</f>
        <v>0</v>
      </c>
      <c r="AD32" s="47">
        <f>SUMIFS($D:$D,$E:$E,"FAUX",$G:$G,"E5",$M:$M,"D",$N:$N,"E*")*SUMIFS($J:$J,$E:$E,"VRAI",$F:$F,"D",$M:$M,"B")*SUMIFS($J:$J,$E:$E,"VRAI",$F:$F,"C",$M:$M,"A")*SUMIFS($J:$J,$E:$E,"VRAI",$F:$F,"E",$M:$M,"C")*SUMIFS($J:$J,$E:$E,"VRAI",$H:$H,"B",$I:$I,"A2")</f>
        <v>0</v>
      </c>
      <c r="AE32" s="47">
        <f>SUMIFS($D:$D,$E:$E,"FAUX",$G:$G,"E5",$M:$M,"D",$N:$N,"E*")*SUMIFS($J:$J,$E:$E,"VRAI",$F:$F,"D",$M:$M,"B")*SUMIFS($J:$J,$E:$E,"VRAI",$F:$F,"C",$M:$M,"A")*SUMIFS($J:$J,$E:$E,"VRAI",$F:$F,"E",$M:$M,"C")*SUMIFS($J:$J,$E:$E,"VRAI",$H:$H,"B",$I:$I,"A3")</f>
        <v>0</v>
      </c>
      <c r="AF32" s="47">
        <f>SUMIFS($D:$D,$E:$E,"FAUX",$G:$G,"E5",$M:$M,"D",$N:$N,"E*")*SUMIFS($J:$J,$E:$E,"VRAI",$F:$F,"D",$M:$M,"B")*SUMIFS($J:$J,$E:$E,"VRAI",$F:$F,"C",$M:$M,"A")*SUMIFS($J:$J,$E:$E,"VRAI",$F:$F,"E",$M:$M,"C")*SUMIFS($J:$J,$E:$E,"VRAI",$H:$H,"B",$I:$I,"A4")</f>
        <v>0</v>
      </c>
      <c r="AG32" s="47">
        <f>SUMIFS($D:$D,$E:$E,"FAUX",$G:$G,"E5",$M:$M,"D",$N:$N,"E*")*SUMIFS($J:$J,$E:$E,"VRAI",$F:$F,"D",$M:$M,"B")*SUMIFS($J:$J,$E:$E,"VRAI",$F:$F,"C",$M:$M,"A")*SUMIFS($J:$J,$E:$E,"VRAI",$F:$F,"E",$M:$M,"C")*SUMIFS($J:$J,$E:$E,"VRAI",$H:$H,"B",$I:$I,"A5")</f>
        <v>0</v>
      </c>
      <c r="AH32" s="48">
        <f>SUMIFS($D:$D,$E:$E,"FAUX",$G:$G,"E5",$M:$M,"D",$N:$N,"E*")*SUMIFS($J:$J,$E:$E,"VRAI",$F:$F,"D",$M:$M,"B")*SUMIFS($J:$J,$E:$E,"VRAI",$F:$F,"C",$M:$M,"A")*SUMIFS($J:$J,$E:$E,"VRAI",$F:$F,"E",$M:$M,"C")*SUMIFS($J:$J,$E:$E,"VRAI",$H:$H,"B",$I:$I,"A6")</f>
        <v>0</v>
      </c>
      <c r="AI32" s="46">
        <f>SUMIFS($D:$D,$E:$E,"FAUX",$G:$G,"E5",$M:$M,"D",$N:$N,"E*")*SUMIFS($J:$J,$E:$E,"VRAI",$F:$F,"E",$M:$M,"C")*SUMIFS($J:$J,$E:$E,"VRAI",$F:$F,"F",$M:$M,"D")*SUMIFS($J:$J,$E:$E,"VRAI",$H:$H,"C",$I:$I,"B1")</f>
        <v>0</v>
      </c>
      <c r="AJ32" s="47">
        <f>SUMIFS($D:$D,$E:$E,"FAUX",$G:$G,"E5",$M:$M,"D",$N:$N,"E*")*SUMIFS($J:$J,$E:$E,"VRAI",$F:$F,"E",$M:$M,"C")*SUMIFS($J:$J,$E:$E,"VRAI",$F:$F,"F",$M:$M,"D")*SUMIFS($J:$J,$E:$E,"VRAI",$H:$H,"C",$I:$I,"B2")</f>
        <v>0</v>
      </c>
      <c r="AK32" s="47">
        <f>SUMIFS($D:$D,$E:$E,"FAUX",$G:$G,"E5",$M:$M,"D",$N:$N,"E*")*SUMIFS($J:$J,$E:$E,"VRAI",$F:$F,"E",$M:$M,"C")*SUMIFS($J:$J,$E:$E,"VRAI",$F:$F,"F",$M:$M,"D")*SUMIFS($J:$J,$E:$E,"VRAI",$H:$H,"C",$I:$I,"B3")</f>
        <v>0</v>
      </c>
      <c r="AL32" s="47">
        <f>SUMIFS($D:$D,$E:$E,"FAUX",$G:$G,"E5",$M:$M,"D",$N:$N,"E*")*SUMIFS($J:$J,$E:$E,"VRAI",$F:$F,"E",$M:$M,"C")*SUMIFS($J:$J,$E:$E,"VRAI",$F:$F,"F",$M:$M,"D")*SUMIFS($J:$J,$E:$E,"VRAI",$H:$H,"C",$I:$I,"B4")</f>
        <v>0</v>
      </c>
      <c r="AM32" s="47">
        <f>SUMIFS($D:$D,$E:$E,"FAUX",$G:$G,"E5",$M:$M,"D",$N:$N,"E*")*SUMIFS($J:$J,$E:$E,"VRAI",$F:$F,"E",$M:$M,"C")*SUMIFS($J:$J,$E:$E,"VRAI",$F:$F,"F",$M:$M,"D")*SUMIFS($J:$J,$E:$E,"VRAI",$H:$H,"C",$I:$I,"B5")</f>
        <v>0</v>
      </c>
      <c r="AN32" s="48">
        <f>SUMIFS($D:$D,$E:$E,"FAUX",$G:$G,"E5",$M:$M,"D",$N:$N,"E*")*SUMIFS($J:$J,$E:$E,"VRAI",$F:$F,"E",$M:$M,"C")*SUMIFS($J:$J,$E:$E,"VRAI",$F:$F,"F",$M:$M,"D")*SUMIFS($J:$J,$E:$E,"VRAI",$H:$H,"C",$I:$I,"B6")</f>
        <v>0</v>
      </c>
      <c r="AO32" s="46">
        <f>SUMIFS($D:$D,$E:$E,"FAUX",$G:$G,"E5",$M:$M,"D",$N:$N,"E*")*SUMIFS($J:$J,$E:$E,"VRAI",$F:$F,"E",$M:$M,"C")*SUMIFS($J:$J,$E:$E,"VRAI",$H:$H,"D",$I:$I,"C1")</f>
        <v>0</v>
      </c>
      <c r="AP32" s="47">
        <f>SUMIFS($D:$D,$E:$E,"FAUX",$G:$G,"E5",$M:$M,"D",$N:$N,"E*")*SUMIFS($J:$J,$E:$E,"VRAI",$F:$F,"E",$M:$M,"C")*SUMIFS($J:$J,$E:$E,"VRAI",$H:$H,"D",$I:$I,"C2")</f>
        <v>0</v>
      </c>
      <c r="AQ32" s="47">
        <f>SUMIFS($D:$D,$E:$E,"FAUX",$G:$G,"E5",$M:$M,"D",$N:$N,"E*")*SUMIFS($J:$J,$E:$E,"VRAI",$F:$F,"E",$M:$M,"C")*SUMIFS($J:$J,$E:$E,"VRAI",$H:$H,"D",$I:$I,"C3")</f>
        <v>0</v>
      </c>
      <c r="AR32" s="47">
        <f>SUMIFS($D:$D,$E:$E,"FAUX",$G:$G,"E5",$M:$M,"D",$N:$N,"E*")*SUMIFS($J:$J,$E:$E,"VRAI",$F:$F,"E",$M:$M,"C")*SUMIFS($J:$J,$E:$E,"VRAI",$H:$H,"D",$I:$I,"C4")</f>
        <v>0</v>
      </c>
      <c r="AS32" s="47">
        <f>SUMIFS($D:$D,$E:$E,"FAUX",$G:$G,"E5",$M:$M,"D",$N:$N,"E*")*SUMIFS($J:$J,$E:$E,"VRAI",$F:$F,"E",$M:$M,"C")*SUMIFS($J:$J,$E:$E,"VRAI",$H:$H,"D",$I:$I,"C5")</f>
        <v>0</v>
      </c>
      <c r="AT32" s="48">
        <f>SUMIFS($D:$D,$E:$E,"FAUX",$G:$G,"E5",$M:$M,"D",$N:$N,"E*")*SUMIFS($J:$J,$E:$E,"VRAI",$F:$F,"E",$M:$M,"C")*SUMIFS($J:$J,$E:$E,"VRAI",$H:$H,"D",$I:$I,"C6")</f>
        <v>0</v>
      </c>
      <c r="AU32" s="46">
        <f>SUMIFS($D:$D,$E:$E,"FAUX",$G:$G,"E5",$M:$M,"D",$N:$N,"E*")*SUMIFS($J:$J,$E:$E,"VRAI",$I:$I,"D1",$F:$F,"E")</f>
        <v>0</v>
      </c>
      <c r="AV32" s="47">
        <f>SUMIFS($D:$D,$E:$E,"FAUX",$G:$G,"E5",$M:$M,"D",$N:$N,"E*")*SUMIFS($J:$J,$E:$E,"VRAI",$I:$I,"D2",$F:$F,"E")</f>
        <v>0</v>
      </c>
      <c r="AW32" s="47">
        <f>SUMIFS($D:$D,$E:$E,"FAUX",$G:$G,"E5",$M:$M,"D",$N:$N,"E*")*SUMIFS($J:$J,$E:$E,"VRAI",$I:$I,"D3",$F:$F,"E")</f>
        <v>0</v>
      </c>
      <c r="AX32" s="47">
        <f>SUMIFS($D:$D,$E:$E,"FAUX",$G:$G,"E5",$M:$M,"D",$N:$N,"E*")*SUMIFS($J:$J,$E:$E,"VRAI",$I:$I,"D4",$F:$F,"E")</f>
        <v>0</v>
      </c>
      <c r="AY32" s="47">
        <f>SUMIFS($D:$D,$E:$E,"FAUX",$G:$G,"E5",$M:$M,"D",$N:$N,"E*")*SUMIFS($J:$J,$E:$E,"VRAI",$I:$I,"D5",$F:$F,"E")</f>
        <v>0</v>
      </c>
      <c r="AZ32" s="48">
        <f>SUMIFS($D:$D,$E:$E,"FAUX",$G:$G,"E5",$M:$M,"D",$N:$N,"E*")*SUMIFS($J:$J,$E:$E,"VRAI",$I:$I,"D6",$F:$F,"E")</f>
        <v>0</v>
      </c>
      <c r="BA32" s="39">
        <f>SUMIFS($D:$D,$O:$O,"E_5_1")</f>
        <v>0</v>
      </c>
      <c r="BB32" s="39">
        <f>SUMIFS($D:$D,$O:$O,"E_5_2")</f>
        <v>0</v>
      </c>
      <c r="BC32" s="39">
        <f>SUMIFS($D:$D,$O:$O,"E_5_3")</f>
        <v>0</v>
      </c>
      <c r="BD32" s="39">
        <f>SUMIFS($D:$D,$O:$O,"E_5_4")</f>
        <v>0</v>
      </c>
      <c r="BE32" s="39">
        <f>SUMIFS($D:$D,$O:$O,"E_5_5")</f>
        <v>0</v>
      </c>
      <c r="BF32" s="39">
        <f>SUMIFS($D:$D,$O:$O,"E_5_6")</f>
        <v>0</v>
      </c>
      <c r="BG32" s="46">
        <f>SUMIFS($D:$D,$E:$E,"FAUX",$G:$G,"E5",$M:$M,"F",$N:$N,"E*")*SUMIFS($J:$J,$O:$O,"F_1_1")</f>
        <v>0</v>
      </c>
      <c r="BH32" s="47">
        <f>SUMIFS($D:$D,$E:$E,"FAUX",$G:$G,"E5",$M:$M,"F",$N:$N,"E*")*SUMIFS($J:$J,$O:$O,"F_1_2")</f>
        <v>0</v>
      </c>
      <c r="BI32" s="47">
        <f>SUMIFS($D:$D,$E:$E,"FAUX",$G:$G,"E5",$M:$M,"F",$N:$N,"E*")*SUMIFS($J:$J,$O:$O,"F_1_3")</f>
        <v>0</v>
      </c>
      <c r="BJ32" s="47">
        <f>SUMIFS($D:$D,$E:$E,"FAUX",$G:$G,"E5",$M:$M,"F",$N:$N,"E*")*SUMIFS($J:$J,$O:$O,"F_1_4")</f>
        <v>0</v>
      </c>
      <c r="BK32" s="47">
        <f>SUMIFS($D:$D,$E:$E,"FAUX",$G:$G,"E5",$M:$M,"F",$N:$N,"E*")*SUMIFS($J:$J,$O:$O,"F_1_5")</f>
        <v>0</v>
      </c>
      <c r="BL32" s="47">
        <f>SUMIFS($D:$D,$E:$E,"FAUX",$G:$G,"E5",$M:$M,"F",$N:$N,"E*")*SUMIFS($J:$J,$O:$O,"F_1_6")</f>
        <v>0</v>
      </c>
      <c r="BM32" s="46">
        <f>SUMIFS($D:$D,$E:$E,"FAUX",$G:$G,"E5",$M:$M,"F",$N:$N,"E*")*SUMIFS($J:$J,$E:$E,"VRAI",$F:$F,"E",$M:$M,"G")*SUMIFS($J:$J,$E:$E,"VRAI",$F:$F,"F",$I:$I,"G1")</f>
        <v>0</v>
      </c>
      <c r="BN32" s="47">
        <f>SUMIFS($D:$D,$E:$E,"FAUX",$G:$G,"E5",$M:$M,"F",$N:$N,"E*")*SUMIFS($J:$J,$E:$E,"VRAI",$F:$F,"E",$M:$M,"G")*SUMIFS($J:$J,$E:$E,"VRAI",$F:$F,"F",$I:$I,"G2")</f>
        <v>0</v>
      </c>
      <c r="BO32" s="47">
        <f>SUMIFS($D:$D,$E:$E,"FAUX",$G:$G,"E5",$M:$M,"F",$N:$N,"E*")*SUMIFS($J:$J,$E:$E,"VRAI",$F:$F,"E",$M:$M,"G")*SUMIFS($J:$J,$E:$E,"VRAI",$F:$F,"F",$I:$I,"G3")</f>
        <v>0</v>
      </c>
      <c r="BP32" s="47">
        <f>SUMIFS($D:$D,$E:$E,"FAUX",$G:$G,"E5",$M:$M,"F",$N:$N,"E*")*SUMIFS($J:$J,$E:$E,"VRAI",$F:$F,"E",$M:$M,"G")*SUMIFS($J:$J,$E:$E,"VRAI",$F:$F,"F",$I:$I,"G4")</f>
        <v>0</v>
      </c>
      <c r="BQ32" s="47">
        <f>SUMIFS($D:$D,$E:$E,"FAUX",$G:$G,"E5",$M:$M,"F",$N:$N,"E*")*SUMIFS($J:$J,$E:$E,"VRAI",$F:$F,"E",$M:$M,"G")*SUMIFS($J:$J,$E:$E,"VRAI",$F:$F,"F",$I:$I,"G5")</f>
        <v>0</v>
      </c>
      <c r="BR32" s="48">
        <f>SUMIFS($D:$D,$E:$E,"FAUX",$G:$G,"E5",$M:$M,"F",$N:$N,"E*")*SUMIFS($J:$J,$E:$E,"VRAI",$F:$F,"E",$M:$M,"G")*SUMIFS($J:$J,$E:$E,"VRAI",$F:$F,"F",$I:$I,"G6")</f>
        <v>0</v>
      </c>
      <c r="BS32" s="46">
        <f>SUMIFS($D:$D,$E:$E,"FAUX",$G:$G,"E5",$M:$M,"F",$N:$N,"E*")*SUMIFS($J:$J,$E:$E,"VRAI",$F:$F,"E",$M:$M,"G")*SUMIFS($J:$J,$E:$E,"VRAI",$F:$F,"F",$M:$M,"H")*SUMIFS($J:$J,$E:$E,"VRAI",$F:$F,"G",$I:$I,"H1")</f>
        <v>0</v>
      </c>
      <c r="BT32" s="47">
        <f>SUMIFS($D:$D,$E:$E,"FAUX",$G:$G,"E5",$M:$M,"F",$N:$N,"E*")*SUMIFS($J:$J,$E:$E,"VRAI",$F:$F,"E",$M:$M,"G")*SUMIFS($J:$J,$E:$E,"VRAI",$F:$F,"F",$M:$M,"H")*SUMIFS($J:$J,$E:$E,"VRAI",$F:$F,"G",$I:$I,"H2")</f>
        <v>0</v>
      </c>
      <c r="BU32" s="47">
        <f>SUMIFS($D:$D,$E:$E,"FAUX",$G:$G,"E5",$M:$M,"F",$N:$N,"E*")*SUMIFS($J:$J,$E:$E,"VRAI",$F:$F,"E",$M:$M,"G")*SUMIFS($J:$J,$E:$E,"VRAI",$F:$F,"F",$M:$M,"H")*SUMIFS($J:$J,$E:$E,"VRAI",$F:$F,"G",$I:$I,"H3")</f>
        <v>0</v>
      </c>
      <c r="BV32" s="47">
        <f>SUMIFS($D:$D,$E:$E,"FAUX",$G:$G,"E5",$M:$M,"F",$N:$N,"E*")*SUMIFS($J:$J,$E:$E,"VRAI",$F:$F,"E",$M:$M,"G")*SUMIFS($J:$J,$E:$E,"VRAI",$F:$F,"F",$M:$M,"H")*SUMIFS($J:$J,$E:$E,"VRAI",$F:$F,"G",$I:$I,"H4")</f>
        <v>0</v>
      </c>
      <c r="BW32" s="47">
        <f>SUMIFS($D:$D,$E:$E,"FAUX",$G:$G,"E5",$M:$M,"F",$N:$N,"E*")*SUMIFS($J:$J,$E:$E,"VRAI",$F:$F,"E",$M:$M,"G")*SUMIFS($J:$J,$E:$E,"VRAI",$F:$F,"F",$M:$M,"H")*SUMIFS($J:$J,$E:$E,"VRAI",$F:$F,"G",$I:$I,"H5")</f>
        <v>0</v>
      </c>
      <c r="BX32" s="47">
        <f>SUMIFS($D:$D,$E:$E,"FAUX",$G:$G,"E5",$M:$M,"F",$N:$N,"E*")*SUMIFS($J:$J,$E:$E,"VRAI",$F:$F,"E",$M:$M,"G")*SUMIFS($J:$J,$E:$E,"VRAI",$F:$F,"F",$M:$M,"H")*SUMIFS($J:$J,$E:$E,"VRAI",$F:$F,"G",$I:$I,"H6")</f>
        <v>0</v>
      </c>
      <c r="BY32" s="46">
        <f>SUMIFS($D:$D,$E:$E,"FAUX",$G:$G,"E5",$M:$M,"F",$N:$N,"E*")*SUMIFS($J:$J,$E:$E,"VRAI",$F:$F,"E",$M:$M,"G")*SUMIFS($J:$J,$E:$E,"VRAI",$F:$F,"F",$M:$M,"H")*SUMIFS($J:$J,$E:$E,"VRAI",$F:$F,"G",$M:$M,"I")*SUMIFS($J:$J,$E:$E,"VRAI",$F:$F,"H",$I:$I,"I1")</f>
        <v>0</v>
      </c>
      <c r="BZ32" s="47">
        <f>SUMIFS($D:$D,$E:$E,"FAUX",$G:$G,"E5",$M:$M,"F",$N:$N,"E*")*SUMIFS($J:$J,$E:$E,"VRAI",$F:$F,"E",$M:$M,"G")*SUMIFS($J:$J,$E:$E,"VRAI",$F:$F,"F",$M:$M,"H")*SUMIFS($J:$J,$E:$E,"VRAI",$F:$F,"G",$M:$M,"I")*SUMIFS($J:$J,$E:$E,"VRAI",$F:$F,"H",$I:$I,"I2")</f>
        <v>0</v>
      </c>
      <c r="CA32" s="47">
        <f>SUMIFS($D:$D,$E:$E,"FAUX",$G:$G,"E5",$M:$M,"F",$N:$N,"E*")*SUMIFS($J:$J,$E:$E,"VRAI",$F:$F,"E",$M:$M,"G")*SUMIFS($J:$J,$E:$E,"VRAI",$F:$F,"F",$M:$M,"H")*SUMIFS($J:$J,$E:$E,"VRAI",$F:$F,"G",$M:$M,"I")*SUMIFS($J:$J,$E:$E,"VRAI",$F:$F,"H",$I:$I,"I3")</f>
        <v>0</v>
      </c>
      <c r="CB32" s="47">
        <f>SUMIFS($D:$D,$E:$E,"FAUX",$G:$G,"E5",$M:$M,"F",$N:$N,"E*")*SUMIFS($J:$J,$E:$E,"VRAI",$F:$F,"E",$M:$M,"G")*SUMIFS($J:$J,$E:$E,"VRAI",$F:$F,"F",$M:$M,"H")*SUMIFS($J:$J,$E:$E,"VRAI",$F:$F,"G",$M:$M,"I")*SUMIFS($J:$J,$E:$E,"VRAI",$F:$F,"H",$I:$I,"I4")</f>
        <v>0</v>
      </c>
      <c r="CC32" s="47">
        <f>SUMIFS($D:$D,$E:$E,"FAUX",$G:$G,"E5",$M:$M,"F",$N:$N,"E*")*SUMIFS($J:$J,$E:$E,"VRAI",$F:$F,"E",$M:$M,"G")*SUMIFS($J:$J,$E:$E,"VRAI",$F:$F,"F",$M:$M,"H")*SUMIFS($J:$J,$E:$E,"VRAI",$F:$F,"G",$M:$M,"I")*SUMIFS($J:$J,$E:$E,"VRAI",$F:$F,"H",$I:$I,"I5")</f>
        <v>0</v>
      </c>
      <c r="CD32" s="47">
        <f>SUMIFS($D:$D,$E:$E,"FAUX",$G:$G,"E5",$M:$M,"F",$N:$N,"E*")*SUMIFS($J:$J,$E:$E,"VRAI",$F:$F,"E",$M:$M,"G")*SUMIFS($J:$J,$E:$E,"VRAI",$F:$F,"F",$M:$M,"H")*SUMIFS($J:$J,$E:$E,"VRAI",$F:$F,"G",$M:$M,"I")*SUMIFS($J:$J,$E:$E,"VRAI",$F:$F,"H",$I:$I,"I6")</f>
        <v>0</v>
      </c>
      <c r="CE32" s="46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32" s="46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2" s="47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2" s="48">
        <f>SUMIFS($D:$D,$E:$E,"FAUX",$G:$G,"E5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3" spans="1:94">
      <c r="A33" s="35" t="s">
        <v>9</v>
      </c>
      <c r="B33" s="35">
        <v>2</v>
      </c>
      <c r="C33" s="35">
        <v>3</v>
      </c>
      <c r="D33" s="35">
        <v>42</v>
      </c>
      <c r="E33" s="35" t="b">
        <v>0</v>
      </c>
      <c r="F33" s="35"/>
      <c r="G33" s="53" t="str">
        <f t="shared" si="0"/>
        <v>B2</v>
      </c>
      <c r="H33" s="52" t="str">
        <f t="shared" si="5"/>
        <v/>
      </c>
      <c r="I33" s="41" t="str">
        <f t="shared" si="1"/>
        <v>B3</v>
      </c>
      <c r="J33" s="42">
        <f t="shared" si="2"/>
        <v>0.21105527638190955</v>
      </c>
      <c r="K33" s="41">
        <f t="shared" si="6"/>
        <v>199</v>
      </c>
      <c r="L33" s="41" t="str">
        <f t="shared" si="3"/>
        <v/>
      </c>
      <c r="M33" s="41" t="str">
        <f t="shared" si="7"/>
        <v>C</v>
      </c>
      <c r="N33" s="41" t="str">
        <f>IFERROR(VLOOKUP(I33,L33:L:L,1,FALSE),"")</f>
        <v>B3</v>
      </c>
      <c r="O33" s="56" t="str">
        <f t="shared" si="8"/>
        <v>B_2_3</v>
      </c>
      <c r="U33" t="s">
        <v>44</v>
      </c>
      <c r="V33">
        <f>SUMIFS(D:D,A:A,"D",B:B,"6")</f>
        <v>0</v>
      </c>
      <c r="Z33" t="e">
        <f t="shared" si="9"/>
        <v>#N/A</v>
      </c>
      <c r="AA33" t="e">
        <f t="shared" si="10"/>
        <v>#N/A</v>
      </c>
      <c r="AB33" t="s">
        <v>50</v>
      </c>
      <c r="AC33" s="49">
        <f>SUMIFS($D:$D,$E:$E,"FAUX",$G:$G,"E6",$M:$M,"D",$N:$N,"E*")*SUMIFS($J:$J,$E:$E,"VRAI",$F:$F,"D",$M:$M,"B")*SUMIFS($J:$J,$E:$E,"VRAI",$F:$F,"C",$M:$M,"A")*SUMIFS($J:$J,$E:$E,"VRAI",$F:$F,"E",$M:$M,"C")*SUMIFS($J:$J,$E:$E,"VRAI",$H:$H,"B",$I:$I,"A1")</f>
        <v>0</v>
      </c>
      <c r="AD33" s="50">
        <f>SUMIFS($D:$D,$E:$E,"FAUX",$G:$G,"E6",$M:$M,"D",$N:$N,"E*")*SUMIFS($J:$J,$E:$E,"VRAI",$F:$F,"D",$M:$M,"B")*SUMIFS($J:$J,$E:$E,"VRAI",$F:$F,"C",$M:$M,"A")*SUMIFS($J:$J,$E:$E,"VRAI",$F:$F,"E",$M:$M,"C")*SUMIFS($J:$J,$E:$E,"VRAI",$H:$H,"B",$I:$I,"A2")</f>
        <v>0</v>
      </c>
      <c r="AE33" s="50">
        <f>SUMIFS($D:$D,$E:$E,"FAUX",$G:$G,"E6",$M:$M,"D",$N:$N,"E*")*SUMIFS($J:$J,$E:$E,"VRAI",$F:$F,"D",$M:$M,"B")*SUMIFS($J:$J,$E:$E,"VRAI",$F:$F,"C",$M:$M,"A")*SUMIFS($J:$J,$E:$E,"VRAI",$F:$F,"E",$M:$M,"C")*SUMIFS($J:$J,$E:$E,"VRAI",$H:$H,"B",$I:$I,"A3")</f>
        <v>0</v>
      </c>
      <c r="AF33" s="50">
        <f>SUMIFS($D:$D,$E:$E,"FAUX",$G:$G,"E6",$M:$M,"D",$N:$N,"E*")*SUMIFS($J:$J,$E:$E,"VRAI",$F:$F,"D",$M:$M,"B")*SUMIFS($J:$J,$E:$E,"VRAI",$F:$F,"C",$M:$M,"A")*SUMIFS($J:$J,$E:$E,"VRAI",$F:$F,"E",$M:$M,"C")*SUMIFS($J:$J,$E:$E,"VRAI",$H:$H,"B",$I:$I,"A4")</f>
        <v>0</v>
      </c>
      <c r="AG33" s="50">
        <f>SUMIFS($D:$D,$E:$E,"FAUX",$G:$G,"E6",$M:$M,"D",$N:$N,"E*")*SUMIFS($J:$J,$E:$E,"VRAI",$F:$F,"D",$M:$M,"B")*SUMIFS($J:$J,$E:$E,"VRAI",$F:$F,"C",$M:$M,"A")*SUMIFS($J:$J,$E:$E,"VRAI",$F:$F,"E",$M:$M,"C")*SUMIFS($J:$J,$E:$E,"VRAI",$H:$H,"B",$I:$I,"A5")</f>
        <v>0</v>
      </c>
      <c r="AH33" s="51">
        <f>SUMIFS($D:$D,$E:$E,"FAUX",$G:$G,"E6",$M:$M,"D",$N:$N,"E*")*SUMIFS($J:$J,$E:$E,"VRAI",$F:$F,"D",$M:$M,"B")*SUMIFS($J:$J,$E:$E,"VRAI",$F:$F,"C",$M:$M,"A")*SUMIFS($J:$J,$E:$E,"VRAI",$F:$F,"E",$M:$M,"C")*SUMIFS($J:$J,$E:$E,"VRAI",$H:$H,"B",$I:$I,"A6")</f>
        <v>0</v>
      </c>
      <c r="AI33" s="49">
        <f>SUMIFS($D:$D,$E:$E,"FAUX",$G:$G,"E6",$M:$M,"D",$N:$N,"E*")*SUMIFS($J:$J,$E:$E,"VRAI",$F:$F,"E",$M:$M,"C")*SUMIFS($J:$J,$E:$E,"VRAI",$F:$F,"F",$M:$M,"D")*SUMIFS($J:$J,$E:$E,"VRAI",$H:$H,"C",$I:$I,"B1")</f>
        <v>0</v>
      </c>
      <c r="AJ33" s="50">
        <f>SUMIFS($D:$D,$E:$E,"FAUX",$G:$G,"E6",$M:$M,"D",$N:$N,"E*")*SUMIFS($J:$J,$E:$E,"VRAI",$F:$F,"E",$M:$M,"C")*SUMIFS($J:$J,$E:$E,"VRAI",$F:$F,"F",$M:$M,"D")*SUMIFS($J:$J,$E:$E,"VRAI",$H:$H,"C",$I:$I,"B2")</f>
        <v>0</v>
      </c>
      <c r="AK33" s="50">
        <f>SUMIFS($D:$D,$E:$E,"FAUX",$G:$G,"E6",$M:$M,"D",$N:$N,"E*")*SUMIFS($J:$J,$E:$E,"VRAI",$F:$F,"E",$M:$M,"C")*SUMIFS($J:$J,$E:$E,"VRAI",$F:$F,"F",$M:$M,"D")*SUMIFS($J:$J,$E:$E,"VRAI",$H:$H,"C",$I:$I,"B3")</f>
        <v>0</v>
      </c>
      <c r="AL33" s="50">
        <f>SUMIFS($D:$D,$E:$E,"FAUX",$G:$G,"E6",$M:$M,"D",$N:$N,"E*")*SUMIFS($J:$J,$E:$E,"VRAI",$F:$F,"E",$M:$M,"C")*SUMIFS($J:$J,$E:$E,"VRAI",$F:$F,"F",$M:$M,"D")*SUMIFS($J:$J,$E:$E,"VRAI",$H:$H,"C",$I:$I,"B4")</f>
        <v>0</v>
      </c>
      <c r="AM33" s="50">
        <f>SUMIFS($D:$D,$E:$E,"FAUX",$G:$G,"E6",$M:$M,"D",$N:$N,"E*")*SUMIFS($J:$J,$E:$E,"VRAI",$F:$F,"E",$M:$M,"C")*SUMIFS($J:$J,$E:$E,"VRAI",$F:$F,"F",$M:$M,"D")*SUMIFS($J:$J,$E:$E,"VRAI",$H:$H,"C",$I:$I,"B5")</f>
        <v>0</v>
      </c>
      <c r="AN33" s="51">
        <f>SUMIFS($D:$D,$E:$E,"FAUX",$G:$G,"E6",$M:$M,"D",$N:$N,"E*")*SUMIFS($J:$J,$E:$E,"VRAI",$F:$F,"E",$M:$M,"C")*SUMIFS($J:$J,$E:$E,"VRAI",$F:$F,"F",$M:$M,"D")*SUMIFS($J:$J,$E:$E,"VRAI",$H:$H,"C",$I:$I,"B6")</f>
        <v>0</v>
      </c>
      <c r="AO33" s="49">
        <f>SUMIFS($D:$D,$E:$E,"FAUX",$G:$G,"E6",$M:$M,"D",$N:$N,"E*")*SUMIFS($J:$J,$E:$E,"VRAI",$F:$F,"E",$M:$M,"C")*SUMIFS($J:$J,$E:$E,"VRAI",$H:$H,"D",$I:$I,"C1")</f>
        <v>0</v>
      </c>
      <c r="AP33" s="50">
        <f>SUMIFS($D:$D,$E:$E,"FAUX",$G:$G,"E6",$M:$M,"D",$N:$N,"E*")*SUMIFS($J:$J,$E:$E,"VRAI",$F:$F,"E",$M:$M,"C")*SUMIFS($J:$J,$E:$E,"VRAI",$H:$H,"D",$I:$I,"C2")</f>
        <v>0</v>
      </c>
      <c r="AQ33" s="50">
        <f>SUMIFS($D:$D,$E:$E,"FAUX",$G:$G,"E6",$M:$M,"D",$N:$N,"E*")*SUMIFS($J:$J,$E:$E,"VRAI",$F:$F,"E",$M:$M,"C")*SUMIFS($J:$J,$E:$E,"VRAI",$H:$H,"D",$I:$I,"C3")</f>
        <v>0</v>
      </c>
      <c r="AR33" s="50">
        <f>SUMIFS($D:$D,$E:$E,"FAUX",$G:$G,"E6",$M:$M,"D",$N:$N,"E*")*SUMIFS($J:$J,$E:$E,"VRAI",$F:$F,"E",$M:$M,"C")*SUMIFS($J:$J,$E:$E,"VRAI",$H:$H,"D",$I:$I,"C4")</f>
        <v>0</v>
      </c>
      <c r="AS33" s="50">
        <f>SUMIFS($D:$D,$E:$E,"FAUX",$G:$G,"E6",$M:$M,"D",$N:$N,"E*")*SUMIFS($J:$J,$E:$E,"VRAI",$F:$F,"E",$M:$M,"C")*SUMIFS($J:$J,$E:$E,"VRAI",$H:$H,"D",$I:$I,"C5")</f>
        <v>0</v>
      </c>
      <c r="AT33" s="51">
        <f>SUMIFS($D:$D,$E:$E,"FAUX",$G:$G,"E6",$M:$M,"D",$N:$N,"E*")*SUMIFS($J:$J,$E:$E,"VRAI",$F:$F,"E",$M:$M,"C")*SUMIFS($J:$J,$E:$E,"VRAI",$H:$H,"D",$I:$I,"C6")</f>
        <v>0</v>
      </c>
      <c r="AU33" s="49">
        <f>SUMIFS($D:$D,$E:$E,"FAUX",$G:$G,"E6",$M:$M,"D",$N:$N,"E*")*SUMIFS($J:$J,$E:$E,"VRAI",$I:$I,"D1",$F:$F,"E")</f>
        <v>0</v>
      </c>
      <c r="AV33" s="50">
        <f>SUMIFS($D:$D,$E:$E,"FAUX",$G:$G,"E6",$M:$M,"D",$N:$N,"E*")*SUMIFS($J:$J,$E:$E,"VRAI",$I:$I,"D2",$F:$F,"E")</f>
        <v>0</v>
      </c>
      <c r="AW33" s="50">
        <f>SUMIFS($D:$D,$E:$E,"FAUX",$G:$G,"E6",$M:$M,"D",$N:$N,"E*")*SUMIFS($J:$J,$E:$E,"VRAI",$I:$I,"D3",$F:$F,"E")</f>
        <v>0</v>
      </c>
      <c r="AX33" s="50">
        <f>SUMIFS($D:$D,$E:$E,"FAUX",$G:$G,"E6",$M:$M,"D",$N:$N,"E*")*SUMIFS($J:$J,$E:$E,"VRAI",$I:$I,"D4",$F:$F,"E")</f>
        <v>0</v>
      </c>
      <c r="AY33" s="50">
        <f>SUMIFS($D:$D,$E:$E,"FAUX",$G:$G,"E6",$M:$M,"D",$N:$N,"E*")*SUMIFS($J:$J,$E:$E,"VRAI",$I:$I,"D5",$F:$F,"E")</f>
        <v>0</v>
      </c>
      <c r="AZ33" s="51">
        <f>SUMIFS($D:$D,$E:$E,"FAUX",$G:$G,"E6",$M:$M,"D",$N:$N,"E*")*SUMIFS($J:$J,$E:$E,"VRAI",$I:$I,"D6",$F:$F,"E")</f>
        <v>0</v>
      </c>
      <c r="BA33" s="39">
        <f>SUMIFS($D:$D,$O:$O,"E_6_1")</f>
        <v>0</v>
      </c>
      <c r="BB33" s="39">
        <f>SUMIFS($D:$D,$O:$O,"E_6_2")</f>
        <v>0</v>
      </c>
      <c r="BC33" s="39">
        <f>SUMIFS($D:$D,$O:$O,"E_6_3")</f>
        <v>0</v>
      </c>
      <c r="BD33" s="39">
        <f>SUMIFS($D:$D,$O:$O,"E_6_4")</f>
        <v>0</v>
      </c>
      <c r="BE33" s="39">
        <f>SUMIFS($D:$D,$O:$O,"E_6_5")</f>
        <v>0</v>
      </c>
      <c r="BF33" s="39">
        <f>SUMIFS($D:$D,$O:$O,"E_6_6")</f>
        <v>0</v>
      </c>
      <c r="BG33" s="49">
        <f>SUMIFS($D:$D,$E:$E,"FAUX",$G:$G,"E6",$M:$M,"F",$N:$N,"E*")*SUMIFS($J:$J,$O:$O,"F_1_1")</f>
        <v>0</v>
      </c>
      <c r="BH33" s="50">
        <f>SUMIFS($D:$D,$E:$E,"FAUX",$G:$G,"E6",$M:$M,"F",$N:$N,"E*")*SUMIFS($J:$J,$O:$O,"F_1_2")</f>
        <v>0</v>
      </c>
      <c r="BI33" s="50">
        <f>SUMIFS($D:$D,$E:$E,"FAUX",$G:$G,"E6",$M:$M,"F",$N:$N,"E*")*SUMIFS($J:$J,$O:$O,"F_1_3")</f>
        <v>0</v>
      </c>
      <c r="BJ33" s="50">
        <f>SUMIFS($D:$D,$E:$E,"FAUX",$G:$G,"E6",$M:$M,"F",$N:$N,"E*")*SUMIFS($J:$J,$O:$O,"F_1_4")</f>
        <v>0</v>
      </c>
      <c r="BK33" s="50">
        <f>SUMIFS($D:$D,$E:$E,"FAUX",$G:$G,"E6",$M:$M,"F",$N:$N,"E*")*SUMIFS($J:$J,$O:$O,"F_1_5")</f>
        <v>0</v>
      </c>
      <c r="BL33" s="50">
        <f>SUMIFS($D:$D,$E:$E,"FAUX",$G:$G,"E6",$M:$M,"F",$N:$N,"E*")*SUMIFS($J:$J,$O:$O,"F_1_6")</f>
        <v>0</v>
      </c>
      <c r="BM33" s="49">
        <f>SUMIFS($D:$D,$E:$E,"FAUX",$G:$G,"E6",$M:$M,"F",$N:$N,"E*")*SUMIFS($J:$J,$E:$E,"VRAI",$F:$F,"E",$M:$M,"G")*SUMIFS($J:$J,$E:$E,"VRAI",$F:$F,"F",$I:$I,"G1")</f>
        <v>0</v>
      </c>
      <c r="BN33" s="50">
        <f>SUMIFS($D:$D,$E:$E,"FAUX",$G:$G,"E6",$M:$M,"F",$N:$N,"E*")*SUMIFS($J:$J,$E:$E,"VRAI",$F:$F,"E",$M:$M,"G")*SUMIFS($J:$J,$E:$E,"VRAI",$F:$F,"F",$I:$I,"G2")</f>
        <v>0</v>
      </c>
      <c r="BO33" s="50">
        <f>SUMIFS($D:$D,$E:$E,"FAUX",$G:$G,"E6",$M:$M,"F",$N:$N,"E*")*SUMIFS($J:$J,$E:$E,"VRAI",$F:$F,"E",$M:$M,"G")*SUMIFS($J:$J,$E:$E,"VRAI",$F:$F,"F",$I:$I,"G3")</f>
        <v>0</v>
      </c>
      <c r="BP33" s="50">
        <f>SUMIFS($D:$D,$E:$E,"FAUX",$G:$G,"E6",$M:$M,"F",$N:$N,"E*")*SUMIFS($J:$J,$E:$E,"VRAI",$F:$F,"E",$M:$M,"G")*SUMIFS($J:$J,$E:$E,"VRAI",$F:$F,"F",$I:$I,"G4")</f>
        <v>0</v>
      </c>
      <c r="BQ33" s="50">
        <f>SUMIFS($D:$D,$E:$E,"FAUX",$G:$G,"E6",$M:$M,"F",$N:$N,"E*")*SUMIFS($J:$J,$E:$E,"VRAI",$F:$F,"E",$M:$M,"G")*SUMIFS($J:$J,$E:$E,"VRAI",$F:$F,"F",$I:$I,"G5")</f>
        <v>0</v>
      </c>
      <c r="BR33" s="51">
        <f>SUMIFS($D:$D,$E:$E,"FAUX",$G:$G,"E6",$M:$M,"F",$N:$N,"E*")*SUMIFS($J:$J,$E:$E,"VRAI",$F:$F,"E",$M:$M,"G")*SUMIFS($J:$J,$E:$E,"VRAI",$F:$F,"F",$I:$I,"G6")</f>
        <v>0</v>
      </c>
      <c r="BS33" s="46">
        <f>SUMIFS($D:$D,$E:$E,"FAUX",$G:$G,"E6",$M:$M,"F",$N:$N,"E*")*SUMIFS($J:$J,$E:$E,"VRAI",$F:$F,"E",$M:$M,"G")*SUMIFS($J:$J,$E:$E,"VRAI",$F:$F,"F",$M:$M,"H")*SUMIFS($J:$J,$E:$E,"VRAI",$F:$F,"G",$I:$I,"H1")</f>
        <v>0</v>
      </c>
      <c r="BT33" s="47">
        <f>SUMIFS($D:$D,$E:$E,"FAUX",$G:$G,"E6",$M:$M,"F",$N:$N,"E*")*SUMIFS($J:$J,$E:$E,"VRAI",$F:$F,"E",$M:$M,"G")*SUMIFS($J:$J,$E:$E,"VRAI",$F:$F,"F",$M:$M,"H")*SUMIFS($J:$J,$E:$E,"VRAI",$F:$F,"G",$I:$I,"H2")</f>
        <v>0</v>
      </c>
      <c r="BU33" s="47">
        <f>SUMIFS($D:$D,$E:$E,"FAUX",$G:$G,"E6",$M:$M,"F",$N:$N,"E*")*SUMIFS($J:$J,$E:$E,"VRAI",$F:$F,"E",$M:$M,"G")*SUMIFS($J:$J,$E:$E,"VRAI",$F:$F,"F",$M:$M,"H")*SUMIFS($J:$J,$E:$E,"VRAI",$F:$F,"G",$I:$I,"H3")</f>
        <v>0</v>
      </c>
      <c r="BV33" s="47">
        <f>SUMIFS($D:$D,$E:$E,"FAUX",$G:$G,"E6",$M:$M,"F",$N:$N,"E*")*SUMIFS($J:$J,$E:$E,"VRAI",$F:$F,"E",$M:$M,"G")*SUMIFS($J:$J,$E:$E,"VRAI",$F:$F,"F",$M:$M,"H")*SUMIFS($J:$J,$E:$E,"VRAI",$F:$F,"G",$I:$I,"H4")</f>
        <v>0</v>
      </c>
      <c r="BW33" s="47">
        <f>SUMIFS($D:$D,$E:$E,"FAUX",$G:$G,"E6",$M:$M,"F",$N:$N,"E*")*SUMIFS($J:$J,$E:$E,"VRAI",$F:$F,"E",$M:$M,"G")*SUMIFS($J:$J,$E:$E,"VRAI",$F:$F,"F",$M:$M,"H")*SUMIFS($J:$J,$E:$E,"VRAI",$F:$F,"G",$I:$I,"H5")</f>
        <v>0</v>
      </c>
      <c r="BX33" s="47">
        <f>SUMIFS($D:$D,$E:$E,"FAUX",$G:$G,"E6",$M:$M,"F",$N:$N,"E*")*SUMIFS($J:$J,$E:$E,"VRAI",$F:$F,"E",$M:$M,"G")*SUMIFS($J:$J,$E:$E,"VRAI",$F:$F,"F",$M:$M,"H")*SUMIFS($J:$J,$E:$E,"VRAI",$F:$F,"G",$I:$I,"H6")</f>
        <v>0</v>
      </c>
      <c r="BY33" s="49">
        <f>SUMIFS($D:$D,$E:$E,"FAUX",$G:$G,"E6",$M:$M,"F",$N:$N,"E*")*SUMIFS($J:$J,$E:$E,"VRAI",$F:$F,"E",$M:$M,"G")*SUMIFS($J:$J,$E:$E,"VRAI",$F:$F,"F",$M:$M,"H")*SUMIFS($J:$J,$E:$E,"VRAI",$F:$F,"G",$M:$M,"I")*SUMIFS($J:$J,$E:$E,"VRAI",$F:$F,"H",$I:$I,"I1")</f>
        <v>0</v>
      </c>
      <c r="BZ33" s="50">
        <f>SUMIFS($D:$D,$E:$E,"FAUX",$G:$G,"E6",$M:$M,"F",$N:$N,"E*")*SUMIFS($J:$J,$E:$E,"VRAI",$F:$F,"E",$M:$M,"G")*SUMIFS($J:$J,$E:$E,"VRAI",$F:$F,"F",$M:$M,"H")*SUMIFS($J:$J,$E:$E,"VRAI",$F:$F,"G",$M:$M,"I")*SUMIFS($J:$J,$E:$E,"VRAI",$F:$F,"H",$I:$I,"I2")</f>
        <v>0</v>
      </c>
      <c r="CA33" s="50">
        <f>SUMIFS($D:$D,$E:$E,"FAUX",$G:$G,"E6",$M:$M,"F",$N:$N,"E*")*SUMIFS($J:$J,$E:$E,"VRAI",$F:$F,"E",$M:$M,"G")*SUMIFS($J:$J,$E:$E,"VRAI",$F:$F,"F",$M:$M,"H")*SUMIFS($J:$J,$E:$E,"VRAI",$F:$F,"G",$M:$M,"I")*SUMIFS($J:$J,$E:$E,"VRAI",$F:$F,"H",$I:$I,"I3")</f>
        <v>0</v>
      </c>
      <c r="CB33" s="50">
        <f>SUMIFS($D:$D,$E:$E,"FAUX",$G:$G,"E6",$M:$M,"F",$N:$N,"E*")*SUMIFS($J:$J,$E:$E,"VRAI",$F:$F,"E",$M:$M,"G")*SUMIFS($J:$J,$E:$E,"VRAI",$F:$F,"F",$M:$M,"H")*SUMIFS($J:$J,$E:$E,"VRAI",$F:$F,"G",$M:$M,"I")*SUMIFS($J:$J,$E:$E,"VRAI",$F:$F,"H",$I:$I,"I4")</f>
        <v>0</v>
      </c>
      <c r="CC33" s="50">
        <f>SUMIFS($D:$D,$E:$E,"FAUX",$G:$G,"E6",$M:$M,"F",$N:$N,"E*")*SUMIFS($J:$J,$E:$E,"VRAI",$F:$F,"E",$M:$M,"G")*SUMIFS($J:$J,$E:$E,"VRAI",$F:$F,"F",$M:$M,"H")*SUMIFS($J:$J,$E:$E,"VRAI",$F:$F,"G",$M:$M,"I")*SUMIFS($J:$J,$E:$E,"VRAI",$F:$F,"H",$I:$I,"I5")</f>
        <v>0</v>
      </c>
      <c r="CD33" s="50">
        <f>SUMIFS($D:$D,$E:$E,"FAUX",$G:$G,"E6",$M:$M,"F",$N:$N,"E*")*SUMIFS($J:$J,$E:$E,"VRAI",$F:$F,"E",$M:$M,"G")*SUMIFS($J:$J,$E:$E,"VRAI",$F:$F,"F",$M:$M,"H")*SUMIFS($J:$J,$E:$E,"VRAI",$F:$F,"G",$M:$M,"I")*SUMIFS($J:$J,$E:$E,"VRAI",$F:$F,"H",$I:$I,"I6")</f>
        <v>0</v>
      </c>
      <c r="CE33" s="49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1")</f>
        <v>0</v>
      </c>
      <c r="CF33" s="50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2")</f>
        <v>0</v>
      </c>
      <c r="CG33" s="50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3")</f>
        <v>0</v>
      </c>
      <c r="CH33" s="50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4")</f>
        <v>0</v>
      </c>
      <c r="CI33" s="50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5")</f>
        <v>0</v>
      </c>
      <c r="CJ33" s="50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I:$I,"J6")</f>
        <v>0</v>
      </c>
      <c r="CK33" s="46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3" s="47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3" s="47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3" s="47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3" s="47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3" s="48">
        <f>SUMIFS($D:$D,$E:$E,"FAUX",$G:$G,"E6",$M:$M,"F",$N:$N,"E*")*SUMIFS($J:$J,$E:$E,"VRAI",$F:$F,"E",$M:$M,"G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4" spans="1:94">
      <c r="A34" s="35" t="s">
        <v>9</v>
      </c>
      <c r="B34" s="35">
        <v>2</v>
      </c>
      <c r="C34" s="35">
        <v>4</v>
      </c>
      <c r="D34" s="35">
        <v>108</v>
      </c>
      <c r="E34" s="35" t="b">
        <v>0</v>
      </c>
      <c r="F34" s="35"/>
      <c r="G34" s="53" t="str">
        <f t="shared" si="0"/>
        <v>B2</v>
      </c>
      <c r="H34" s="52" t="str">
        <f t="shared" si="5"/>
        <v/>
      </c>
      <c r="I34" s="41" t="str">
        <f t="shared" si="1"/>
        <v>B4</v>
      </c>
      <c r="J34" s="42">
        <f t="shared" si="2"/>
        <v>0.542713567839196</v>
      </c>
      <c r="K34" s="41">
        <f t="shared" si="6"/>
        <v>199</v>
      </c>
      <c r="L34" s="41" t="str">
        <f t="shared" si="3"/>
        <v/>
      </c>
      <c r="M34" s="41" t="str">
        <f t="shared" si="7"/>
        <v/>
      </c>
      <c r="N34" s="41" t="str">
        <f>IFERROR(VLOOKUP(I34,L34:L:L,1,FALSE),"")</f>
        <v/>
      </c>
      <c r="O34" s="56" t="str">
        <f t="shared" si="8"/>
        <v>B_2_4</v>
      </c>
      <c r="Z34" t="str">
        <f t="shared" si="9"/>
        <v>F1</v>
      </c>
      <c r="AA34" t="str">
        <f t="shared" si="10"/>
        <v>F1</v>
      </c>
      <c r="AB34" t="s">
        <v>51</v>
      </c>
      <c r="AC34" s="43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4" s="44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4" s="44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4" s="44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4" s="44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4" s="45">
        <f>SUMIFS($D:$D,$E:$E,"FAUX",$G:$G,"F1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4" s="43">
        <f>SUMIFS($D:$D,$E:$E,"FAUX",$G:$G,"F1",$M:$M,"E",$N:$N,"E*")*SUMIFS($J:$J,$E:$E,"VRAI",$F:$F,"D",$M:$M,"B")*SUMIFS($J:$J,$E:$E,"VRAI",$F:$F,"C",$M:$M,"A")*SUMIFS($J:$J,$E:$E,"VRAI",$F:$F,"E",$M:$M,"C")*SUMIFS($J:$J,$E:$E,"VRAI",$H:$H,"C",$I:$I,"B1")</f>
        <v>0</v>
      </c>
      <c r="AJ34" s="44">
        <f>SUMIFS($D:$D,$E:$E,"FAUX",$G:$G,"F1",$M:$M,"E",$N:$N,"E*")*SUMIFS($J:$J,$E:$E,"VRAI",$F:$F,"D",$M:$M,"B")*SUMIFS($J:$J,$E:$E,"VRAI",$F:$F,"C",$M:$M,"A")*SUMIFS($J:$J,$E:$E,"VRAI",$F:$F,"E",$M:$M,"C")*SUMIFS($J:$J,$E:$E,"VRAI",$H:$H,"C",$I:$I,"B2")</f>
        <v>0</v>
      </c>
      <c r="AK34" s="44">
        <f>SUMIFS($D:$D,$E:$E,"FAUX",$G:$G,"F1",$M:$M,"E",$N:$N,"E*")*SUMIFS($J:$J,$E:$E,"VRAI",$F:$F,"D",$M:$M,"B")*SUMIFS($J:$J,$E:$E,"VRAI",$F:$F,"C",$M:$M,"A")*SUMIFS($J:$J,$E:$E,"VRAI",$F:$F,"E",$M:$M,"C")*SUMIFS($J:$J,$E:$E,"VRAI",$H:$H,"C",$I:$I,"B3")</f>
        <v>0</v>
      </c>
      <c r="AL34" s="44">
        <f>SUMIFS($D:$D,$E:$E,"FAUX",$G:$G,"F1",$M:$M,"E",$N:$N,"E*")*SUMIFS($J:$J,$E:$E,"VRAI",$F:$F,"D",$M:$M,"B")*SUMIFS($J:$J,$E:$E,"VRAI",$F:$F,"C",$M:$M,"A")*SUMIFS($J:$J,$E:$E,"VRAI",$F:$F,"E",$M:$M,"C")*SUMIFS($J:$J,$E:$E,"VRAI",$H:$H,"C",$I:$I,"B4")</f>
        <v>0</v>
      </c>
      <c r="AM34" s="44">
        <f>SUMIFS($D:$D,$E:$E,"FAUX",$G:$G,"F1",$M:$M,"E",$N:$N,"E*")*SUMIFS($J:$J,$E:$E,"VRAI",$F:$F,"D",$M:$M,"B")*SUMIFS($J:$J,$E:$E,"VRAI",$F:$F,"C",$M:$M,"A")*SUMIFS($J:$J,$E:$E,"VRAI",$F:$F,"E",$M:$M,"C")*SUMIFS($J:$J,$E:$E,"VRAI",$H:$H,"C",$I:$I,"B5")</f>
        <v>0</v>
      </c>
      <c r="AN34" s="45">
        <f>SUMIFS($D:$D,$E:$E,"FAUX",$G:$G,"F1",$M:$M,"E",$N:$N,"E*")*SUMIFS($J:$J,$E:$E,"VRAI",$F:$F,"D",$M:$M,"B")*SUMIFS($J:$J,$E:$E,"VRAI",$F:$F,"C",$M:$M,"A")*SUMIFS($J:$J,$E:$E,"VRAI",$F:$F,"E",$M:$M,"C")*SUMIFS($J:$J,$E:$E,"VRAI",$H:$H,"C",$I:$I,"B6")</f>
        <v>0</v>
      </c>
      <c r="AO34" s="43">
        <f t="shared" ref="AO34:AT34" si="11">SUMIFS($D:$D,$E:$E,"FAUX",$G:$G,"F1",$M:$M,"E",$N:$N,"E*")*SUMIFS($J:$J,$E:$E,"VRAI",$F:$F,"E",$M:$M,"C")*SUMIFS($J:$J,$E:$E,"VRAI",$F:$F,"F",$M:$M,"D")*SUMIFS($J:$J,$E:$E,"VRAI",$H:$H,"D",$I:$I,"C1")</f>
        <v>0</v>
      </c>
      <c r="AP34" s="44">
        <f t="shared" si="11"/>
        <v>0</v>
      </c>
      <c r="AQ34" s="44">
        <f t="shared" si="11"/>
        <v>0</v>
      </c>
      <c r="AR34" s="44">
        <f t="shared" si="11"/>
        <v>0</v>
      </c>
      <c r="AS34" s="44">
        <f t="shared" si="11"/>
        <v>0</v>
      </c>
      <c r="AT34" s="45">
        <f t="shared" si="11"/>
        <v>0</v>
      </c>
      <c r="AU34" s="43">
        <f>SUMIFS($D:$D,$E:$E,"FAUX",$G:$G,"F1",$M:$M,"E",$N:$N,"E*")*SUMIFS($J:$J,$E:$E,"VRAI",$F:$F,"F",$M:$M,"D")*SUMIFS($J:$J,$E:$E,"VRAI",$H:$H,"E",$I:$I,"D1")</f>
        <v>0</v>
      </c>
      <c r="AV34" s="44">
        <f>SUMIFS($D:$D,$E:$E,"FAUX",$G:$G,"F1",$M:$M,"E",$N:$N,"E*")*SUMIFS($J:$J,$E:$E,"VRAI",$F:$F,"F",$M:$M,"D")*SUMIFS($J:$J,$E:$E,"VRAI",$H:$H,"E",$I:$I,"D2")</f>
        <v>0</v>
      </c>
      <c r="AW34" s="44">
        <f>SUMIFS($D:$D,$E:$E,"FAUX",$G:$G,"F1",$M:$M,"E",$N:$N,"E*")*SUMIFS($J:$J,$E:$E,"VRAI",$F:$F,"F",$M:$M,"D")*SUMIFS($J:$J,$E:$E,"VRAI",$H:$H,"E",$I:$I,"D3")</f>
        <v>0</v>
      </c>
      <c r="AX34" s="44">
        <f>SUMIFS($D:$D,$E:$E,"FAUX",$G:$G,"F1",$M:$M,"E",$N:$N,"E*")*SUMIFS($J:$J,$E:$E,"VRAI",$F:$F,"F",$M:$M,"D")*SUMIFS($J:$J,$E:$E,"VRAI",$H:$H,"E",$I:$I,"D4")</f>
        <v>0</v>
      </c>
      <c r="AY34" s="44">
        <f>SUMIFS($D:$D,$E:$E,"FAUX",$G:$G,"F1",$M:$M,"E",$N:$N,"E*")*SUMIFS($J:$J,$E:$E,"VRAI",$F:$F,"F",$M:$M,"D")*SUMIFS($J:$J,$E:$E,"VRAI",$H:$H,"E",$I:$I,"D5")</f>
        <v>0</v>
      </c>
      <c r="AZ34" s="45">
        <f>SUMIFS($D:$D,$E:$E,"FAUX",$G:$G,"F1",$M:$M,"E",$N:$N,"E*")*SUMIFS($J:$J,$E:$E,"VRAI",$F:$F,"F",$M:$M,"D")*SUMIFS($J:$J,$E:$E,"VRAI",$H:$H,"E",$I:$I,"D6")</f>
        <v>0</v>
      </c>
      <c r="BA34" s="43">
        <f>SUMIFS($D:$D,$E:$E,"FAUX",$G:$G,"F1",$M:$M,"E",$N:$N,"E*")*SUMIFS($J:$J,$E:$E,"VRAI",$I:$I,"E1",$F:$F,"F")</f>
        <v>0</v>
      </c>
      <c r="BB34" s="44">
        <f>SUMIFS($D:$D,$E:$E,"FAUX",$G:$G,"F1",$M:$M,"E",$N:$N,"E*")*SUMIFS($J:$J,$E:$E,"VRAI",$I:$I,"E2",$F:$F,"F")</f>
        <v>0</v>
      </c>
      <c r="BC34" s="44">
        <f>SUMIFS($D:$D,$E:$E,"FAUX",$G:$G,"F1",$M:$M,"E",$N:$N,"E*")*SUMIFS($J:$J,$E:$E,"VRAI",$I:$I,"E3",$F:$F,"F")</f>
        <v>0</v>
      </c>
      <c r="BD34" s="44">
        <f>SUMIFS($D:$D,$E:$E,"FAUX",$G:$G,"F1",$M:$M,"E",$N:$N,"E*")*SUMIFS($J:$J,$E:$E,"VRAI",$I:$I,"E4",$F:$F,"F")</f>
        <v>0</v>
      </c>
      <c r="BE34" s="44">
        <f>SUMIFS($D:$D,$E:$E,"FAUX",$G:$G,"F1",$M:$M,"E",$N:$N,"E*")*SUMIFS($J:$J,$E:$E,"VRAI",$I:$I,"E5",$F:$F,"F")</f>
        <v>0</v>
      </c>
      <c r="BF34" s="45">
        <f>SUMIFS($D:$D,$E:$E,"FAUX",$G:$G,"F1",$M:$M,"E",$N:$N,"E*")*SUMIFS($J:$J,$E:$E,"VRAI",$I:$I,"E6",$F:$F,"F")</f>
        <v>0</v>
      </c>
      <c r="BG34" s="39">
        <f>SUMIFS($D:$D,$O:$O,"F_1_1")</f>
        <v>0</v>
      </c>
      <c r="BH34" s="39">
        <f>SUMIFS($D:$D,$O:$O,"F_1_2")</f>
        <v>69</v>
      </c>
      <c r="BI34" s="39">
        <f>SUMIFS($D:$D,$O:$O,"F_1_3")</f>
        <v>924</v>
      </c>
      <c r="BJ34" s="39">
        <f>SUMIFS($D:$D,$O:$O,"F_1_4")</f>
        <v>148</v>
      </c>
      <c r="BK34" s="39">
        <f>SUMIFS($D:$D,$O:$O,"F_1_5")</f>
        <v>0</v>
      </c>
      <c r="BL34" s="40">
        <f>SUMIFS($D:$D,$O:$O,"F_1_6")</f>
        <v>0</v>
      </c>
      <c r="BM34" s="31">
        <f>SUMIFS($D:$D,$E:$E,"FAUX",$G:$G,"F1",$M:$M,"E",$N:$N,"F*")*SUMIFS($J:$J,$O:$O,"G_1_1")</f>
        <v>0</v>
      </c>
      <c r="BN34" s="27">
        <f>SUMIFS($D:$D,$E:$E,"FAUX",$G:$G,"F1",$M:$M,"E",$N:$N,"F*")*SUMIFS($J:$J,$O:$O,"G_1_2")</f>
        <v>0</v>
      </c>
      <c r="BO34" s="27">
        <f>SUMIFS($D:$D,$E:$E,"FAUX",$G:$G,"F1",$M:$M,"E",$N:$N,"F*")*SUMIFS($J:$J,$O:$O,"G_1_3")</f>
        <v>0</v>
      </c>
      <c r="BP34" s="27">
        <f>SUMIFS($D:$D,$E:$E,"FAUX",$G:$G,"F1",$M:$M,"E",$N:$N,"F*")*SUMIFS($J:$J,$O:$O,"G_1_4")</f>
        <v>0</v>
      </c>
      <c r="BQ34" s="27">
        <f>SUMIFS($D:$D,$E:$E,"FAUX",$G:$G,"F1",$M:$M,"E",$N:$N,"F*")*SUMIFS($J:$J,$O:$O,"G_1_5")</f>
        <v>0</v>
      </c>
      <c r="BR34" s="27">
        <f>SUMIFS($D:$D,$E:$E,"FAUX",$G:$G,"F1",$M:$M,"E",$N:$N,"F*")*SUMIFS($J:$J,$O:$O,"G_1_6")</f>
        <v>0</v>
      </c>
      <c r="BS34" s="43">
        <f>SUMIFS($D:$D,$E:$E,"FAUX",$G:$G,"E1",$M:$M,"F",$N:$N,"E*")*SUMIFS($J:$J,$E:$E,"VRAI",$F:$F,"F",$M:$M,"H")*SUMIFS($J:$J,$E:$E,"VRAI",$F:$F,"G",$I:$I,"H1")</f>
        <v>0</v>
      </c>
      <c r="BT34" s="44">
        <f>SUMIFS($D:$D,$E:$E,"FAUX",$G:$G,"E1",$M:$M,"F",$N:$N,"E*")*SUMIFS($J:$J,$E:$E,"VRAI",$F:$F,"F",$M:$M,"H")*SUMIFS($J:$J,$E:$E,"VRAI",$F:$F,"G",$I:$I,"H2")</f>
        <v>0</v>
      </c>
      <c r="BU34" s="44">
        <f>SUMIFS($D:$D,$E:$E,"FAUX",$G:$G,"E1",$M:$M,"F",$N:$N,"E*")*SUMIFS($J:$J,$E:$E,"VRAI",$F:$F,"F",$M:$M,"H")*SUMIFS($J:$J,$E:$E,"VRAI",$F:$F,"G",$I:$I,"H3")</f>
        <v>0</v>
      </c>
      <c r="BV34" s="44">
        <f>SUMIFS($D:$D,$E:$E,"FAUX",$G:$G,"E1",$M:$M,"F",$N:$N,"E*")*SUMIFS($J:$J,$E:$E,"VRAI",$F:$F,"F",$M:$M,"H")*SUMIFS($J:$J,$E:$E,"VRAI",$F:$F,"G",$I:$I,"H4")</f>
        <v>0</v>
      </c>
      <c r="BW34" s="44">
        <f>SUMIFS($D:$D,$E:$E,"FAUX",$G:$G,"E1",$M:$M,"F",$N:$N,"E*")*SUMIFS($J:$J,$E:$E,"VRAI",$F:$F,"F",$M:$M,"H")*SUMIFS($J:$J,$E:$E,"VRAI",$F:$F,"G",$I:$I,"H5")</f>
        <v>0</v>
      </c>
      <c r="BX34" s="44">
        <f>SUMIFS($D:$D,$E:$E,"FAUX",$G:$G,"E1",$M:$M,"F",$N:$N,"E*")*SUMIFS($J:$J,$E:$E,"VRAI",$F:$F,"F",$M:$M,"H")*SUMIFS($J:$J,$E:$E,"VRAI",$F:$F,"G",$I:$I,"H6")</f>
        <v>0</v>
      </c>
      <c r="BY34" s="43">
        <f>SUMIFS($D:$D,$E:$E,"FAUX",$G:$G,"E1",$M:$M,"F",$N:$N,"E*")*SUMIFS($J:$J,$E:$E,"VRAI",$F:$F,"F",$M:$M,"H")*SUMIFS($J:$J,$E:$E,"VRAI",$F:$F,"G",$M:$M,"I")*SUMIFS($J:$J,$E:$E,"VRAI",$F:$F,"H",$I:$I,"I1")</f>
        <v>0</v>
      </c>
      <c r="BZ34" s="44">
        <f>SUMIFS($D:$D,$E:$E,"FAUX",$G:$G,"E1",$M:$M,"F",$N:$N,"E*")*SUMIFS($J:$J,$E:$E,"VRAI",$F:$F,"F",$M:$M,"H")*SUMIFS($J:$J,$E:$E,"VRAI",$F:$F,"G",$M:$M,"I")*SUMIFS($J:$J,$E:$E,"VRAI",$F:$F,"H",$I:$I,"I2")</f>
        <v>0</v>
      </c>
      <c r="CA34" s="44">
        <f>SUMIFS($D:$D,$E:$E,"FAUX",$G:$G,"E1",$M:$M,"F",$N:$N,"E*")*SUMIFS($J:$J,$E:$E,"VRAI",$F:$F,"F",$M:$M,"H")*SUMIFS($J:$J,$E:$E,"VRAI",$F:$F,"G",$M:$M,"I")*SUMIFS($J:$J,$E:$E,"VRAI",$F:$F,"H",$I:$I,"I3")</f>
        <v>0</v>
      </c>
      <c r="CB34" s="44">
        <f>SUMIFS($D:$D,$E:$E,"FAUX",$G:$G,"E1",$M:$M,"F",$N:$N,"E*")*SUMIFS($J:$J,$E:$E,"VRAI",$F:$F,"F",$M:$M,"H")*SUMIFS($J:$J,$E:$E,"VRAI",$F:$F,"G",$M:$M,"I")*SUMIFS($J:$J,$E:$E,"VRAI",$F:$F,"H",$I:$I,"I4")</f>
        <v>0</v>
      </c>
      <c r="CC34" s="44">
        <f>SUMIFS($D:$D,$E:$E,"FAUX",$G:$G,"E1",$M:$M,"F",$N:$N,"E*")*SUMIFS($J:$J,$E:$E,"VRAI",$F:$F,"F",$M:$M,"H")*SUMIFS($J:$J,$E:$E,"VRAI",$F:$F,"G",$M:$M,"I")*SUMIFS($J:$J,$E:$E,"VRAI",$F:$F,"H",$I:$I,"I5")</f>
        <v>0</v>
      </c>
      <c r="CD34" s="44">
        <f>SUMIFS($D:$D,$E:$E,"FAUX",$G:$G,"E1",$M:$M,"F",$N:$N,"E*")*SUMIFS($J:$J,$E:$E,"VRAI",$F:$F,"F",$M:$M,"H")*SUMIFS($J:$J,$E:$E,"VRAI",$F:$F,"G",$M:$M,"I")*SUMIFS($J:$J,$E:$E,"VRAI",$F:$F,"H",$I:$I,"I6")</f>
        <v>0</v>
      </c>
      <c r="CE34" s="43">
        <f>SUMIFS($D:$D,$E:$E,"FAUX",$G:$G,"E1",$M:$M,"F",$N:$N,"E*")*SUMIFS($J:$J,$E:$E,"VRAI",$F:$F,"F",$M:$M,"H")*SUMIFS($J:$J,$E:$E,"VRAI",$F:$F,"G",$M:$M,"I")*SUMIFS($J:$J,$E:$E,"VRAI",$F:$F,"H",$M:$M,"J")*SUMIFS($J:$J,$E:$E,"VRAI",$F:$F,"I",$I:$I,"J1")</f>
        <v>0</v>
      </c>
      <c r="CF34" s="44">
        <f>SUMIFS($D:$D,$E:$E,"FAUX",$G:$G,"E1",$M:$M,"F",$N:$N,"E*")*SUMIFS($J:$J,$E:$E,"VRAI",$F:$F,"F",$M:$M,"H")*SUMIFS($J:$J,$E:$E,"VRAI",$F:$F,"G",$M:$M,"I")*SUMIFS($J:$J,$E:$E,"VRAI",$F:$F,"H",$M:$M,"J")*SUMIFS($J:$J,$E:$E,"VRAI",$F:$F,"I",$I:$I,"J2")</f>
        <v>0</v>
      </c>
      <c r="CG34" s="44">
        <f>SUMIFS($D:$D,$E:$E,"FAUX",$G:$G,"E1",$M:$M,"F",$N:$N,"E*")*SUMIFS($J:$J,$E:$E,"VRAI",$F:$F,"F",$M:$M,"H")*SUMIFS($J:$J,$E:$E,"VRAI",$F:$F,"G",$M:$M,"I")*SUMIFS($J:$J,$E:$E,"VRAI",$F:$F,"H",$M:$M,"J")*SUMIFS($J:$J,$E:$E,"VRAI",$F:$F,"I",$I:$I,"J3")</f>
        <v>0</v>
      </c>
      <c r="CH34" s="44">
        <f>SUMIFS($D:$D,$E:$E,"FAUX",$G:$G,"E1",$M:$M,"F",$N:$N,"E*")*SUMIFS($J:$J,$E:$E,"VRAI",$F:$F,"F",$M:$M,"H")*SUMIFS($J:$J,$E:$E,"VRAI",$F:$F,"G",$M:$M,"I")*SUMIFS($J:$J,$E:$E,"VRAI",$F:$F,"H",$M:$M,"J")*SUMIFS($J:$J,$E:$E,"VRAI",$F:$F,"I",$I:$I,"J4")</f>
        <v>0</v>
      </c>
      <c r="CI34" s="44">
        <f>SUMIFS($D:$D,$E:$E,"FAUX",$G:$G,"E1",$M:$M,"F",$N:$N,"E*")*SUMIFS($J:$J,$E:$E,"VRAI",$F:$F,"F",$M:$M,"H")*SUMIFS($J:$J,$E:$E,"VRAI",$F:$F,"G",$M:$M,"I")*SUMIFS($J:$J,$E:$E,"VRAI",$F:$F,"H",$M:$M,"J")*SUMIFS($J:$J,$E:$E,"VRAI",$F:$F,"I",$I:$I,"J5")</f>
        <v>0</v>
      </c>
      <c r="CJ34" s="44">
        <f>SUMIFS($D:$D,$E:$E,"FAUX",$G:$G,"E1",$M:$M,"F",$N:$N,"E*")*SUMIFS($J:$J,$E:$E,"VRAI",$F:$F,"F",$M:$M,"H")*SUMIFS($J:$J,$E:$E,"VRAI",$F:$F,"G",$M:$M,"I")*SUMIFS($J:$J,$E:$E,"VRAI",$F:$F,"H",$M:$M,"J")*SUMIFS($J:$J,$E:$E,"VRAI",$F:$F,"I",$I:$I,"J6")</f>
        <v>0</v>
      </c>
      <c r="CK34" s="43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4" s="44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4" s="44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4" s="44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4" s="44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4" s="45">
        <f>SUMIFS($D:$D,$E:$E,"FAUX",$G:$G,"E1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5" spans="1:94">
      <c r="A35" s="35" t="s">
        <v>9</v>
      </c>
      <c r="B35" s="35">
        <v>2</v>
      </c>
      <c r="C35" s="35">
        <v>1</v>
      </c>
      <c r="D35" s="35">
        <v>49</v>
      </c>
      <c r="E35" s="35" t="b">
        <v>0</v>
      </c>
      <c r="F35" s="35"/>
      <c r="G35" s="53" t="str">
        <f t="shared" si="0"/>
        <v>B2</v>
      </c>
      <c r="H35" s="52" t="str">
        <f t="shared" si="5"/>
        <v/>
      </c>
      <c r="I35" s="41" t="str">
        <f t="shared" si="1"/>
        <v>B1</v>
      </c>
      <c r="J35" s="42">
        <f t="shared" si="2"/>
        <v>0.24623115577889448</v>
      </c>
      <c r="K35" s="41">
        <f t="shared" si="6"/>
        <v>199</v>
      </c>
      <c r="L35" s="41" t="str">
        <f t="shared" si="3"/>
        <v/>
      </c>
      <c r="M35" s="41" t="str">
        <f t="shared" si="7"/>
        <v>A</v>
      </c>
      <c r="N35" s="41" t="str">
        <f>IFERROR(VLOOKUP(I35,L35:L:L,1,FALSE),"")</f>
        <v>B1</v>
      </c>
      <c r="O35" s="56" t="str">
        <f t="shared" si="8"/>
        <v>B_2_1</v>
      </c>
      <c r="U35" s="1" t="s">
        <v>21</v>
      </c>
      <c r="V35" s="2">
        <f>SUMIF(A:A,"E",D:D)</f>
        <v>2636</v>
      </c>
      <c r="Z35" t="e">
        <f t="shared" si="9"/>
        <v>#N/A</v>
      </c>
      <c r="AA35" t="str">
        <f t="shared" si="10"/>
        <v>F2</v>
      </c>
      <c r="AB35" t="s">
        <v>52</v>
      </c>
      <c r="AC35" s="46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5" s="47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5" s="47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5" s="47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5" s="47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5" s="48">
        <f>SUMIFS($D:$D,$E:$E,"FAUX",$G:$G,"F2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5" s="46">
        <f>SUMIFS($D:$D,$E:$E,"FAUX",$G:$G,"F2",$M:$M,"E",$N:$N,"E*")*SUMIFS($J:$J,$E:$E,"VRAI",$F:$F,"D",$M:$M,"B")*SUMIFS($J:$J,$E:$E,"VRAI",$F:$F,"C",$M:$M,"A")*SUMIFS($J:$J,$E:$E,"VRAI",$F:$F,"E",$M:$M,"C")*SUMIFS($J:$J,$E:$E,"VRAI",$H:$H,"C",$I:$I,"B1")</f>
        <v>0</v>
      </c>
      <c r="AJ35" s="47">
        <f>SUMIFS($D:$D,$E:$E,"FAUX",$G:$G,"F2",$M:$M,"E",$N:$N,"E*")*SUMIFS($J:$J,$E:$E,"VRAI",$F:$F,"D",$M:$M,"B")*SUMIFS($J:$J,$E:$E,"VRAI",$F:$F,"C",$M:$M,"A")*SUMIFS($J:$J,$E:$E,"VRAI",$F:$F,"E",$M:$M,"C")*SUMIFS($J:$J,$E:$E,"VRAI",$H:$H,"C",$I:$I,"B2")</f>
        <v>0</v>
      </c>
      <c r="AK35" s="47">
        <f>SUMIFS($D:$D,$E:$E,"FAUX",$G:$G,"F2",$M:$M,"E",$N:$N,"E*")*SUMIFS($J:$J,$E:$E,"VRAI",$F:$F,"D",$M:$M,"B")*SUMIFS($J:$J,$E:$E,"VRAI",$F:$F,"C",$M:$M,"A")*SUMIFS($J:$J,$E:$E,"VRAI",$F:$F,"E",$M:$M,"C")*SUMIFS($J:$J,$E:$E,"VRAI",$H:$H,"C",$I:$I,"B3")</f>
        <v>0</v>
      </c>
      <c r="AL35" s="47">
        <f>SUMIFS($D:$D,$E:$E,"FAUX",$G:$G,"F2",$M:$M,"E",$N:$N,"E*")*SUMIFS($J:$J,$E:$E,"VRAI",$F:$F,"D",$M:$M,"B")*SUMIFS($J:$J,$E:$E,"VRAI",$F:$F,"C",$M:$M,"A")*SUMIFS($J:$J,$E:$E,"VRAI",$F:$F,"E",$M:$M,"C")*SUMIFS($J:$J,$E:$E,"VRAI",$H:$H,"C",$I:$I,"B4")</f>
        <v>0</v>
      </c>
      <c r="AM35" s="47">
        <f>SUMIFS($D:$D,$E:$E,"FAUX",$G:$G,"F2",$M:$M,"E",$N:$N,"E*")*SUMIFS($J:$J,$E:$E,"VRAI",$F:$F,"D",$M:$M,"B")*SUMIFS($J:$J,$E:$E,"VRAI",$F:$F,"C",$M:$M,"A")*SUMIFS($J:$J,$E:$E,"VRAI",$F:$F,"E",$M:$M,"C")*SUMIFS($J:$J,$E:$E,"VRAI",$H:$H,"C",$I:$I,"B5")</f>
        <v>0</v>
      </c>
      <c r="AN35" s="48">
        <f>SUMIFS($D:$D,$E:$E,"FAUX",$G:$G,"F2",$M:$M,"E",$N:$N,"E*")*SUMIFS($J:$J,$E:$E,"VRAI",$F:$F,"D",$M:$M,"B")*SUMIFS($J:$J,$E:$E,"VRAI",$F:$F,"C",$M:$M,"A")*SUMIFS($J:$J,$E:$E,"VRAI",$F:$F,"E",$M:$M,"C")*SUMIFS($J:$J,$E:$E,"VRAI",$H:$H,"C",$I:$I,"B6")</f>
        <v>0</v>
      </c>
      <c r="AO35" s="46">
        <f t="shared" ref="AO35:AT35" si="12">SUMIFS($D:$D,$E:$E,"FAUX",$G:$G,"F2",$M:$M,"E",$N:$N,"E*")*SUMIFS($J:$J,$E:$E,"VRAI",$F:$F,"E",$M:$M,"C")*SUMIFS($J:$J,$E:$E,"VRAI",$F:$F,"F",$M:$M,"D")*SUMIFS($J:$J,$E:$E,"VRAI",$H:$H,"D",$I:$I,"C1")</f>
        <v>0</v>
      </c>
      <c r="AP35" s="47">
        <f t="shared" si="12"/>
        <v>0</v>
      </c>
      <c r="AQ35" s="47">
        <f t="shared" si="12"/>
        <v>0</v>
      </c>
      <c r="AR35" s="47">
        <f t="shared" si="12"/>
        <v>0</v>
      </c>
      <c r="AS35" s="47">
        <f t="shared" si="12"/>
        <v>0</v>
      </c>
      <c r="AT35" s="48">
        <f t="shared" si="12"/>
        <v>0</v>
      </c>
      <c r="AU35" s="46">
        <f>SUMIFS($D:$D,$E:$E,"FAUX",$G:$G,"F2",$M:$M,"E",$N:$N,"E*")*SUMIFS($J:$J,$E:$E,"VRAI",$F:$F,"F",$M:$M,"D")*SUMIFS($J:$J,$E:$E,"VRAI",$H:$H,"E",$I:$I,"D1")</f>
        <v>0</v>
      </c>
      <c r="AV35" s="47">
        <f>SUMIFS($D:$D,$E:$E,"FAUX",$G:$G,"F2",$M:$M,"E",$N:$N,"E*")*SUMIFS($J:$J,$E:$E,"VRAI",$F:$F,"F",$M:$M,"D")*SUMIFS($J:$J,$E:$E,"VRAI",$H:$H,"E",$I:$I,"D2")</f>
        <v>0</v>
      </c>
      <c r="AW35" s="47">
        <f>SUMIFS($D:$D,$E:$E,"FAUX",$G:$G,"F2",$M:$M,"E",$N:$N,"E*")*SUMIFS($J:$J,$E:$E,"VRAI",$F:$F,"F",$M:$M,"D")*SUMIFS($J:$J,$E:$E,"VRAI",$H:$H,"E",$I:$I,"D3")</f>
        <v>0</v>
      </c>
      <c r="AX35" s="47">
        <f>SUMIFS($D:$D,$E:$E,"FAUX",$G:$G,"F2",$M:$M,"E",$N:$N,"E*")*SUMIFS($J:$J,$E:$E,"VRAI",$F:$F,"F",$M:$M,"D")*SUMIFS($J:$J,$E:$E,"VRAI",$H:$H,"E",$I:$I,"D4")</f>
        <v>0</v>
      </c>
      <c r="AY35" s="47">
        <f>SUMIFS($D:$D,$E:$E,"FAUX",$G:$G,"F2",$M:$M,"E",$N:$N,"E*")*SUMIFS($J:$J,$E:$E,"VRAI",$F:$F,"F",$M:$M,"D")*SUMIFS($J:$J,$E:$E,"VRAI",$H:$H,"E",$I:$I,"D5")</f>
        <v>0</v>
      </c>
      <c r="AZ35" s="48">
        <f>SUMIFS($D:$D,$E:$E,"FAUX",$G:$G,"F2",$M:$M,"E",$N:$N,"E*")*SUMIFS($J:$J,$E:$E,"VRAI",$F:$F,"F",$M:$M,"D")*SUMIFS($J:$J,$E:$E,"VRAI",$H:$H,"E",$I:$I,"D6")</f>
        <v>0</v>
      </c>
      <c r="BA35" s="46">
        <f>SUMIFS($D:$D,$E:$E,"FAUX",$G:$G,"F2",$M:$M,"E",$N:$N,"E*")*SUMIFS($J:$J,$E:$E,"VRAI",$I:$I,"E1",$F:$F,"F")</f>
        <v>0</v>
      </c>
      <c r="BB35" s="47">
        <f>SUMIFS($D:$D,$E:$E,"FAUX",$G:$G,"F2",$M:$M,"E",$N:$N,"E*")*SUMIFS($J:$J,$E:$E,"VRAI",$I:$I,"E2",$F:$F,"F")</f>
        <v>0</v>
      </c>
      <c r="BC35" s="47">
        <f>SUMIFS($D:$D,$E:$E,"FAUX",$G:$G,"F2",$M:$M,"E",$N:$N,"E*")*SUMIFS($J:$J,$E:$E,"VRAI",$I:$I,"E3",$F:$F,"F")</f>
        <v>0</v>
      </c>
      <c r="BD35" s="47">
        <f>SUMIFS($D:$D,$E:$E,"FAUX",$G:$G,"F2",$M:$M,"E",$N:$N,"E*")*SUMIFS($J:$J,$E:$E,"VRAI",$I:$I,"E4",$F:$F,"F")</f>
        <v>0</v>
      </c>
      <c r="BE35" s="47">
        <f>SUMIFS($D:$D,$E:$E,"FAUX",$G:$G,"F2",$M:$M,"E",$N:$N,"E*")*SUMIFS($J:$J,$E:$E,"VRAI",$I:$I,"E5",$F:$F,"F")</f>
        <v>0</v>
      </c>
      <c r="BF35" s="48">
        <f>SUMIFS($D:$D,$E:$E,"FAUX",$G:$G,"F2",$M:$M,"E",$N:$N,"E*")*SUMIFS($J:$J,$E:$E,"VRAI",$I:$I,"E6",$F:$F,"F")</f>
        <v>0</v>
      </c>
      <c r="BG35" s="39">
        <f>SUMIFS($D:$D,$O:$O,"F_2_1")</f>
        <v>0</v>
      </c>
      <c r="BH35" s="39">
        <f>SUMIFS($D:$D,$O:$O,"F_2_2")</f>
        <v>0</v>
      </c>
      <c r="BI35" s="39">
        <f>SUMIFS($D:$D,$O:$O,"F_2_3")</f>
        <v>0</v>
      </c>
      <c r="BJ35" s="39">
        <f>SUMIFS($D:$D,$O:$O,"F_2_4")</f>
        <v>0</v>
      </c>
      <c r="BK35" s="39">
        <f>SUMIFS($D:$D,$O:$O,"F_2_5")</f>
        <v>0</v>
      </c>
      <c r="BL35" s="40">
        <f>SUMIFS($D:$D,$O:$O,"F_2_6")</f>
        <v>0</v>
      </c>
      <c r="BM35" s="31">
        <f>SUMIFS($D:$D,$E:$E,"FAUX",$G:$G,"F2",$M:$M,"E",$N:$N,"F*")*SUMIFS($J:$J,$O:$O,"G_1_1")</f>
        <v>0</v>
      </c>
      <c r="BN35" s="27">
        <f>SUMIFS($D:$D,$E:$E,"FAUX",$G:$G,"F2",$M:$M,"E",$N:$N,"F*")*SUMIFS($J:$J,$O:$O,"G_1_2")</f>
        <v>0</v>
      </c>
      <c r="BO35" s="27">
        <f>SUMIFS($D:$D,$E:$E,"FAUX",$G:$G,"F2",$M:$M,"E",$N:$N,"F*")*SUMIFS($J:$J,$O:$O,"G_1_3")</f>
        <v>0</v>
      </c>
      <c r="BP35" s="27">
        <f>SUMIFS($D:$D,$E:$E,"FAUX",$G:$G,"F2",$M:$M,"E",$N:$N,"F*")*SUMIFS($J:$J,$O:$O,"G_1_4")</f>
        <v>0</v>
      </c>
      <c r="BQ35" s="27">
        <f>SUMIFS($D:$D,$E:$E,"FAUX",$G:$G,"F2",$M:$M,"E",$N:$N,"F*")*SUMIFS($J:$J,$O:$O,"G_1_5")</f>
        <v>0</v>
      </c>
      <c r="BR35" s="27">
        <f>SUMIFS($D:$D,$E:$E,"FAUX",$G:$G,"F2",$M:$M,"E",$N:$N,"F*")*SUMIFS($J:$J,$O:$O,"G_1_6")</f>
        <v>0</v>
      </c>
      <c r="BS35" s="46">
        <f>SUMIFS($D:$D,$E:$E,"FAUX",$G:$G,"F2",$M:$M,"F",$N:$N,"E*")*SUMIFS($J:$J,$E:$E,"VRAI",$F:$F,"F",$M:$M,"H")*SUMIFS($J:$J,$E:$E,"VRAI",$F:$F,"G",$I:$I,"H1")</f>
        <v>0</v>
      </c>
      <c r="BT35" s="47">
        <f>SUMIFS($D:$D,$E:$E,"FAUX",$G:$G,"F2",$M:$M,"F",$N:$N,"E*")*SUMIFS($J:$J,$E:$E,"VRAI",$F:$F,"F",$M:$M,"H")*SUMIFS($J:$J,$E:$E,"VRAI",$F:$F,"G",$I:$I,"H2")</f>
        <v>0</v>
      </c>
      <c r="BU35" s="47">
        <f>SUMIFS($D:$D,$E:$E,"FAUX",$G:$G,"F2",$M:$M,"F",$N:$N,"E*")*SUMIFS($J:$J,$E:$E,"VRAI",$F:$F,"F",$M:$M,"H")*SUMIFS($J:$J,$E:$E,"VRAI",$F:$F,"G",$I:$I,"H3")</f>
        <v>0</v>
      </c>
      <c r="BV35" s="47">
        <f>SUMIFS($D:$D,$E:$E,"FAUX",$G:$G,"F2",$M:$M,"F",$N:$N,"E*")*SUMIFS($J:$J,$E:$E,"VRAI",$F:$F,"F",$M:$M,"H")*SUMIFS($J:$J,$E:$E,"VRAI",$F:$F,"G",$I:$I,"H4")</f>
        <v>0</v>
      </c>
      <c r="BW35" s="47">
        <f>SUMIFS($D:$D,$E:$E,"FAUX",$G:$G,"F2",$M:$M,"F",$N:$N,"E*")*SUMIFS($J:$J,$E:$E,"VRAI",$F:$F,"F",$M:$M,"H")*SUMIFS($J:$J,$E:$E,"VRAI",$F:$F,"G",$I:$I,"H5")</f>
        <v>0</v>
      </c>
      <c r="BX35" s="47">
        <f>SUMIFS($D:$D,$E:$E,"FAUX",$G:$G,"F2",$M:$M,"F",$N:$N,"E*")*SUMIFS($J:$J,$E:$E,"VRAI",$F:$F,"F",$M:$M,"H")*SUMIFS($J:$J,$E:$E,"VRAI",$F:$F,"G",$I:$I,"H6")</f>
        <v>0</v>
      </c>
      <c r="BY35" s="46">
        <f>SUMIFS($D:$D,$E:$E,"FAUX",$G:$G,"F2",$M:$M,"F",$N:$N,"E*")*SUMIFS($J:$J,$E:$E,"VRAI",$F:$F,"F",$M:$M,"H")*SUMIFS($J:$J,$E:$E,"VRAI",$F:$F,"G",$M:$M,"I")*SUMIFS($J:$J,$E:$E,"VRAI",$F:$F,"H",$I:$I,"I1")</f>
        <v>0</v>
      </c>
      <c r="BZ35" s="47">
        <f>SUMIFS($D:$D,$E:$E,"FAUX",$G:$G,"F2",$M:$M,"F",$N:$N,"E*")*SUMIFS($J:$J,$E:$E,"VRAI",$F:$F,"F",$M:$M,"H")*SUMIFS($J:$J,$E:$E,"VRAI",$F:$F,"G",$M:$M,"I")*SUMIFS($J:$J,$E:$E,"VRAI",$F:$F,"H",$I:$I,"I2")</f>
        <v>0</v>
      </c>
      <c r="CA35" s="47">
        <f>SUMIFS($D:$D,$E:$E,"FAUX",$G:$G,"F2",$M:$M,"F",$N:$N,"E*")*SUMIFS($J:$J,$E:$E,"VRAI",$F:$F,"F",$M:$M,"H")*SUMIFS($J:$J,$E:$E,"VRAI",$F:$F,"G",$M:$M,"I")*SUMIFS($J:$J,$E:$E,"VRAI",$F:$F,"H",$I:$I,"I3")</f>
        <v>0</v>
      </c>
      <c r="CB35" s="47">
        <f>SUMIFS($D:$D,$E:$E,"FAUX",$G:$G,"F2",$M:$M,"F",$N:$N,"E*")*SUMIFS($J:$J,$E:$E,"VRAI",$F:$F,"F",$M:$M,"H")*SUMIFS($J:$J,$E:$E,"VRAI",$F:$F,"G",$M:$M,"I")*SUMIFS($J:$J,$E:$E,"VRAI",$F:$F,"H",$I:$I,"I4")</f>
        <v>0</v>
      </c>
      <c r="CC35" s="47">
        <f>SUMIFS($D:$D,$E:$E,"FAUX",$G:$G,"F2",$M:$M,"F",$N:$N,"E*")*SUMIFS($J:$J,$E:$E,"VRAI",$F:$F,"F",$M:$M,"H")*SUMIFS($J:$J,$E:$E,"VRAI",$F:$F,"G",$M:$M,"I")*SUMIFS($J:$J,$E:$E,"VRAI",$F:$F,"H",$I:$I,"I5")</f>
        <v>0</v>
      </c>
      <c r="CD35" s="47">
        <f>SUMIFS($D:$D,$E:$E,"FAUX",$G:$G,"F2",$M:$M,"F",$N:$N,"E*")*SUMIFS($J:$J,$E:$E,"VRAI",$F:$F,"F",$M:$M,"H")*SUMIFS($J:$J,$E:$E,"VRAI",$F:$F,"G",$M:$M,"I")*SUMIFS($J:$J,$E:$E,"VRAI",$F:$F,"H",$I:$I,"I6")</f>
        <v>0</v>
      </c>
      <c r="CE35" s="46">
        <f>SUMIFS($D:$D,$E:$E,"FAUX",$G:$G,"F2",$M:$M,"F",$N:$N,"E*")*SUMIFS($J:$J,$E:$E,"VRAI",$F:$F,"F",$M:$M,"H")*SUMIFS($J:$J,$E:$E,"VRAI",$F:$F,"G",$M:$M,"I")*SUMIFS($J:$J,$E:$E,"VRAI",$F:$F,"H",$M:$M,"J")*SUMIFS($J:$J,$E:$E,"VRAI",$F:$F,"I",$I:$I,"J1")</f>
        <v>0</v>
      </c>
      <c r="CF35" s="47">
        <f>SUMIFS($D:$D,$E:$E,"FAUX",$G:$G,"F2",$M:$M,"F",$N:$N,"E*")*SUMIFS($J:$J,$E:$E,"VRAI",$F:$F,"F",$M:$M,"H")*SUMIFS($J:$J,$E:$E,"VRAI",$F:$F,"G",$M:$M,"I")*SUMIFS($J:$J,$E:$E,"VRAI",$F:$F,"H",$M:$M,"J")*SUMIFS($J:$J,$E:$E,"VRAI",$F:$F,"I",$I:$I,"J2")</f>
        <v>0</v>
      </c>
      <c r="CG35" s="47">
        <f>SUMIFS($D:$D,$E:$E,"FAUX",$G:$G,"F2",$M:$M,"F",$N:$N,"E*")*SUMIFS($J:$J,$E:$E,"VRAI",$F:$F,"F",$M:$M,"H")*SUMIFS($J:$J,$E:$E,"VRAI",$F:$F,"G",$M:$M,"I")*SUMIFS($J:$J,$E:$E,"VRAI",$F:$F,"H",$M:$M,"J")*SUMIFS($J:$J,$E:$E,"VRAI",$F:$F,"I",$I:$I,"J3")</f>
        <v>0</v>
      </c>
      <c r="CH35" s="47">
        <f>SUMIFS($D:$D,$E:$E,"FAUX",$G:$G,"F2",$M:$M,"F",$N:$N,"E*")*SUMIFS($J:$J,$E:$E,"VRAI",$F:$F,"F",$M:$M,"H")*SUMIFS($J:$J,$E:$E,"VRAI",$F:$F,"G",$M:$M,"I")*SUMIFS($J:$J,$E:$E,"VRAI",$F:$F,"H",$M:$M,"J")*SUMIFS($J:$J,$E:$E,"VRAI",$F:$F,"I",$I:$I,"J4")</f>
        <v>0</v>
      </c>
      <c r="CI35" s="47">
        <f>SUMIFS($D:$D,$E:$E,"FAUX",$G:$G,"F2",$M:$M,"F",$N:$N,"E*")*SUMIFS($J:$J,$E:$E,"VRAI",$F:$F,"F",$M:$M,"H")*SUMIFS($J:$J,$E:$E,"VRAI",$F:$F,"G",$M:$M,"I")*SUMIFS($J:$J,$E:$E,"VRAI",$F:$F,"H",$M:$M,"J")*SUMIFS($J:$J,$E:$E,"VRAI",$F:$F,"I",$I:$I,"J5")</f>
        <v>0</v>
      </c>
      <c r="CJ35" s="47">
        <f>SUMIFS($D:$D,$E:$E,"FAUX",$G:$G,"F2",$M:$M,"F",$N:$N,"E*")*SUMIFS($J:$J,$E:$E,"VRAI",$F:$F,"F",$M:$M,"H")*SUMIFS($J:$J,$E:$E,"VRAI",$F:$F,"G",$M:$M,"I")*SUMIFS($J:$J,$E:$E,"VRAI",$F:$F,"H",$M:$M,"J")*SUMIFS($J:$J,$E:$E,"VRAI",$F:$F,"I",$I:$I,"J6")</f>
        <v>0</v>
      </c>
      <c r="CK35" s="46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5" s="47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5" s="47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5" s="47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5" s="47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5" s="48">
        <f>SUMIFS($D:$D,$E:$E,"FAUX",$G:$G,"F2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6" spans="1:94">
      <c r="A36" s="35" t="s">
        <v>9</v>
      </c>
      <c r="B36" s="35">
        <v>2</v>
      </c>
      <c r="C36" s="35">
        <v>2</v>
      </c>
      <c r="D36" s="35">
        <v>0</v>
      </c>
      <c r="E36" s="35" t="b">
        <v>0</v>
      </c>
      <c r="F36" s="35"/>
      <c r="G36" s="53" t="str">
        <f t="shared" si="0"/>
        <v>B2</v>
      </c>
      <c r="H36" s="52" t="str">
        <f t="shared" si="5"/>
        <v/>
      </c>
      <c r="I36" s="41" t="str">
        <f t="shared" si="1"/>
        <v>B2</v>
      </c>
      <c r="J36" s="42">
        <f t="shared" si="2"/>
        <v>0</v>
      </c>
      <c r="K36" s="41">
        <f t="shared" si="6"/>
        <v>199</v>
      </c>
      <c r="L36" s="41" t="str">
        <f t="shared" si="3"/>
        <v/>
      </c>
      <c r="M36" s="41" t="str">
        <f t="shared" si="7"/>
        <v/>
      </c>
      <c r="N36" s="41" t="str">
        <f>IFERROR(VLOOKUP(I36,L36:L:L,1,FALSE),"")</f>
        <v/>
      </c>
      <c r="O36" s="56" t="str">
        <f t="shared" si="8"/>
        <v>B_2_2</v>
      </c>
      <c r="U36" t="s">
        <v>45</v>
      </c>
      <c r="V36">
        <f>SUMIFS(D:D,A:A,"E",B:B,"1")</f>
        <v>953</v>
      </c>
      <c r="Z36" t="str">
        <f t="shared" si="9"/>
        <v>F3</v>
      </c>
      <c r="AA36" t="str">
        <f t="shared" si="10"/>
        <v>F3</v>
      </c>
      <c r="AB36" t="s">
        <v>53</v>
      </c>
      <c r="AC36" s="46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6" s="47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6" s="47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6" s="47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6" s="47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6" s="48">
        <f>SUMIFS($D:$D,$E:$E,"FAUX",$G:$G,"F3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6" s="46">
        <f>SUMIFS($D:$D,$E:$E,"FAUX",$G:$G,"F3",$M:$M,"E",$N:$N,"E*")*SUMIFS($J:$J,$E:$E,"VRAI",$F:$F,"D",$M:$M,"B")*SUMIFS($J:$J,$E:$E,"VRAI",$F:$F,"C",$M:$M,"A")*SUMIFS($J:$J,$E:$E,"VRAI",$F:$F,"E",$M:$M,"C")*SUMIFS($J:$J,$E:$E,"VRAI",$H:$H,"C",$I:$I,"B1")</f>
        <v>0</v>
      </c>
      <c r="AJ36" s="47">
        <f>SUMIFS($D:$D,$E:$E,"FAUX",$G:$G,"F3",$M:$M,"E",$N:$N,"E*")*SUMIFS($J:$J,$E:$E,"VRAI",$F:$F,"D",$M:$M,"B")*SUMIFS($J:$J,$E:$E,"VRAI",$F:$F,"C",$M:$M,"A")*SUMIFS($J:$J,$E:$E,"VRAI",$F:$F,"E",$M:$M,"C")*SUMIFS($J:$J,$E:$E,"VRAI",$H:$H,"C",$I:$I,"B2")</f>
        <v>0</v>
      </c>
      <c r="AK36" s="47">
        <f>SUMIFS($D:$D,$E:$E,"FAUX",$G:$G,"F3",$M:$M,"E",$N:$N,"E*")*SUMIFS($J:$J,$E:$E,"VRAI",$F:$F,"D",$M:$M,"B")*SUMIFS($J:$J,$E:$E,"VRAI",$F:$F,"C",$M:$M,"A")*SUMIFS($J:$J,$E:$E,"VRAI",$F:$F,"E",$M:$M,"C")*SUMIFS($J:$J,$E:$E,"VRAI",$H:$H,"C",$I:$I,"B3")</f>
        <v>0</v>
      </c>
      <c r="AL36" s="47">
        <f>SUMIFS($D:$D,$E:$E,"FAUX",$G:$G,"F3",$M:$M,"E",$N:$N,"E*")*SUMIFS($J:$J,$E:$E,"VRAI",$F:$F,"D",$M:$M,"B")*SUMIFS($J:$J,$E:$E,"VRAI",$F:$F,"C",$M:$M,"A")*SUMIFS($J:$J,$E:$E,"VRAI",$F:$F,"E",$M:$M,"C")*SUMIFS($J:$J,$E:$E,"VRAI",$H:$H,"C",$I:$I,"B4")</f>
        <v>0</v>
      </c>
      <c r="AM36" s="47">
        <f>SUMIFS($D:$D,$E:$E,"FAUX",$G:$G,"F3",$M:$M,"E",$N:$N,"E*")*SUMIFS($J:$J,$E:$E,"VRAI",$F:$F,"D",$M:$M,"B")*SUMIFS($J:$J,$E:$E,"VRAI",$F:$F,"C",$M:$M,"A")*SUMIFS($J:$J,$E:$E,"VRAI",$F:$F,"E",$M:$M,"C")*SUMIFS($J:$J,$E:$E,"VRAI",$H:$H,"C",$I:$I,"B5")</f>
        <v>0</v>
      </c>
      <c r="AN36" s="48">
        <f>SUMIFS($D:$D,$E:$E,"FAUX",$G:$G,"F3",$M:$M,"E",$N:$N,"E*")*SUMIFS($J:$J,$E:$E,"VRAI",$F:$F,"D",$M:$M,"B")*SUMIFS($J:$J,$E:$E,"VRAI",$F:$F,"C",$M:$M,"A")*SUMIFS($J:$J,$E:$E,"VRAI",$F:$F,"E",$M:$M,"C")*SUMIFS($J:$J,$E:$E,"VRAI",$H:$H,"C",$I:$I,"B6")</f>
        <v>0</v>
      </c>
      <c r="AO36" s="46">
        <f t="shared" ref="AO36:AT36" si="13">SUMIFS($D:$D,$E:$E,"FAUX",$G:$G,"F3",$M:$M,"E",$N:$N,"E*")*SUMIFS($J:$J,$E:$E,"VRAI",$F:$F,"E",$M:$M,"C")*SUMIFS($J:$J,$E:$E,"VRAI",$F:$F,"F",$M:$M,"D")*SUMIFS($J:$J,$E:$E,"VRAI",$H:$H,"D",$I:$I,"C1")</f>
        <v>0</v>
      </c>
      <c r="AP36" s="47">
        <f t="shared" si="13"/>
        <v>0</v>
      </c>
      <c r="AQ36" s="47">
        <f t="shared" si="13"/>
        <v>0</v>
      </c>
      <c r="AR36" s="47">
        <f t="shared" si="13"/>
        <v>0</v>
      </c>
      <c r="AS36" s="47">
        <f t="shared" si="13"/>
        <v>0</v>
      </c>
      <c r="AT36" s="48">
        <f t="shared" si="13"/>
        <v>0</v>
      </c>
      <c r="AU36" s="46">
        <f>SUMIFS($D:$D,$E:$E,"FAUX",$G:$G,"F3",$M:$M,"E",$N:$N,"E*")*SUMIFS($J:$J,$E:$E,"VRAI",$F:$F,"F",$M:$M,"D")*SUMIFS($J:$J,$E:$E,"VRAI",$H:$H,"E",$I:$I,"D1")</f>
        <v>0</v>
      </c>
      <c r="AV36" s="47">
        <f>SUMIFS($D:$D,$E:$E,"FAUX",$G:$G,"F3",$M:$M,"E",$N:$N,"E*")*SUMIFS($J:$J,$E:$E,"VRAI",$F:$F,"F",$M:$M,"D")*SUMIFS($J:$J,$E:$E,"VRAI",$H:$H,"E",$I:$I,"D2")</f>
        <v>0</v>
      </c>
      <c r="AW36" s="47">
        <f>SUMIFS($D:$D,$E:$E,"FAUX",$G:$G,"F3",$M:$M,"E",$N:$N,"E*")*SUMIFS($J:$J,$E:$E,"VRAI",$F:$F,"F",$M:$M,"D")*SUMIFS($J:$J,$E:$E,"VRAI",$H:$H,"E",$I:$I,"D3")</f>
        <v>0</v>
      </c>
      <c r="AX36" s="47">
        <f>SUMIFS($D:$D,$E:$E,"FAUX",$G:$G,"F3",$M:$M,"E",$N:$N,"E*")*SUMIFS($J:$J,$E:$E,"VRAI",$F:$F,"F",$M:$M,"D")*SUMIFS($J:$J,$E:$E,"VRAI",$H:$H,"E",$I:$I,"D4")</f>
        <v>0</v>
      </c>
      <c r="AY36" s="47">
        <f>SUMIFS($D:$D,$E:$E,"FAUX",$G:$G,"F3",$M:$M,"E",$N:$N,"E*")*SUMIFS($J:$J,$E:$E,"VRAI",$F:$F,"F",$M:$M,"D")*SUMIFS($J:$J,$E:$E,"VRAI",$H:$H,"E",$I:$I,"D5")</f>
        <v>0</v>
      </c>
      <c r="AZ36" s="48">
        <f>SUMIFS($D:$D,$E:$E,"FAUX",$G:$G,"F3",$M:$M,"E",$N:$N,"E*")*SUMIFS($J:$J,$E:$E,"VRAI",$F:$F,"F",$M:$M,"D")*SUMIFS($J:$J,$E:$E,"VRAI",$H:$H,"E",$I:$I,"D6")</f>
        <v>0</v>
      </c>
      <c r="BA36" s="46">
        <f>SUMIFS($D:$D,$E:$E,"FAUX",$G:$G,"F3",$M:$M,"E",$N:$N,"E*")*SUMIFS($J:$J,$E:$E,"VRAI",$I:$I,"E1",$F:$F,"F")</f>
        <v>0</v>
      </c>
      <c r="BB36" s="47">
        <f>SUMIFS($D:$D,$E:$E,"FAUX",$G:$G,"F3",$M:$M,"E",$N:$N,"E*")*SUMIFS($J:$J,$E:$E,"VRAI",$I:$I,"E2",$F:$F,"F")</f>
        <v>0</v>
      </c>
      <c r="BC36" s="47">
        <f>SUMIFS($D:$D,$E:$E,"FAUX",$G:$G,"F3",$M:$M,"E",$N:$N,"E*")*SUMIFS($J:$J,$E:$E,"VRAI",$I:$I,"E3",$F:$F,"F")</f>
        <v>0</v>
      </c>
      <c r="BD36" s="47">
        <f>SUMIFS($D:$D,$E:$E,"FAUX",$G:$G,"F3",$M:$M,"E",$N:$N,"E*")*SUMIFS($J:$J,$E:$E,"VRAI",$I:$I,"E4",$F:$F,"F")</f>
        <v>0</v>
      </c>
      <c r="BE36" s="47">
        <f>SUMIFS($D:$D,$E:$E,"FAUX",$G:$G,"F3",$M:$M,"E",$N:$N,"E*")*SUMIFS($J:$J,$E:$E,"VRAI",$I:$I,"E5",$F:$F,"F")</f>
        <v>0</v>
      </c>
      <c r="BF36" s="48">
        <f>SUMIFS($D:$D,$E:$E,"FAUX",$G:$G,"F3",$M:$M,"E",$N:$N,"E*")*SUMIFS($J:$J,$E:$E,"VRAI",$I:$I,"E6",$F:$F,"F")</f>
        <v>0</v>
      </c>
      <c r="BG36" s="39">
        <f>SUMIFS($D:$D,$O:$O,"F_3_1")</f>
        <v>1090</v>
      </c>
      <c r="BH36" s="39">
        <f>SUMIFS($D:$D,$O:$O,"F_3_2")</f>
        <v>283</v>
      </c>
      <c r="BI36" s="39">
        <f>SUMIFS($D:$D,$O:$O,"F_3_3")</f>
        <v>0</v>
      </c>
      <c r="BJ36" s="39">
        <f>SUMIFS($D:$D,$O:$O,"F_3_4")</f>
        <v>239</v>
      </c>
      <c r="BK36" s="39">
        <f>SUMIFS($D:$D,$O:$O,"F_3_5")</f>
        <v>0</v>
      </c>
      <c r="BL36" s="40">
        <f>SUMIFS($D:$D,$O:$O,"F_3_6")</f>
        <v>0</v>
      </c>
      <c r="BM36" s="31">
        <f>SUMIFS($D:$D,$E:$E,"FAUX",$G:$G,"F3",$M:$M,"E",$N:$N,"F*")*SUMIFS($J:$J,$O:$O,"G_1_1")</f>
        <v>0</v>
      </c>
      <c r="BN36" s="27">
        <f>SUMIFS($D:$D,$E:$E,"FAUX",$G:$G,"F3",$M:$M,"E",$N:$N,"F*")*SUMIFS($J:$J,$O:$O,"G_1_2")</f>
        <v>0</v>
      </c>
      <c r="BO36" s="27">
        <f>SUMIFS($D:$D,$E:$E,"FAUX",$G:$G,"F3",$M:$M,"E",$N:$N,"F*")*SUMIFS($J:$J,$O:$O,"G_1_3")</f>
        <v>0</v>
      </c>
      <c r="BP36" s="27">
        <f>SUMIFS($D:$D,$E:$E,"FAUX",$G:$G,"F3",$M:$M,"E",$N:$N,"F*")*SUMIFS($J:$J,$O:$O,"G_1_4")</f>
        <v>0</v>
      </c>
      <c r="BQ36" s="27">
        <f>SUMIFS($D:$D,$E:$E,"FAUX",$G:$G,"F3",$M:$M,"E",$N:$N,"F*")*SUMIFS($J:$J,$O:$O,"G_1_5")</f>
        <v>0</v>
      </c>
      <c r="BR36" s="27">
        <f>SUMIFS($D:$D,$E:$E,"FAUX",$G:$G,"F3",$M:$M,"E",$N:$N,"F*")*SUMIFS($J:$J,$O:$O,"G_1_6")</f>
        <v>0</v>
      </c>
      <c r="BS36" s="46">
        <f>SUMIFS($D:$D,$E:$E,"FAUX",$G:$G,"F3",$M:$M,"F",$N:$N,"E*")*SUMIFS($J:$J,$E:$E,"VRAI",$F:$F,"F",$M:$M,"H")*SUMIFS($J:$J,$E:$E,"VRAI",$F:$F,"G",$I:$I,"H1")</f>
        <v>0</v>
      </c>
      <c r="BT36" s="47">
        <f>SUMIFS($D:$D,$E:$E,"FAUX",$G:$G,"F3",$M:$M,"F",$N:$N,"E*")*SUMIFS($J:$J,$E:$E,"VRAI",$F:$F,"F",$M:$M,"H")*SUMIFS($J:$J,$E:$E,"VRAI",$F:$F,"G",$I:$I,"H2")</f>
        <v>0</v>
      </c>
      <c r="BU36" s="47">
        <f>SUMIFS($D:$D,$E:$E,"FAUX",$G:$G,"F3",$M:$M,"F",$N:$N,"E*")*SUMIFS($J:$J,$E:$E,"VRAI",$F:$F,"F",$M:$M,"H")*SUMIFS($J:$J,$E:$E,"VRAI",$F:$F,"G",$I:$I,"H3")</f>
        <v>0</v>
      </c>
      <c r="BV36" s="47">
        <f>SUMIFS($D:$D,$E:$E,"FAUX",$G:$G,"F3",$M:$M,"F",$N:$N,"E*")*SUMIFS($J:$J,$E:$E,"VRAI",$F:$F,"F",$M:$M,"H")*SUMIFS($J:$J,$E:$E,"VRAI",$F:$F,"G",$I:$I,"H4")</f>
        <v>0</v>
      </c>
      <c r="BW36" s="47">
        <f>SUMIFS($D:$D,$E:$E,"FAUX",$G:$G,"F3",$M:$M,"F",$N:$N,"E*")*SUMIFS($J:$J,$E:$E,"VRAI",$F:$F,"F",$M:$M,"H")*SUMIFS($J:$J,$E:$E,"VRAI",$F:$F,"G",$I:$I,"H5")</f>
        <v>0</v>
      </c>
      <c r="BX36" s="47">
        <f>SUMIFS($D:$D,$E:$E,"FAUX",$G:$G,"F3",$M:$M,"F",$N:$N,"E*")*SUMIFS($J:$J,$E:$E,"VRAI",$F:$F,"F",$M:$M,"H")*SUMIFS($J:$J,$E:$E,"VRAI",$F:$F,"G",$I:$I,"H6")</f>
        <v>0</v>
      </c>
      <c r="BY36" s="46">
        <f>SUMIFS($D:$D,$E:$E,"FAUX",$G:$G,"F3",$M:$M,"F",$N:$N,"E*")*SUMIFS($J:$J,$E:$E,"VRAI",$F:$F,"F",$M:$M,"H")*SUMIFS($J:$J,$E:$E,"VRAI",$F:$F,"G",$M:$M,"I")*SUMIFS($J:$J,$E:$E,"VRAI",$F:$F,"H",$I:$I,"I1")</f>
        <v>0</v>
      </c>
      <c r="BZ36" s="47">
        <f>SUMIFS($D:$D,$E:$E,"FAUX",$G:$G,"F3",$M:$M,"F",$N:$N,"E*")*SUMIFS($J:$J,$E:$E,"VRAI",$F:$F,"F",$M:$M,"H")*SUMIFS($J:$J,$E:$E,"VRAI",$F:$F,"G",$M:$M,"I")*SUMIFS($J:$J,$E:$E,"VRAI",$F:$F,"H",$I:$I,"I2")</f>
        <v>0</v>
      </c>
      <c r="CA36" s="47">
        <f>SUMIFS($D:$D,$E:$E,"FAUX",$G:$G,"F3",$M:$M,"F",$N:$N,"E*")*SUMIFS($J:$J,$E:$E,"VRAI",$F:$F,"F",$M:$M,"H")*SUMIFS($J:$J,$E:$E,"VRAI",$F:$F,"G",$M:$M,"I")*SUMIFS($J:$J,$E:$E,"VRAI",$F:$F,"H",$I:$I,"I3")</f>
        <v>0</v>
      </c>
      <c r="CB36" s="47">
        <f>SUMIFS($D:$D,$E:$E,"FAUX",$G:$G,"F3",$M:$M,"F",$N:$N,"E*")*SUMIFS($J:$J,$E:$E,"VRAI",$F:$F,"F",$M:$M,"H")*SUMIFS($J:$J,$E:$E,"VRAI",$F:$F,"G",$M:$M,"I")*SUMIFS($J:$J,$E:$E,"VRAI",$F:$F,"H",$I:$I,"I4")</f>
        <v>0</v>
      </c>
      <c r="CC36" s="47">
        <f>SUMIFS($D:$D,$E:$E,"FAUX",$G:$G,"F3",$M:$M,"F",$N:$N,"E*")*SUMIFS($J:$J,$E:$E,"VRAI",$F:$F,"F",$M:$M,"H")*SUMIFS($J:$J,$E:$E,"VRAI",$F:$F,"G",$M:$M,"I")*SUMIFS($J:$J,$E:$E,"VRAI",$F:$F,"H",$I:$I,"I5")</f>
        <v>0</v>
      </c>
      <c r="CD36" s="47">
        <f>SUMIFS($D:$D,$E:$E,"FAUX",$G:$G,"F3",$M:$M,"F",$N:$N,"E*")*SUMIFS($J:$J,$E:$E,"VRAI",$F:$F,"F",$M:$M,"H")*SUMIFS($J:$J,$E:$E,"VRAI",$F:$F,"G",$M:$M,"I")*SUMIFS($J:$J,$E:$E,"VRAI",$F:$F,"H",$I:$I,"I6")</f>
        <v>0</v>
      </c>
      <c r="CE36" s="46">
        <f>SUMIFS($D:$D,$E:$E,"FAUX",$G:$G,"F3",$M:$M,"F",$N:$N,"E*")*SUMIFS($J:$J,$E:$E,"VRAI",$F:$F,"F",$M:$M,"H")*SUMIFS($J:$J,$E:$E,"VRAI",$F:$F,"G",$M:$M,"I")*SUMIFS($J:$J,$E:$E,"VRAI",$F:$F,"H",$M:$M,"J")*SUMIFS($J:$J,$E:$E,"VRAI",$F:$F,"I",$I:$I,"J1")</f>
        <v>0</v>
      </c>
      <c r="CF36" s="47">
        <f>SUMIFS($D:$D,$E:$E,"FAUX",$G:$G,"F3",$M:$M,"F",$N:$N,"E*")*SUMIFS($J:$J,$E:$E,"VRAI",$F:$F,"F",$M:$M,"H")*SUMIFS($J:$J,$E:$E,"VRAI",$F:$F,"G",$M:$M,"I")*SUMIFS($J:$J,$E:$E,"VRAI",$F:$F,"H",$M:$M,"J")*SUMIFS($J:$J,$E:$E,"VRAI",$F:$F,"I",$I:$I,"J2")</f>
        <v>0</v>
      </c>
      <c r="CG36" s="47">
        <f>SUMIFS($D:$D,$E:$E,"FAUX",$G:$G,"F3",$M:$M,"F",$N:$N,"E*")*SUMIFS($J:$J,$E:$E,"VRAI",$F:$F,"F",$M:$M,"H")*SUMIFS($J:$J,$E:$E,"VRAI",$F:$F,"G",$M:$M,"I")*SUMIFS($J:$J,$E:$E,"VRAI",$F:$F,"H",$M:$M,"J")*SUMIFS($J:$J,$E:$E,"VRAI",$F:$F,"I",$I:$I,"J3")</f>
        <v>0</v>
      </c>
      <c r="CH36" s="47">
        <f>SUMIFS($D:$D,$E:$E,"FAUX",$G:$G,"F3",$M:$M,"F",$N:$N,"E*")*SUMIFS($J:$J,$E:$E,"VRAI",$F:$F,"F",$M:$M,"H")*SUMIFS($J:$J,$E:$E,"VRAI",$F:$F,"G",$M:$M,"I")*SUMIFS($J:$J,$E:$E,"VRAI",$F:$F,"H",$M:$M,"J")*SUMIFS($J:$J,$E:$E,"VRAI",$F:$F,"I",$I:$I,"J4")</f>
        <v>0</v>
      </c>
      <c r="CI36" s="47">
        <f>SUMIFS($D:$D,$E:$E,"FAUX",$G:$G,"F3",$M:$M,"F",$N:$N,"E*")*SUMIFS($J:$J,$E:$E,"VRAI",$F:$F,"F",$M:$M,"H")*SUMIFS($J:$J,$E:$E,"VRAI",$F:$F,"G",$M:$M,"I")*SUMIFS($J:$J,$E:$E,"VRAI",$F:$F,"H",$M:$M,"J")*SUMIFS($J:$J,$E:$E,"VRAI",$F:$F,"I",$I:$I,"J5")</f>
        <v>0</v>
      </c>
      <c r="CJ36" s="47">
        <f>SUMIFS($D:$D,$E:$E,"FAUX",$G:$G,"F3",$M:$M,"F",$N:$N,"E*")*SUMIFS($J:$J,$E:$E,"VRAI",$F:$F,"F",$M:$M,"H")*SUMIFS($J:$J,$E:$E,"VRAI",$F:$F,"G",$M:$M,"I")*SUMIFS($J:$J,$E:$E,"VRAI",$F:$F,"H",$M:$M,"J")*SUMIFS($J:$J,$E:$E,"VRAI",$F:$F,"I",$I:$I,"J6")</f>
        <v>0</v>
      </c>
      <c r="CK36" s="46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6" s="47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6" s="47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6" s="47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6" s="47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6" s="48">
        <f>SUMIFS($D:$D,$E:$E,"FAUX",$G:$G,"F3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7" spans="1:94">
      <c r="A37" s="35" t="s">
        <v>9</v>
      </c>
      <c r="B37" s="35">
        <v>3</v>
      </c>
      <c r="C37" s="35">
        <v>4</v>
      </c>
      <c r="D37" s="35">
        <v>67</v>
      </c>
      <c r="E37" s="35" t="b">
        <v>1</v>
      </c>
      <c r="F37" s="35" t="s">
        <v>10</v>
      </c>
      <c r="G37" s="53" t="str">
        <f t="shared" si="0"/>
        <v>B3</v>
      </c>
      <c r="H37" s="52" t="str">
        <f t="shared" si="5"/>
        <v>C</v>
      </c>
      <c r="I37" s="41" t="str">
        <f t="shared" si="1"/>
        <v>B4</v>
      </c>
      <c r="J37" s="42">
        <f t="shared" si="2"/>
        <v>7.4610244988864149E-2</v>
      </c>
      <c r="K37" s="41">
        <f t="shared" si="6"/>
        <v>898</v>
      </c>
      <c r="L37" s="41" t="str">
        <f t="shared" si="3"/>
        <v>B3</v>
      </c>
      <c r="M37" s="41" t="str">
        <f t="shared" si="7"/>
        <v/>
      </c>
      <c r="N37" s="41" t="str">
        <f>IFERROR(VLOOKUP(I37,L37:L:L,1,FALSE),"")</f>
        <v/>
      </c>
      <c r="O37" s="56" t="str">
        <f t="shared" si="8"/>
        <v>B_3_4</v>
      </c>
      <c r="U37" t="s">
        <v>46</v>
      </c>
      <c r="V37">
        <f>SUMIFS(D:D,A:A,"E",B:B,"2")</f>
        <v>1252</v>
      </c>
      <c r="Z37" t="e">
        <f t="shared" si="9"/>
        <v>#N/A</v>
      </c>
      <c r="AA37" t="str">
        <f t="shared" si="10"/>
        <v>F4</v>
      </c>
      <c r="AB37" t="s">
        <v>54</v>
      </c>
      <c r="AC37" s="46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7" s="47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7" s="47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7" s="47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7" s="47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7" s="48">
        <f>SUMIFS($D:$D,$E:$E,"FAUX",$G:$G,"F4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7" s="46">
        <f>SUMIFS($D:$D,$E:$E,"FAUX",$G:$G,"F4",$M:$M,"E",$N:$N,"E*")*SUMIFS($J:$J,$E:$E,"VRAI",$F:$F,"D",$M:$M,"B")*SUMIFS($J:$J,$E:$E,"VRAI",$F:$F,"C",$M:$M,"A")*SUMIFS($J:$J,$E:$E,"VRAI",$F:$F,"E",$M:$M,"C")*SUMIFS($J:$J,$E:$E,"VRAI",$H:$H,"C",$I:$I,"B1")</f>
        <v>0</v>
      </c>
      <c r="AJ37" s="47">
        <f>SUMIFS($D:$D,$E:$E,"FAUX",$G:$G,"F4",$M:$M,"E",$N:$N,"E*")*SUMIFS($J:$J,$E:$E,"VRAI",$F:$F,"D",$M:$M,"B")*SUMIFS($J:$J,$E:$E,"VRAI",$F:$F,"C",$M:$M,"A")*SUMIFS($J:$J,$E:$E,"VRAI",$F:$F,"E",$M:$M,"C")*SUMIFS($J:$J,$E:$E,"VRAI",$H:$H,"C",$I:$I,"B2")</f>
        <v>0</v>
      </c>
      <c r="AK37" s="47">
        <f>SUMIFS($D:$D,$E:$E,"FAUX",$G:$G,"F4",$M:$M,"E",$N:$N,"E*")*SUMIFS($J:$J,$E:$E,"VRAI",$F:$F,"D",$M:$M,"B")*SUMIFS($J:$J,$E:$E,"VRAI",$F:$F,"C",$M:$M,"A")*SUMIFS($J:$J,$E:$E,"VRAI",$F:$F,"E",$M:$M,"C")*SUMIFS($J:$J,$E:$E,"VRAI",$H:$H,"C",$I:$I,"B3")</f>
        <v>0</v>
      </c>
      <c r="AL37" s="47">
        <f>SUMIFS($D:$D,$E:$E,"FAUX",$G:$G,"F4",$M:$M,"E",$N:$N,"E*")*SUMIFS($J:$J,$E:$E,"VRAI",$F:$F,"D",$M:$M,"B")*SUMIFS($J:$J,$E:$E,"VRAI",$F:$F,"C",$M:$M,"A")*SUMIFS($J:$J,$E:$E,"VRAI",$F:$F,"E",$M:$M,"C")*SUMIFS($J:$J,$E:$E,"VRAI",$H:$H,"C",$I:$I,"B4")</f>
        <v>0</v>
      </c>
      <c r="AM37" s="47">
        <f>SUMIFS($D:$D,$E:$E,"FAUX",$G:$G,"F4",$M:$M,"E",$N:$N,"E*")*SUMIFS($J:$J,$E:$E,"VRAI",$F:$F,"D",$M:$M,"B")*SUMIFS($J:$J,$E:$E,"VRAI",$F:$F,"C",$M:$M,"A")*SUMIFS($J:$J,$E:$E,"VRAI",$F:$F,"E",$M:$M,"C")*SUMIFS($J:$J,$E:$E,"VRAI",$H:$H,"C",$I:$I,"B5")</f>
        <v>0</v>
      </c>
      <c r="AN37" s="48">
        <f>SUMIFS($D:$D,$E:$E,"FAUX",$G:$G,"F4",$M:$M,"E",$N:$N,"E*")*SUMIFS($J:$J,$E:$E,"VRAI",$F:$F,"D",$M:$M,"B")*SUMIFS($J:$J,$E:$E,"VRAI",$F:$F,"C",$M:$M,"A")*SUMIFS($J:$J,$E:$E,"VRAI",$F:$F,"E",$M:$M,"C")*SUMIFS($J:$J,$E:$E,"VRAI",$H:$H,"C",$I:$I,"B6")</f>
        <v>0</v>
      </c>
      <c r="AO37" s="46">
        <f t="shared" ref="AO37:AT37" si="14">SUMIFS($D:$D,$E:$E,"FAUX",$G:$G,"F4",$M:$M,"E",$N:$N,"E*")*SUMIFS($J:$J,$E:$E,"VRAI",$F:$F,"E",$M:$M,"C")*SUMIFS($J:$J,$E:$E,"VRAI",$F:$F,"F",$M:$M,"D")*SUMIFS($J:$J,$E:$E,"VRAI",$H:$H,"D",$I:$I,"C1")</f>
        <v>0</v>
      </c>
      <c r="AP37" s="47">
        <f t="shared" si="14"/>
        <v>0</v>
      </c>
      <c r="AQ37" s="47">
        <f t="shared" si="14"/>
        <v>0</v>
      </c>
      <c r="AR37" s="47">
        <f t="shared" si="14"/>
        <v>0</v>
      </c>
      <c r="AS37" s="47">
        <f t="shared" si="14"/>
        <v>0</v>
      </c>
      <c r="AT37" s="48">
        <f t="shared" si="14"/>
        <v>0</v>
      </c>
      <c r="AU37" s="46">
        <f>SUMIFS($D:$D,$E:$E,"FAUX",$G:$G,"F4",$M:$M,"E",$N:$N,"E*")*SUMIFS($J:$J,$E:$E,"VRAI",$F:$F,"F",$M:$M,"D")*SUMIFS($J:$J,$E:$E,"VRAI",$H:$H,"E",$I:$I,"D1")</f>
        <v>0</v>
      </c>
      <c r="AV37" s="47">
        <f>SUMIFS($D:$D,$E:$E,"FAUX",$G:$G,"F4",$M:$M,"E",$N:$N,"E*")*SUMIFS($J:$J,$E:$E,"VRAI",$F:$F,"F",$M:$M,"D")*SUMIFS($J:$J,$E:$E,"VRAI",$H:$H,"E",$I:$I,"D2")</f>
        <v>0</v>
      </c>
      <c r="AW37" s="47">
        <f>SUMIFS($D:$D,$E:$E,"FAUX",$G:$G,"F4",$M:$M,"E",$N:$N,"E*")*SUMIFS($J:$J,$E:$E,"VRAI",$F:$F,"F",$M:$M,"D")*SUMIFS($J:$J,$E:$E,"VRAI",$H:$H,"E",$I:$I,"D3")</f>
        <v>0</v>
      </c>
      <c r="AX37" s="47">
        <f>SUMIFS($D:$D,$E:$E,"FAUX",$G:$G,"F4",$M:$M,"E",$N:$N,"E*")*SUMIFS($J:$J,$E:$E,"VRAI",$F:$F,"F",$M:$M,"D")*SUMIFS($J:$J,$E:$E,"VRAI",$H:$H,"E",$I:$I,"D4")</f>
        <v>0</v>
      </c>
      <c r="AY37" s="47">
        <f>SUMIFS($D:$D,$E:$E,"FAUX",$G:$G,"F4",$M:$M,"E",$N:$N,"E*")*SUMIFS($J:$J,$E:$E,"VRAI",$F:$F,"F",$M:$M,"D")*SUMIFS($J:$J,$E:$E,"VRAI",$H:$H,"E",$I:$I,"D5")</f>
        <v>0</v>
      </c>
      <c r="AZ37" s="48">
        <f>SUMIFS($D:$D,$E:$E,"FAUX",$G:$G,"F4",$M:$M,"E",$N:$N,"E*")*SUMIFS($J:$J,$E:$E,"VRAI",$F:$F,"F",$M:$M,"D")*SUMIFS($J:$J,$E:$E,"VRAI",$H:$H,"E",$I:$I,"D6")</f>
        <v>0</v>
      </c>
      <c r="BA37" s="46">
        <f>SUMIFS($D:$D,$E:$E,"FAUX",$G:$G,"F4",$M:$M,"E",$N:$N,"E*")*SUMIFS($J:$J,$E:$E,"VRAI",$I:$I,"E1",$F:$F,"F")</f>
        <v>0</v>
      </c>
      <c r="BB37" s="47">
        <f>SUMIFS($D:$D,$E:$E,"FAUX",$G:$G,"F4",$M:$M,"E",$N:$N,"E*")*SUMIFS($J:$J,$E:$E,"VRAI",$I:$I,"E2",$F:$F,"F")</f>
        <v>0</v>
      </c>
      <c r="BC37" s="47">
        <f>SUMIFS($D:$D,$E:$E,"FAUX",$G:$G,"F4",$M:$M,"E",$N:$N,"E*")*SUMIFS($J:$J,$E:$E,"VRAI",$I:$I,"E3",$F:$F,"F")</f>
        <v>0</v>
      </c>
      <c r="BD37" s="47">
        <f>SUMIFS($D:$D,$E:$E,"FAUX",$G:$G,"F4",$M:$M,"E",$N:$N,"E*")*SUMIFS($J:$J,$E:$E,"VRAI",$I:$I,"E4",$F:$F,"F")</f>
        <v>0</v>
      </c>
      <c r="BE37" s="47">
        <f>SUMIFS($D:$D,$E:$E,"FAUX",$G:$G,"F4",$M:$M,"E",$N:$N,"E*")*SUMIFS($J:$J,$E:$E,"VRAI",$I:$I,"E5",$F:$F,"F")</f>
        <v>0</v>
      </c>
      <c r="BF37" s="48">
        <f>SUMIFS($D:$D,$E:$E,"FAUX",$G:$G,"F4",$M:$M,"E",$N:$N,"E*")*SUMIFS($J:$J,$E:$E,"VRAI",$I:$I,"E6",$F:$F,"F")</f>
        <v>0</v>
      </c>
      <c r="BG37" s="39">
        <f>SUMIFS($D:$D,$O:$O,"F_4_1")</f>
        <v>154</v>
      </c>
      <c r="BH37" s="39">
        <f>SUMIFS($D:$D,$O:$O,"F_4_2")</f>
        <v>101</v>
      </c>
      <c r="BI37" s="39">
        <f>SUMIFS($D:$D,$O:$O,"F_4_3")</f>
        <v>168</v>
      </c>
      <c r="BJ37" s="39">
        <f>SUMIFS($D:$D,$O:$O,"F_4_4")</f>
        <v>0</v>
      </c>
      <c r="BK37" s="39">
        <f>SUMIFS($D:$D,$O:$O,"F_4_5")</f>
        <v>0</v>
      </c>
      <c r="BL37" s="40">
        <f>SUMIFS($D:$D,$O:$O,"F_4_6")</f>
        <v>0</v>
      </c>
      <c r="BM37" s="31">
        <f>SUMIFS($D:$D,$E:$E,"FAUX",$G:$G,"F4",$M:$M,"E",$N:$N,"F*")*SUMIFS($J:$J,$O:$O,"G_1_1")</f>
        <v>0</v>
      </c>
      <c r="BN37" s="27">
        <f>SUMIFS($D:$D,$E:$E,"FAUX",$G:$G,"F4",$M:$M,"E",$N:$N,"F*")*SUMIFS($J:$J,$O:$O,"G_1_2")</f>
        <v>152.86660533578657</v>
      </c>
      <c r="BO37" s="27">
        <f>SUMIFS($D:$D,$E:$E,"FAUX",$G:$G,"F4",$M:$M,"E",$N:$N,"F*")*SUMIFS($J:$J,$O:$O,"G_1_3")</f>
        <v>1.1333946642134314</v>
      </c>
      <c r="BP37" s="27">
        <f>SUMIFS($D:$D,$E:$E,"FAUX",$G:$G,"F4",$M:$M,"E",$N:$N,"F*")*SUMIFS($J:$J,$O:$O,"G_1_4")</f>
        <v>0</v>
      </c>
      <c r="BQ37" s="27">
        <f>SUMIFS($D:$D,$E:$E,"FAUX",$G:$G,"F4",$M:$M,"E",$N:$N,"F*")*SUMIFS($J:$J,$O:$O,"G_1_5")</f>
        <v>0</v>
      </c>
      <c r="BR37" s="27">
        <f>SUMIFS($D:$D,$E:$E,"FAUX",$G:$G,"F4",$M:$M,"E",$N:$N,"F*")*SUMIFS($J:$J,$O:$O,"G_1_6")</f>
        <v>0</v>
      </c>
      <c r="BS37" s="46">
        <f>SUMIFS($D:$D,$E:$E,"FAUX",$G:$G,"F4",$M:$M,"F",$N:$N,"E*")*SUMIFS($J:$J,$E:$E,"VRAI",$F:$F,"F",$M:$M,"H")*SUMIFS($J:$J,$E:$E,"VRAI",$F:$F,"G",$I:$I,"H1")</f>
        <v>0</v>
      </c>
      <c r="BT37" s="47">
        <f>SUMIFS($D:$D,$E:$E,"FAUX",$G:$G,"F4",$M:$M,"F",$N:$N,"E*")*SUMIFS($J:$J,$E:$E,"VRAI",$F:$F,"F",$M:$M,"H")*SUMIFS($J:$J,$E:$E,"VRAI",$F:$F,"G",$I:$I,"H2")</f>
        <v>0</v>
      </c>
      <c r="BU37" s="47">
        <f>SUMIFS($D:$D,$E:$E,"FAUX",$G:$G,"F4",$M:$M,"F",$N:$N,"E*")*SUMIFS($J:$J,$E:$E,"VRAI",$F:$F,"F",$M:$M,"H")*SUMIFS($J:$J,$E:$E,"VRAI",$F:$F,"G",$I:$I,"H3")</f>
        <v>0</v>
      </c>
      <c r="BV37" s="47">
        <f>SUMIFS($D:$D,$E:$E,"FAUX",$G:$G,"F4",$M:$M,"F",$N:$N,"E*")*SUMIFS($J:$J,$E:$E,"VRAI",$F:$F,"F",$M:$M,"H")*SUMIFS($J:$J,$E:$E,"VRAI",$F:$F,"G",$I:$I,"H4")</f>
        <v>0</v>
      </c>
      <c r="BW37" s="47">
        <f>SUMIFS($D:$D,$E:$E,"FAUX",$G:$G,"F4",$M:$M,"F",$N:$N,"E*")*SUMIFS($J:$J,$E:$E,"VRAI",$F:$F,"F",$M:$M,"H")*SUMIFS($J:$J,$E:$E,"VRAI",$F:$F,"G",$I:$I,"H5")</f>
        <v>0</v>
      </c>
      <c r="BX37" s="47">
        <f>SUMIFS($D:$D,$E:$E,"FAUX",$G:$G,"F4",$M:$M,"F",$N:$N,"E*")*SUMIFS($J:$J,$E:$E,"VRAI",$F:$F,"F",$M:$M,"H")*SUMIFS($J:$J,$E:$E,"VRAI",$F:$F,"G",$I:$I,"H6")</f>
        <v>0</v>
      </c>
      <c r="BY37" s="46">
        <f>SUMIFS($D:$D,$E:$E,"FAUX",$G:$G,"F4",$M:$M,"F",$N:$N,"E*")*SUMIFS($J:$J,$E:$E,"VRAI",$F:$F,"F",$M:$M,"H")*SUMIFS($J:$J,$E:$E,"VRAI",$F:$F,"G",$M:$M,"I")*SUMIFS($J:$J,$E:$E,"VRAI",$F:$F,"H",$I:$I,"I1")</f>
        <v>0</v>
      </c>
      <c r="BZ37" s="47">
        <f>SUMIFS($D:$D,$E:$E,"FAUX",$G:$G,"F4",$M:$M,"F",$N:$N,"E*")*SUMIFS($J:$J,$E:$E,"VRAI",$F:$F,"F",$M:$M,"H")*SUMIFS($J:$J,$E:$E,"VRAI",$F:$F,"G",$M:$M,"I")*SUMIFS($J:$J,$E:$E,"VRAI",$F:$F,"H",$I:$I,"I2")</f>
        <v>0</v>
      </c>
      <c r="CA37" s="47">
        <f>SUMIFS($D:$D,$E:$E,"FAUX",$G:$G,"F4",$M:$M,"F",$N:$N,"E*")*SUMIFS($J:$J,$E:$E,"VRAI",$F:$F,"F",$M:$M,"H")*SUMIFS($J:$J,$E:$E,"VRAI",$F:$F,"G",$M:$M,"I")*SUMIFS($J:$J,$E:$E,"VRAI",$F:$F,"H",$I:$I,"I3")</f>
        <v>0</v>
      </c>
      <c r="CB37" s="47">
        <f>SUMIFS($D:$D,$E:$E,"FAUX",$G:$G,"F4",$M:$M,"F",$N:$N,"E*")*SUMIFS($J:$J,$E:$E,"VRAI",$F:$F,"F",$M:$M,"H")*SUMIFS($J:$J,$E:$E,"VRAI",$F:$F,"G",$M:$M,"I")*SUMIFS($J:$J,$E:$E,"VRAI",$F:$F,"H",$I:$I,"I4")</f>
        <v>0</v>
      </c>
      <c r="CC37" s="47">
        <f>SUMIFS($D:$D,$E:$E,"FAUX",$G:$G,"F4",$M:$M,"F",$N:$N,"E*")*SUMIFS($J:$J,$E:$E,"VRAI",$F:$F,"F",$M:$M,"H")*SUMIFS($J:$J,$E:$E,"VRAI",$F:$F,"G",$M:$M,"I")*SUMIFS($J:$J,$E:$E,"VRAI",$F:$F,"H",$I:$I,"I5")</f>
        <v>0</v>
      </c>
      <c r="CD37" s="47">
        <f>SUMIFS($D:$D,$E:$E,"FAUX",$G:$G,"F4",$M:$M,"F",$N:$N,"E*")*SUMIFS($J:$J,$E:$E,"VRAI",$F:$F,"F",$M:$M,"H")*SUMIFS($J:$J,$E:$E,"VRAI",$F:$F,"G",$M:$M,"I")*SUMIFS($J:$J,$E:$E,"VRAI",$F:$F,"H",$I:$I,"I6")</f>
        <v>0</v>
      </c>
      <c r="CE37" s="46">
        <f>SUMIFS($D:$D,$E:$E,"FAUX",$G:$G,"F4",$M:$M,"F",$N:$N,"E*")*SUMIFS($J:$J,$E:$E,"VRAI",$F:$F,"F",$M:$M,"H")*SUMIFS($J:$J,$E:$E,"VRAI",$F:$F,"G",$M:$M,"I")*SUMIFS($J:$J,$E:$E,"VRAI",$F:$F,"H",$M:$M,"J")*SUMIFS($J:$J,$E:$E,"VRAI",$F:$F,"I",$I:$I,"J1")</f>
        <v>0</v>
      </c>
      <c r="CF37" s="47">
        <f>SUMIFS($D:$D,$E:$E,"FAUX",$G:$G,"F4",$M:$M,"F",$N:$N,"E*")*SUMIFS($J:$J,$E:$E,"VRAI",$F:$F,"F",$M:$M,"H")*SUMIFS($J:$J,$E:$E,"VRAI",$F:$F,"G",$M:$M,"I")*SUMIFS($J:$J,$E:$E,"VRAI",$F:$F,"H",$M:$M,"J")*SUMIFS($J:$J,$E:$E,"VRAI",$F:$F,"I",$I:$I,"J2")</f>
        <v>0</v>
      </c>
      <c r="CG37" s="47">
        <f>SUMIFS($D:$D,$E:$E,"FAUX",$G:$G,"F4",$M:$M,"F",$N:$N,"E*")*SUMIFS($J:$J,$E:$E,"VRAI",$F:$F,"F",$M:$M,"H")*SUMIFS($J:$J,$E:$E,"VRAI",$F:$F,"G",$M:$M,"I")*SUMIFS($J:$J,$E:$E,"VRAI",$F:$F,"H",$M:$M,"J")*SUMIFS($J:$J,$E:$E,"VRAI",$F:$F,"I",$I:$I,"J3")</f>
        <v>0</v>
      </c>
      <c r="CH37" s="47">
        <f>SUMIFS($D:$D,$E:$E,"FAUX",$G:$G,"F4",$M:$M,"F",$N:$N,"E*")*SUMIFS($J:$J,$E:$E,"VRAI",$F:$F,"F",$M:$M,"H")*SUMIFS($J:$J,$E:$E,"VRAI",$F:$F,"G",$M:$M,"I")*SUMIFS($J:$J,$E:$E,"VRAI",$F:$F,"H",$M:$M,"J")*SUMIFS($J:$J,$E:$E,"VRAI",$F:$F,"I",$I:$I,"J4")</f>
        <v>0</v>
      </c>
      <c r="CI37" s="47">
        <f>SUMIFS($D:$D,$E:$E,"FAUX",$G:$G,"F4",$M:$M,"F",$N:$N,"E*")*SUMIFS($J:$J,$E:$E,"VRAI",$F:$F,"F",$M:$M,"H")*SUMIFS($J:$J,$E:$E,"VRAI",$F:$F,"G",$M:$M,"I")*SUMIFS($J:$J,$E:$E,"VRAI",$F:$F,"H",$M:$M,"J")*SUMIFS($J:$J,$E:$E,"VRAI",$F:$F,"I",$I:$I,"J5")</f>
        <v>0</v>
      </c>
      <c r="CJ37" s="47">
        <f>SUMIFS($D:$D,$E:$E,"FAUX",$G:$G,"F4",$M:$M,"F",$N:$N,"E*")*SUMIFS($J:$J,$E:$E,"VRAI",$F:$F,"F",$M:$M,"H")*SUMIFS($J:$J,$E:$E,"VRAI",$F:$F,"G",$M:$M,"I")*SUMIFS($J:$J,$E:$E,"VRAI",$F:$F,"H",$M:$M,"J")*SUMIFS($J:$J,$E:$E,"VRAI",$F:$F,"I",$I:$I,"J6")</f>
        <v>0</v>
      </c>
      <c r="CK37" s="46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7" s="47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7" s="47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7" s="47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7" s="47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7" s="48">
        <f>SUMIFS($D:$D,$E:$E,"FAUX",$G:$G,"F4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8" spans="1:94">
      <c r="A38" s="35" t="s">
        <v>9</v>
      </c>
      <c r="B38" s="35">
        <v>3</v>
      </c>
      <c r="C38" s="35">
        <v>1</v>
      </c>
      <c r="D38" s="35">
        <v>831</v>
      </c>
      <c r="E38" s="35" t="b">
        <v>1</v>
      </c>
      <c r="F38" s="35" t="s">
        <v>10</v>
      </c>
      <c r="G38" s="53" t="str">
        <f t="shared" si="0"/>
        <v>B3</v>
      </c>
      <c r="H38" s="52" t="str">
        <f t="shared" si="5"/>
        <v>C</v>
      </c>
      <c r="I38" s="41" t="str">
        <f t="shared" si="1"/>
        <v>B1</v>
      </c>
      <c r="J38" s="42">
        <f t="shared" si="2"/>
        <v>0.92538975501113585</v>
      </c>
      <c r="K38" s="41">
        <f t="shared" si="6"/>
        <v>898</v>
      </c>
      <c r="L38" s="41" t="str">
        <f t="shared" si="3"/>
        <v>B3</v>
      </c>
      <c r="M38" s="41" t="str">
        <f t="shared" si="7"/>
        <v>A</v>
      </c>
      <c r="N38" s="41" t="str">
        <f>IFERROR(VLOOKUP(I38,L38:L:L,1,FALSE),"")</f>
        <v>B1</v>
      </c>
      <c r="O38" s="56" t="str">
        <f t="shared" si="8"/>
        <v>B_3_1</v>
      </c>
      <c r="U38" t="s">
        <v>47</v>
      </c>
      <c r="V38">
        <f>SUMIFS(D:D,A:A,"E",B:B,"3")</f>
        <v>192</v>
      </c>
      <c r="Z38" t="e">
        <f t="shared" si="9"/>
        <v>#N/A</v>
      </c>
      <c r="AA38" t="e">
        <f t="shared" si="10"/>
        <v>#N/A</v>
      </c>
      <c r="AB38" t="s">
        <v>55</v>
      </c>
      <c r="AC38" s="46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8" s="47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8" s="47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8" s="47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8" s="47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8" s="48">
        <f>SUMIFS($D:$D,$E:$E,"FAUX",$G:$G,"F5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8" s="46">
        <f>SUMIFS($D:$D,$E:$E,"FAUX",$G:$G,"F5",$M:$M,"E",$N:$N,"E*")*SUMIFS($J:$J,$E:$E,"VRAI",$F:$F,"D",$M:$M,"B")*SUMIFS($J:$J,$E:$E,"VRAI",$F:$F,"C",$M:$M,"A")*SUMIFS($J:$J,$E:$E,"VRAI",$F:$F,"E",$M:$M,"C")*SUMIFS($J:$J,$E:$E,"VRAI",$H:$H,"C",$I:$I,"B1")</f>
        <v>0</v>
      </c>
      <c r="AJ38" s="47">
        <f>SUMIFS($D:$D,$E:$E,"FAUX",$G:$G,"F5",$M:$M,"E",$N:$N,"E*")*SUMIFS($J:$J,$E:$E,"VRAI",$F:$F,"D",$M:$M,"B")*SUMIFS($J:$J,$E:$E,"VRAI",$F:$F,"C",$M:$M,"A")*SUMIFS($J:$J,$E:$E,"VRAI",$F:$F,"E",$M:$M,"C")*SUMIFS($J:$J,$E:$E,"VRAI",$H:$H,"C",$I:$I,"B2")</f>
        <v>0</v>
      </c>
      <c r="AK38" s="47">
        <f>SUMIFS($D:$D,$E:$E,"FAUX",$G:$G,"F5",$M:$M,"E",$N:$N,"E*")*SUMIFS($J:$J,$E:$E,"VRAI",$F:$F,"D",$M:$M,"B")*SUMIFS($J:$J,$E:$E,"VRAI",$F:$F,"C",$M:$M,"A")*SUMIFS($J:$J,$E:$E,"VRAI",$F:$F,"E",$M:$M,"C")*SUMIFS($J:$J,$E:$E,"VRAI",$H:$H,"C",$I:$I,"B3")</f>
        <v>0</v>
      </c>
      <c r="AL38" s="47">
        <f>SUMIFS($D:$D,$E:$E,"FAUX",$G:$G,"F5",$M:$M,"E",$N:$N,"E*")*SUMIFS($J:$J,$E:$E,"VRAI",$F:$F,"D",$M:$M,"B")*SUMIFS($J:$J,$E:$E,"VRAI",$F:$F,"C",$M:$M,"A")*SUMIFS($J:$J,$E:$E,"VRAI",$F:$F,"E",$M:$M,"C")*SUMIFS($J:$J,$E:$E,"VRAI",$H:$H,"C",$I:$I,"B4")</f>
        <v>0</v>
      </c>
      <c r="AM38" s="47">
        <f>SUMIFS($D:$D,$E:$E,"FAUX",$G:$G,"F5",$M:$M,"E",$N:$N,"E*")*SUMIFS($J:$J,$E:$E,"VRAI",$F:$F,"D",$M:$M,"B")*SUMIFS($J:$J,$E:$E,"VRAI",$F:$F,"C",$M:$M,"A")*SUMIFS($J:$J,$E:$E,"VRAI",$F:$F,"E",$M:$M,"C")*SUMIFS($J:$J,$E:$E,"VRAI",$H:$H,"C",$I:$I,"B5")</f>
        <v>0</v>
      </c>
      <c r="AN38" s="48">
        <f>SUMIFS($D:$D,$E:$E,"FAUX",$G:$G,"F5",$M:$M,"E",$N:$N,"E*")*SUMIFS($J:$J,$E:$E,"VRAI",$F:$F,"D",$M:$M,"B")*SUMIFS($J:$J,$E:$E,"VRAI",$F:$F,"C",$M:$M,"A")*SUMIFS($J:$J,$E:$E,"VRAI",$F:$F,"E",$M:$M,"C")*SUMIFS($J:$J,$E:$E,"VRAI",$H:$H,"C",$I:$I,"B6")</f>
        <v>0</v>
      </c>
      <c r="AO38" s="46">
        <f t="shared" ref="AO38:AT38" si="15">SUMIFS($D:$D,$E:$E,"FAUX",$G:$G,"F5",$M:$M,"E",$N:$N,"E*")*SUMIFS($J:$J,$E:$E,"VRAI",$F:$F,"E",$M:$M,"C")*SUMIFS($J:$J,$E:$E,"VRAI",$F:$F,"F",$M:$M,"D")*SUMIFS($J:$J,$E:$E,"VRAI",$H:$H,"D",$I:$I,"C1")</f>
        <v>0</v>
      </c>
      <c r="AP38" s="47">
        <f t="shared" si="15"/>
        <v>0</v>
      </c>
      <c r="AQ38" s="47">
        <f t="shared" si="15"/>
        <v>0</v>
      </c>
      <c r="AR38" s="47">
        <f t="shared" si="15"/>
        <v>0</v>
      </c>
      <c r="AS38" s="47">
        <f t="shared" si="15"/>
        <v>0</v>
      </c>
      <c r="AT38" s="48">
        <f t="shared" si="15"/>
        <v>0</v>
      </c>
      <c r="AU38" s="46">
        <f>SUMIFS($D:$D,$E:$E,"FAUX",$G:$G,"F5",$M:$M,"E",$N:$N,"E*")*SUMIFS($J:$J,$E:$E,"VRAI",$F:$F,"F",$M:$M,"D")*SUMIFS($J:$J,$E:$E,"VRAI",$H:$H,"E",$I:$I,"D1")</f>
        <v>0</v>
      </c>
      <c r="AV38" s="47">
        <f>SUMIFS($D:$D,$E:$E,"FAUX",$G:$G,"F5",$M:$M,"E",$N:$N,"E*")*SUMIFS($J:$J,$E:$E,"VRAI",$F:$F,"F",$M:$M,"D")*SUMIFS($J:$J,$E:$E,"VRAI",$H:$H,"E",$I:$I,"D2")</f>
        <v>0</v>
      </c>
      <c r="AW38" s="47">
        <f>SUMIFS($D:$D,$E:$E,"FAUX",$G:$G,"F5",$M:$M,"E",$N:$N,"E*")*SUMIFS($J:$J,$E:$E,"VRAI",$F:$F,"F",$M:$M,"D")*SUMIFS($J:$J,$E:$E,"VRAI",$H:$H,"E",$I:$I,"D3")</f>
        <v>0</v>
      </c>
      <c r="AX38" s="47">
        <f>SUMIFS($D:$D,$E:$E,"FAUX",$G:$G,"F5",$M:$M,"E",$N:$N,"E*")*SUMIFS($J:$J,$E:$E,"VRAI",$F:$F,"F",$M:$M,"D")*SUMIFS($J:$J,$E:$E,"VRAI",$H:$H,"E",$I:$I,"D4")</f>
        <v>0</v>
      </c>
      <c r="AY38" s="47">
        <f>SUMIFS($D:$D,$E:$E,"FAUX",$G:$G,"F5",$M:$M,"E",$N:$N,"E*")*SUMIFS($J:$J,$E:$E,"VRAI",$F:$F,"F",$M:$M,"D")*SUMIFS($J:$J,$E:$E,"VRAI",$H:$H,"E",$I:$I,"D5")</f>
        <v>0</v>
      </c>
      <c r="AZ38" s="48">
        <f>SUMIFS($D:$D,$E:$E,"FAUX",$G:$G,"F5",$M:$M,"E",$N:$N,"E*")*SUMIFS($J:$J,$E:$E,"VRAI",$F:$F,"F",$M:$M,"D")*SUMIFS($J:$J,$E:$E,"VRAI",$H:$H,"E",$I:$I,"D6")</f>
        <v>0</v>
      </c>
      <c r="BA38" s="46">
        <f>SUMIFS($D:$D,$E:$E,"FAUX",$G:$G,"F5",$M:$M,"E",$N:$N,"E*")*SUMIFS($J:$J,$E:$E,"VRAI",$I:$I,"E1",$F:$F,"F")</f>
        <v>0</v>
      </c>
      <c r="BB38" s="47">
        <f>SUMIFS($D:$D,$E:$E,"FAUX",$G:$G,"F5",$M:$M,"E",$N:$N,"E*")*SUMIFS($J:$J,$E:$E,"VRAI",$I:$I,"E2",$F:$F,"F")</f>
        <v>0</v>
      </c>
      <c r="BC38" s="47">
        <f>SUMIFS($D:$D,$E:$E,"FAUX",$G:$G,"F5",$M:$M,"E",$N:$N,"E*")*SUMIFS($J:$J,$E:$E,"VRAI",$I:$I,"E3",$F:$F,"F")</f>
        <v>0</v>
      </c>
      <c r="BD38" s="47">
        <f>SUMIFS($D:$D,$E:$E,"FAUX",$G:$G,"F5",$M:$M,"E",$N:$N,"E*")*SUMIFS($J:$J,$E:$E,"VRAI",$I:$I,"E4",$F:$F,"F")</f>
        <v>0</v>
      </c>
      <c r="BE38" s="47">
        <f>SUMIFS($D:$D,$E:$E,"FAUX",$G:$G,"F5",$M:$M,"E",$N:$N,"E*")*SUMIFS($J:$J,$E:$E,"VRAI",$I:$I,"E5",$F:$F,"F")</f>
        <v>0</v>
      </c>
      <c r="BF38" s="48">
        <f>SUMIFS($D:$D,$E:$E,"FAUX",$G:$G,"F5",$M:$M,"E",$N:$N,"E*")*SUMIFS($J:$J,$E:$E,"VRAI",$I:$I,"E6",$F:$F,"F")</f>
        <v>0</v>
      </c>
      <c r="BG38" s="39">
        <f>SUMIFS($D:$D,$O:$O,"F_5_1")</f>
        <v>0</v>
      </c>
      <c r="BH38" s="39">
        <f>SUMIFS($D:$D,$O:$O,"F_5_2")</f>
        <v>0</v>
      </c>
      <c r="BI38" s="39">
        <f>SUMIFS($D:$D,$O:$O,"F_5_3")</f>
        <v>0</v>
      </c>
      <c r="BJ38" s="39">
        <f>SUMIFS($D:$D,$O:$O,"F_5_4")</f>
        <v>0</v>
      </c>
      <c r="BK38" s="39">
        <f>SUMIFS($D:$D,$O:$O,"F_5_5")</f>
        <v>0</v>
      </c>
      <c r="BL38" s="40">
        <f>SUMIFS($D:$D,$O:$O,"F_5_6")</f>
        <v>0</v>
      </c>
      <c r="BM38" s="31">
        <f>SUMIFS($D:$D,$E:$E,"FAUX",$G:$G,"F5",$M:$M,"E",$N:$N,"F*")*SUMIFS($J:$J,$O:$O,"G_1_1")</f>
        <v>0</v>
      </c>
      <c r="BN38" s="27">
        <f>SUMIFS($D:$D,$E:$E,"FAUX",$G:$G,"F5",$M:$M,"E",$N:$N,"F*")*SUMIFS($J:$J,$O:$O,"G_1_2")</f>
        <v>0</v>
      </c>
      <c r="BO38" s="27">
        <f>SUMIFS($D:$D,$E:$E,"FAUX",$G:$G,"F5",$M:$M,"E",$N:$N,"F*")*SUMIFS($J:$J,$O:$O,"G_1_3")</f>
        <v>0</v>
      </c>
      <c r="BP38" s="27">
        <f>SUMIFS($D:$D,$E:$E,"FAUX",$G:$G,"F5",$M:$M,"E",$N:$N,"F*")*SUMIFS($J:$J,$O:$O,"G_1_4")</f>
        <v>0</v>
      </c>
      <c r="BQ38" s="27">
        <f>SUMIFS($D:$D,$E:$E,"FAUX",$G:$G,"F5",$M:$M,"E",$N:$N,"F*")*SUMIFS($J:$J,$O:$O,"G_1_5")</f>
        <v>0</v>
      </c>
      <c r="BR38" s="27">
        <f>SUMIFS($D:$D,$E:$E,"FAUX",$G:$G,"F5",$M:$M,"E",$N:$N,"F*")*SUMIFS($J:$J,$O:$O,"G_1_6")</f>
        <v>0</v>
      </c>
      <c r="BS38" s="46">
        <f>SUMIFS($D:$D,$E:$E,"FAUX",$G:$G,"F5",$M:$M,"F",$N:$N,"E*")*SUMIFS($J:$J,$E:$E,"VRAI",$F:$F,"F",$M:$M,"H")*SUMIFS($J:$J,$E:$E,"VRAI",$F:$F,"G",$I:$I,"H1")</f>
        <v>0</v>
      </c>
      <c r="BT38" s="47">
        <f>SUMIFS($D:$D,$E:$E,"FAUX",$G:$G,"F5",$M:$M,"F",$N:$N,"E*")*SUMIFS($J:$J,$E:$E,"VRAI",$F:$F,"F",$M:$M,"H")*SUMIFS($J:$J,$E:$E,"VRAI",$F:$F,"G",$I:$I,"H2")</f>
        <v>0</v>
      </c>
      <c r="BU38" s="47">
        <f>SUMIFS($D:$D,$E:$E,"FAUX",$G:$G,"F5",$M:$M,"F",$N:$N,"E*")*SUMIFS($J:$J,$E:$E,"VRAI",$F:$F,"F",$M:$M,"H")*SUMIFS($J:$J,$E:$E,"VRAI",$F:$F,"G",$I:$I,"H3")</f>
        <v>0</v>
      </c>
      <c r="BV38" s="47">
        <f>SUMIFS($D:$D,$E:$E,"FAUX",$G:$G,"F5",$M:$M,"F",$N:$N,"E*")*SUMIFS($J:$J,$E:$E,"VRAI",$F:$F,"F",$M:$M,"H")*SUMIFS($J:$J,$E:$E,"VRAI",$F:$F,"G",$I:$I,"H4")</f>
        <v>0</v>
      </c>
      <c r="BW38" s="47">
        <f>SUMIFS($D:$D,$E:$E,"FAUX",$G:$G,"F5",$M:$M,"F",$N:$N,"E*")*SUMIFS($J:$J,$E:$E,"VRAI",$F:$F,"F",$M:$M,"H")*SUMIFS($J:$J,$E:$E,"VRAI",$F:$F,"G",$I:$I,"H5")</f>
        <v>0</v>
      </c>
      <c r="BX38" s="47">
        <f>SUMIFS($D:$D,$E:$E,"FAUX",$G:$G,"F5",$M:$M,"F",$N:$N,"E*")*SUMIFS($J:$J,$E:$E,"VRAI",$F:$F,"F",$M:$M,"H")*SUMIFS($J:$J,$E:$E,"VRAI",$F:$F,"G",$I:$I,"H6")</f>
        <v>0</v>
      </c>
      <c r="BY38" s="46">
        <f>SUMIFS($D:$D,$E:$E,"FAUX",$G:$G,"F5",$M:$M,"F",$N:$N,"E*")*SUMIFS($J:$J,$E:$E,"VRAI",$F:$F,"F",$M:$M,"H")*SUMIFS($J:$J,$E:$E,"VRAI",$F:$F,"G",$M:$M,"I")*SUMIFS($J:$J,$E:$E,"VRAI",$F:$F,"H",$I:$I,"I1")</f>
        <v>0</v>
      </c>
      <c r="BZ38" s="47">
        <f>SUMIFS($D:$D,$E:$E,"FAUX",$G:$G,"F5",$M:$M,"F",$N:$N,"E*")*SUMIFS($J:$J,$E:$E,"VRAI",$F:$F,"F",$M:$M,"H")*SUMIFS($J:$J,$E:$E,"VRAI",$F:$F,"G",$M:$M,"I")*SUMIFS($J:$J,$E:$E,"VRAI",$F:$F,"H",$I:$I,"I2")</f>
        <v>0</v>
      </c>
      <c r="CA38" s="47">
        <f>SUMIFS($D:$D,$E:$E,"FAUX",$G:$G,"F5",$M:$M,"F",$N:$N,"E*")*SUMIFS($J:$J,$E:$E,"VRAI",$F:$F,"F",$M:$M,"H")*SUMIFS($J:$J,$E:$E,"VRAI",$F:$F,"G",$M:$M,"I")*SUMIFS($J:$J,$E:$E,"VRAI",$F:$F,"H",$I:$I,"I3")</f>
        <v>0</v>
      </c>
      <c r="CB38" s="47">
        <f>SUMIFS($D:$D,$E:$E,"FAUX",$G:$G,"F5",$M:$M,"F",$N:$N,"E*")*SUMIFS($J:$J,$E:$E,"VRAI",$F:$F,"F",$M:$M,"H")*SUMIFS($J:$J,$E:$E,"VRAI",$F:$F,"G",$M:$M,"I")*SUMIFS($J:$J,$E:$E,"VRAI",$F:$F,"H",$I:$I,"I4")</f>
        <v>0</v>
      </c>
      <c r="CC38" s="47">
        <f>SUMIFS($D:$D,$E:$E,"FAUX",$G:$G,"F5",$M:$M,"F",$N:$N,"E*")*SUMIFS($J:$J,$E:$E,"VRAI",$F:$F,"F",$M:$M,"H")*SUMIFS($J:$J,$E:$E,"VRAI",$F:$F,"G",$M:$M,"I")*SUMIFS($J:$J,$E:$E,"VRAI",$F:$F,"H",$I:$I,"I5")</f>
        <v>0</v>
      </c>
      <c r="CD38" s="47">
        <f>SUMIFS($D:$D,$E:$E,"FAUX",$G:$G,"F5",$M:$M,"F",$N:$N,"E*")*SUMIFS($J:$J,$E:$E,"VRAI",$F:$F,"F",$M:$M,"H")*SUMIFS($J:$J,$E:$E,"VRAI",$F:$F,"G",$M:$M,"I")*SUMIFS($J:$J,$E:$E,"VRAI",$F:$F,"H",$I:$I,"I6")</f>
        <v>0</v>
      </c>
      <c r="CE38" s="46">
        <f>SUMIFS($D:$D,$E:$E,"FAUX",$G:$G,"F5",$M:$M,"F",$N:$N,"E*")*SUMIFS($J:$J,$E:$E,"VRAI",$F:$F,"F",$M:$M,"H")*SUMIFS($J:$J,$E:$E,"VRAI",$F:$F,"G",$M:$M,"I")*SUMIFS($J:$J,$E:$E,"VRAI",$F:$F,"H",$M:$M,"J")*SUMIFS($J:$J,$E:$E,"VRAI",$F:$F,"I",$I:$I,"J1")</f>
        <v>0</v>
      </c>
      <c r="CF38" s="47">
        <f>SUMIFS($D:$D,$E:$E,"FAUX",$G:$G,"F5",$M:$M,"F",$N:$N,"E*")*SUMIFS($J:$J,$E:$E,"VRAI",$F:$F,"F",$M:$M,"H")*SUMIFS($J:$J,$E:$E,"VRAI",$F:$F,"G",$M:$M,"I")*SUMIFS($J:$J,$E:$E,"VRAI",$F:$F,"H",$M:$M,"J")*SUMIFS($J:$J,$E:$E,"VRAI",$F:$F,"I",$I:$I,"J2")</f>
        <v>0</v>
      </c>
      <c r="CG38" s="47">
        <f>SUMIFS($D:$D,$E:$E,"FAUX",$G:$G,"F5",$M:$M,"F",$N:$N,"E*")*SUMIFS($J:$J,$E:$E,"VRAI",$F:$F,"F",$M:$M,"H")*SUMIFS($J:$J,$E:$E,"VRAI",$F:$F,"G",$M:$M,"I")*SUMIFS($J:$J,$E:$E,"VRAI",$F:$F,"H",$M:$M,"J")*SUMIFS($J:$J,$E:$E,"VRAI",$F:$F,"I",$I:$I,"J3")</f>
        <v>0</v>
      </c>
      <c r="CH38" s="47">
        <f>SUMIFS($D:$D,$E:$E,"FAUX",$G:$G,"F5",$M:$M,"F",$N:$N,"E*")*SUMIFS($J:$J,$E:$E,"VRAI",$F:$F,"F",$M:$M,"H")*SUMIFS($J:$J,$E:$E,"VRAI",$F:$F,"G",$M:$M,"I")*SUMIFS($J:$J,$E:$E,"VRAI",$F:$F,"H",$M:$M,"J")*SUMIFS($J:$J,$E:$E,"VRAI",$F:$F,"I",$I:$I,"J4")</f>
        <v>0</v>
      </c>
      <c r="CI38" s="47">
        <f>SUMIFS($D:$D,$E:$E,"FAUX",$G:$G,"F5",$M:$M,"F",$N:$N,"E*")*SUMIFS($J:$J,$E:$E,"VRAI",$F:$F,"F",$M:$M,"H")*SUMIFS($J:$J,$E:$E,"VRAI",$F:$F,"G",$M:$M,"I")*SUMIFS($J:$J,$E:$E,"VRAI",$F:$F,"H",$M:$M,"J")*SUMIFS($J:$J,$E:$E,"VRAI",$F:$F,"I",$I:$I,"J5")</f>
        <v>0</v>
      </c>
      <c r="CJ38" s="47">
        <f>SUMIFS($D:$D,$E:$E,"FAUX",$G:$G,"F5",$M:$M,"F",$N:$N,"E*")*SUMIFS($J:$J,$E:$E,"VRAI",$F:$F,"F",$M:$M,"H")*SUMIFS($J:$J,$E:$E,"VRAI",$F:$F,"G",$M:$M,"I")*SUMIFS($J:$J,$E:$E,"VRAI",$F:$F,"H",$M:$M,"J")*SUMIFS($J:$J,$E:$E,"VRAI",$F:$F,"I",$I:$I,"J6")</f>
        <v>0</v>
      </c>
      <c r="CK38" s="46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8" s="47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8" s="47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8" s="47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8" s="47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8" s="48">
        <f>SUMIFS($D:$D,$E:$E,"FAUX",$G:$G,"F5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39" spans="1:94">
      <c r="A39" s="35" t="s">
        <v>9</v>
      </c>
      <c r="B39" s="35">
        <v>3</v>
      </c>
      <c r="C39" s="35">
        <v>2</v>
      </c>
      <c r="D39" s="35">
        <v>0</v>
      </c>
      <c r="E39" s="35" t="b">
        <v>1</v>
      </c>
      <c r="F39" s="35" t="s">
        <v>10</v>
      </c>
      <c r="G39" s="53" t="str">
        <f t="shared" si="0"/>
        <v>B3</v>
      </c>
      <c r="H39" s="52" t="str">
        <f t="shared" si="5"/>
        <v>C</v>
      </c>
      <c r="I39" s="41" t="str">
        <f t="shared" si="1"/>
        <v>B2</v>
      </c>
      <c r="J39" s="42">
        <f t="shared" si="2"/>
        <v>0</v>
      </c>
      <c r="K39" s="41">
        <f t="shared" si="6"/>
        <v>898</v>
      </c>
      <c r="L39" s="41" t="str">
        <f t="shared" si="3"/>
        <v>B3</v>
      </c>
      <c r="M39" s="41" t="str">
        <f t="shared" si="7"/>
        <v/>
      </c>
      <c r="N39" s="41" t="str">
        <f>IFERROR(VLOOKUP(I39,L39:L:L,1,FALSE),"")</f>
        <v/>
      </c>
      <c r="O39" s="56" t="str">
        <f t="shared" si="8"/>
        <v>B_3_2</v>
      </c>
      <c r="U39" t="s">
        <v>48</v>
      </c>
      <c r="V39">
        <f>SUMIFS(D:D,A:A,"E",B:B,"4")</f>
        <v>239</v>
      </c>
      <c r="Z39" t="e">
        <f t="shared" si="9"/>
        <v>#N/A</v>
      </c>
      <c r="AA39" t="e">
        <f t="shared" si="10"/>
        <v>#N/A</v>
      </c>
      <c r="AB39" t="s">
        <v>56</v>
      </c>
      <c r="AC39" s="46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1")</f>
        <v>0</v>
      </c>
      <c r="AD39" s="47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2")</f>
        <v>0</v>
      </c>
      <c r="AE39" s="47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3")</f>
        <v>0</v>
      </c>
      <c r="AF39" s="47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4")</f>
        <v>0</v>
      </c>
      <c r="AG39" s="47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5")</f>
        <v>0</v>
      </c>
      <c r="AH39" s="48">
        <f>SUMIFS($D:$D,$E:$E,"FAUX",$G:$G,"F6",$M:$M,"E",$N:$N,"E*")*SUMIFS($J:$J,$E:$E,"VRAI",$F:$F,"D",$M:$M,"B")*SUMIFS($J:$J,$E:$E,"VRAI",$F:$F,"C",$M:$M,"A")*SUMIFS($J:$J,$E:$E,"VRAI",$F:$F,"E",$M:$M,"C")*SUMIFS($J:$J,$E:$E,"VRAI",$F:$F,"C",$M:$M,"A")*SUMIFS($J:$J,$E:$E,"VRAI",$H:$H,"B",$I:$I,"A6")</f>
        <v>0</v>
      </c>
      <c r="AI39" s="46">
        <f>SUMIFS($D:$D,$E:$E,"FAUX",$G:$G,"F6",$M:$M,"E",$N:$N,"E*")*SUMIFS($J:$J,$E:$E,"VRAI",$F:$F,"D",$M:$M,"B")*SUMIFS($J:$J,$E:$E,"VRAI",$F:$F,"C",$M:$M,"A")*SUMIFS($J:$J,$E:$E,"VRAI",$F:$F,"E",$M:$M,"C")*SUMIFS($J:$J,$E:$E,"VRAI",$H:$H,"C",$I:$I,"B1")</f>
        <v>0</v>
      </c>
      <c r="AJ39" s="47">
        <f>SUMIFS($D:$D,$E:$E,"FAUX",$G:$G,"F6",$M:$M,"E",$N:$N,"E*")*SUMIFS($J:$J,$E:$E,"VRAI",$F:$F,"D",$M:$M,"B")*SUMIFS($J:$J,$E:$E,"VRAI",$F:$F,"C",$M:$M,"A")*SUMIFS($J:$J,$E:$E,"VRAI",$F:$F,"E",$M:$M,"C")*SUMIFS($J:$J,$E:$E,"VRAI",$H:$H,"C",$I:$I,"B2")</f>
        <v>0</v>
      </c>
      <c r="AK39" s="47">
        <f>SUMIFS($D:$D,$E:$E,"FAUX",$G:$G,"F6",$M:$M,"E",$N:$N,"E*")*SUMIFS($J:$J,$E:$E,"VRAI",$F:$F,"D",$M:$M,"B")*SUMIFS($J:$J,$E:$E,"VRAI",$F:$F,"C",$M:$M,"A")*SUMIFS($J:$J,$E:$E,"VRAI",$F:$F,"E",$M:$M,"C")*SUMIFS($J:$J,$E:$E,"VRAI",$H:$H,"C",$I:$I,"B3")</f>
        <v>0</v>
      </c>
      <c r="AL39" s="47">
        <f>SUMIFS($D:$D,$E:$E,"FAUX",$G:$G,"F6",$M:$M,"E",$N:$N,"E*")*SUMIFS($J:$J,$E:$E,"VRAI",$F:$F,"D",$M:$M,"B")*SUMIFS($J:$J,$E:$E,"VRAI",$F:$F,"C",$M:$M,"A")*SUMIFS($J:$J,$E:$E,"VRAI",$F:$F,"E",$M:$M,"C")*SUMIFS($J:$J,$E:$E,"VRAI",$H:$H,"C",$I:$I,"B4")</f>
        <v>0</v>
      </c>
      <c r="AM39" s="47">
        <f>SUMIFS($D:$D,$E:$E,"FAUX",$G:$G,"F6",$M:$M,"E",$N:$N,"E*")*SUMIFS($J:$J,$E:$E,"VRAI",$F:$F,"D",$M:$M,"B")*SUMIFS($J:$J,$E:$E,"VRAI",$F:$F,"C",$M:$M,"A")*SUMIFS($J:$J,$E:$E,"VRAI",$F:$F,"E",$M:$M,"C")*SUMIFS($J:$J,$E:$E,"VRAI",$H:$H,"C",$I:$I,"B5")</f>
        <v>0</v>
      </c>
      <c r="AN39" s="48">
        <f>SUMIFS($D:$D,$E:$E,"FAUX",$G:$G,"F6",$M:$M,"E",$N:$N,"E*")*SUMIFS($J:$J,$E:$E,"VRAI",$F:$F,"D",$M:$M,"B")*SUMIFS($J:$J,$E:$E,"VRAI",$F:$F,"C",$M:$M,"A")*SUMIFS($J:$J,$E:$E,"VRAI",$F:$F,"E",$M:$M,"C")*SUMIFS($J:$J,$E:$E,"VRAI",$H:$H,"C",$I:$I,"B6")</f>
        <v>0</v>
      </c>
      <c r="AO39" s="46">
        <f t="shared" ref="AO39:AT39" si="16">SUMIFS($D:$D,$E:$E,"FAUX",$G:$G,"F6",$M:$M,"E",$N:$N,"E*")*SUMIFS($J:$J,$E:$E,"VRAI",$F:$F,"E",$M:$M,"C")*SUMIFS($J:$J,$E:$E,"VRAI",$F:$F,"F",$M:$M,"D")*SUMIFS($J:$J,$E:$E,"VRAI",$H:$H,"D",$I:$I,"C1")</f>
        <v>0</v>
      </c>
      <c r="AP39" s="47">
        <f t="shared" si="16"/>
        <v>0</v>
      </c>
      <c r="AQ39" s="47">
        <f t="shared" si="16"/>
        <v>0</v>
      </c>
      <c r="AR39" s="47">
        <f t="shared" si="16"/>
        <v>0</v>
      </c>
      <c r="AS39" s="47">
        <f t="shared" si="16"/>
        <v>0</v>
      </c>
      <c r="AT39" s="48">
        <f t="shared" si="16"/>
        <v>0</v>
      </c>
      <c r="AU39" s="49">
        <f>SUMIFS($D:$D,$E:$E,"FAUX",$G:$G,"F6",$M:$M,"E",$N:$N,"E*")*SUMIFS($J:$J,$E:$E,"VRAI",$F:$F,"F",$M:$M,"D")*SUMIFS($J:$J,$E:$E,"VRAI",$H:$H,"E",$I:$I,"D1")</f>
        <v>0</v>
      </c>
      <c r="AV39" s="50">
        <f>SUMIFS($D:$D,$E:$E,"FAUX",$G:$G,"F6",$M:$M,"E",$N:$N,"E*")*SUMIFS($J:$J,$E:$E,"VRAI",$F:$F,"F",$M:$M,"D")*SUMIFS($J:$J,$E:$E,"VRAI",$H:$H,"E",$I:$I,"D2")</f>
        <v>0</v>
      </c>
      <c r="AW39" s="50">
        <f>SUMIFS($D:$D,$E:$E,"FAUX",$G:$G,"F6",$M:$M,"E",$N:$N,"E*")*SUMIFS($J:$J,$E:$E,"VRAI",$F:$F,"F",$M:$M,"D")*SUMIFS($J:$J,$E:$E,"VRAI",$H:$H,"E",$I:$I,"D3")</f>
        <v>0</v>
      </c>
      <c r="AX39" s="50">
        <f>SUMIFS($D:$D,$E:$E,"FAUX",$G:$G,"F6",$M:$M,"E",$N:$N,"E*")*SUMIFS($J:$J,$E:$E,"VRAI",$F:$F,"F",$M:$M,"D")*SUMIFS($J:$J,$E:$E,"VRAI",$H:$H,"E",$I:$I,"D4")</f>
        <v>0</v>
      </c>
      <c r="AY39" s="50">
        <f>SUMIFS($D:$D,$E:$E,"FAUX",$G:$G,"F6",$M:$M,"E",$N:$N,"E*")*SUMIFS($J:$J,$E:$E,"VRAI",$F:$F,"F",$M:$M,"D")*SUMIFS($J:$J,$E:$E,"VRAI",$H:$H,"E",$I:$I,"D5")</f>
        <v>0</v>
      </c>
      <c r="AZ39" s="51">
        <f>SUMIFS($D:$D,$E:$E,"FAUX",$G:$G,"F6",$M:$M,"E",$N:$N,"E*")*SUMIFS($J:$J,$E:$E,"VRAI",$F:$F,"F",$M:$M,"D")*SUMIFS($J:$J,$E:$E,"VRAI",$H:$H,"E",$I:$I,"D6")</f>
        <v>0</v>
      </c>
      <c r="BA39" s="49">
        <f>SUMIFS($D:$D,$E:$E,"FAUX",$G:$G,"F6",$M:$M,"E",$N:$N,"E*")*SUMIFS($J:$J,$E:$E,"VRAI",$I:$I,"E1",$F:$F,"F")</f>
        <v>0</v>
      </c>
      <c r="BB39" s="50">
        <f>SUMIFS($D:$D,$E:$E,"FAUX",$G:$G,"F6",$M:$M,"E",$N:$N,"E*")*SUMIFS($J:$J,$E:$E,"VRAI",$I:$I,"E2",$F:$F,"F")</f>
        <v>0</v>
      </c>
      <c r="BC39" s="50">
        <f>SUMIFS($D:$D,$E:$E,"FAUX",$G:$G,"F6",$M:$M,"E",$N:$N,"E*")*SUMIFS($J:$J,$E:$E,"VRAI",$I:$I,"E3",$F:$F,"F")</f>
        <v>0</v>
      </c>
      <c r="BD39" s="50">
        <f>SUMIFS($D:$D,$E:$E,"FAUX",$G:$G,"F6",$M:$M,"E",$N:$N,"E*")*SUMIFS($J:$J,$E:$E,"VRAI",$I:$I,"E4",$F:$F,"F")</f>
        <v>0</v>
      </c>
      <c r="BE39" s="50">
        <f>SUMIFS($D:$D,$E:$E,"FAUX",$G:$G,"F6",$M:$M,"E",$N:$N,"E*")*SUMIFS($J:$J,$E:$E,"VRAI",$I:$I,"E5",$F:$F,"F")</f>
        <v>0</v>
      </c>
      <c r="BF39" s="51">
        <f>SUMIFS($D:$D,$E:$E,"FAUX",$G:$G,"F6",$M:$M,"E",$N:$N,"E*")*SUMIFS($J:$J,$E:$E,"VRAI",$I:$I,"E6",$F:$F,"F")</f>
        <v>0</v>
      </c>
      <c r="BG39" s="39">
        <f>SUMIFS($D:$D,$O:$O,"F_6_1")</f>
        <v>0</v>
      </c>
      <c r="BH39" s="39">
        <f>SUMIFS($D:$D,$O:$O,"F_6_2")</f>
        <v>0</v>
      </c>
      <c r="BI39" s="39">
        <f>SUMIFS($D:$D,$O:$O,"F_6_3")</f>
        <v>0</v>
      </c>
      <c r="BJ39" s="39">
        <f>SUMIFS($D:$D,$O:$O,"F_6_4")</f>
        <v>0</v>
      </c>
      <c r="BK39" s="39">
        <f>SUMIFS($D:$D,$O:$O,"F_6_5")</f>
        <v>0</v>
      </c>
      <c r="BL39" s="40">
        <f>SUMIFS($D:$D,$O:$O,"F_6_6")</f>
        <v>0</v>
      </c>
      <c r="BM39" s="33">
        <f>SUMIFS($D:$D,$E:$E,"FAUX",$G:$G,"F6",$M:$M,"E",$N:$N,"F*")*SUMIFS($J:$J,$O:$O,"G_1_1")</f>
        <v>0</v>
      </c>
      <c r="BN39" s="29">
        <f>SUMIFS($D:$D,$E:$E,"FAUX",$G:$G,"F6",$M:$M,"E",$N:$N,"F*")*SUMIFS($J:$J,$O:$O,"G_1_2")</f>
        <v>0</v>
      </c>
      <c r="BO39" s="29">
        <f>SUMIFS($D:$D,$E:$E,"FAUX",$G:$G,"F6",$M:$M,"E",$N:$N,"F*")*SUMIFS($J:$J,$O:$O,"G_1_3")</f>
        <v>0</v>
      </c>
      <c r="BP39" s="29">
        <f>SUMIFS($D:$D,$E:$E,"FAUX",$G:$G,"F6",$M:$M,"E",$N:$N,"F*")*SUMIFS($J:$J,$O:$O,"G_1_4")</f>
        <v>0</v>
      </c>
      <c r="BQ39" s="29">
        <f>SUMIFS($D:$D,$E:$E,"FAUX",$G:$G,"F6",$M:$M,"E",$N:$N,"F*")*SUMIFS($J:$J,$O:$O,"G_1_5")</f>
        <v>0</v>
      </c>
      <c r="BR39" s="29">
        <f>SUMIFS($D:$D,$E:$E,"FAUX",$G:$G,"F6",$M:$M,"E",$N:$N,"F*")*SUMIFS($J:$J,$O:$O,"G_1_6")</f>
        <v>0</v>
      </c>
      <c r="BS39" s="49">
        <f>SUMIFS($D:$D,$E:$E,"FAUX",$G:$G,"F6",$M:$M,"F",$N:$N,"E*")*SUMIFS($J:$J,$E:$E,"VRAI",$F:$F,"F",$M:$M,"H")*SUMIFS($J:$J,$E:$E,"VRAI",$F:$F,"G",$I:$I,"H1")</f>
        <v>0</v>
      </c>
      <c r="BT39" s="50">
        <f>SUMIFS($D:$D,$E:$E,"FAUX",$G:$G,"F6",$M:$M,"F",$N:$N,"E*")*SUMIFS($J:$J,$E:$E,"VRAI",$F:$F,"F",$M:$M,"H")*SUMIFS($J:$J,$E:$E,"VRAI",$F:$F,"G",$I:$I,"H2")</f>
        <v>0</v>
      </c>
      <c r="BU39" s="50">
        <f>SUMIFS($D:$D,$E:$E,"FAUX",$G:$G,"F6",$M:$M,"F",$N:$N,"E*")*SUMIFS($J:$J,$E:$E,"VRAI",$F:$F,"F",$M:$M,"H")*SUMIFS($J:$J,$E:$E,"VRAI",$F:$F,"G",$I:$I,"H3")</f>
        <v>0</v>
      </c>
      <c r="BV39" s="50">
        <f>SUMIFS($D:$D,$E:$E,"FAUX",$G:$G,"F6",$M:$M,"F",$N:$N,"E*")*SUMIFS($J:$J,$E:$E,"VRAI",$F:$F,"F",$M:$M,"H")*SUMIFS($J:$J,$E:$E,"VRAI",$F:$F,"G",$I:$I,"H4")</f>
        <v>0</v>
      </c>
      <c r="BW39" s="50">
        <f>SUMIFS($D:$D,$E:$E,"FAUX",$G:$G,"F6",$M:$M,"F",$N:$N,"E*")*SUMIFS($J:$J,$E:$E,"VRAI",$F:$F,"F",$M:$M,"H")*SUMIFS($J:$J,$E:$E,"VRAI",$F:$F,"G",$I:$I,"H5")</f>
        <v>0</v>
      </c>
      <c r="BX39" s="50">
        <f>SUMIFS($D:$D,$E:$E,"FAUX",$G:$G,"F6",$M:$M,"F",$N:$N,"E*")*SUMIFS($J:$J,$E:$E,"VRAI",$F:$F,"F",$M:$M,"H")*SUMIFS($J:$J,$E:$E,"VRAI",$F:$F,"G",$I:$I,"H6")</f>
        <v>0</v>
      </c>
      <c r="BY39" s="49">
        <f>SUMIFS($D:$D,$E:$E,"FAUX",$G:$G,"F6",$M:$M,"F",$N:$N,"E*")*SUMIFS($J:$J,$E:$E,"VRAI",$F:$F,"F",$M:$M,"H")*SUMIFS($J:$J,$E:$E,"VRAI",$F:$F,"G",$M:$M,"I")*SUMIFS($J:$J,$E:$E,"VRAI",$F:$F,"H",$I:$I,"I1")</f>
        <v>0</v>
      </c>
      <c r="BZ39" s="50">
        <f>SUMIFS($D:$D,$E:$E,"FAUX",$G:$G,"F6",$M:$M,"F",$N:$N,"E*")*SUMIFS($J:$J,$E:$E,"VRAI",$F:$F,"F",$M:$M,"H")*SUMIFS($J:$J,$E:$E,"VRAI",$F:$F,"G",$M:$M,"I")*SUMIFS($J:$J,$E:$E,"VRAI",$F:$F,"H",$I:$I,"I2")</f>
        <v>0</v>
      </c>
      <c r="CA39" s="50">
        <f>SUMIFS($D:$D,$E:$E,"FAUX",$G:$G,"F6",$M:$M,"F",$N:$N,"E*")*SUMIFS($J:$J,$E:$E,"VRAI",$F:$F,"F",$M:$M,"H")*SUMIFS($J:$J,$E:$E,"VRAI",$F:$F,"G",$M:$M,"I")*SUMIFS($J:$J,$E:$E,"VRAI",$F:$F,"H",$I:$I,"I3")</f>
        <v>0</v>
      </c>
      <c r="CB39" s="50">
        <f>SUMIFS($D:$D,$E:$E,"FAUX",$G:$G,"F6",$M:$M,"F",$N:$N,"E*")*SUMIFS($J:$J,$E:$E,"VRAI",$F:$F,"F",$M:$M,"H")*SUMIFS($J:$J,$E:$E,"VRAI",$F:$F,"G",$M:$M,"I")*SUMIFS($J:$J,$E:$E,"VRAI",$F:$F,"H",$I:$I,"I4")</f>
        <v>0</v>
      </c>
      <c r="CC39" s="50">
        <f>SUMIFS($D:$D,$E:$E,"FAUX",$G:$G,"F6",$M:$M,"F",$N:$N,"E*")*SUMIFS($J:$J,$E:$E,"VRAI",$F:$F,"F",$M:$M,"H")*SUMIFS($J:$J,$E:$E,"VRAI",$F:$F,"G",$M:$M,"I")*SUMIFS($J:$J,$E:$E,"VRAI",$F:$F,"H",$I:$I,"I5")</f>
        <v>0</v>
      </c>
      <c r="CD39" s="50">
        <f>SUMIFS($D:$D,$E:$E,"FAUX",$G:$G,"F6",$M:$M,"F",$N:$N,"E*")*SUMIFS($J:$J,$E:$E,"VRAI",$F:$F,"F",$M:$M,"H")*SUMIFS($J:$J,$E:$E,"VRAI",$F:$F,"G",$M:$M,"I")*SUMIFS($J:$J,$E:$E,"VRAI",$F:$F,"H",$I:$I,"I6")</f>
        <v>0</v>
      </c>
      <c r="CE39" s="49">
        <f>SUMIFS($D:$D,$E:$E,"FAUX",$G:$G,"F6",$M:$M,"F",$N:$N,"E*")*SUMIFS($J:$J,$E:$E,"VRAI",$F:$F,"F",$M:$M,"H")*SUMIFS($J:$J,$E:$E,"VRAI",$F:$F,"G",$M:$M,"I")*SUMIFS($J:$J,$E:$E,"VRAI",$F:$F,"H",$M:$M,"J")*SUMIFS($J:$J,$E:$E,"VRAI",$F:$F,"I",$I:$I,"J1")</f>
        <v>0</v>
      </c>
      <c r="CF39" s="50">
        <f>SUMIFS($D:$D,$E:$E,"FAUX",$G:$G,"F6",$M:$M,"F",$N:$N,"E*")*SUMIFS($J:$J,$E:$E,"VRAI",$F:$F,"F",$M:$M,"H")*SUMIFS($J:$J,$E:$E,"VRAI",$F:$F,"G",$M:$M,"I")*SUMIFS($J:$J,$E:$E,"VRAI",$F:$F,"H",$M:$M,"J")*SUMIFS($J:$J,$E:$E,"VRAI",$F:$F,"I",$I:$I,"J2")</f>
        <v>0</v>
      </c>
      <c r="CG39" s="50">
        <f>SUMIFS($D:$D,$E:$E,"FAUX",$G:$G,"F6",$M:$M,"F",$N:$N,"E*")*SUMIFS($J:$J,$E:$E,"VRAI",$F:$F,"F",$M:$M,"H")*SUMIFS($J:$J,$E:$E,"VRAI",$F:$F,"G",$M:$M,"I")*SUMIFS($J:$J,$E:$E,"VRAI",$F:$F,"H",$M:$M,"J")*SUMIFS($J:$J,$E:$E,"VRAI",$F:$F,"I",$I:$I,"J3")</f>
        <v>0</v>
      </c>
      <c r="CH39" s="50">
        <f>SUMIFS($D:$D,$E:$E,"FAUX",$G:$G,"F6",$M:$M,"F",$N:$N,"E*")*SUMIFS($J:$J,$E:$E,"VRAI",$F:$F,"F",$M:$M,"H")*SUMIFS($J:$J,$E:$E,"VRAI",$F:$F,"G",$M:$M,"I")*SUMIFS($J:$J,$E:$E,"VRAI",$F:$F,"H",$M:$M,"J")*SUMIFS($J:$J,$E:$E,"VRAI",$F:$F,"I",$I:$I,"J4")</f>
        <v>0</v>
      </c>
      <c r="CI39" s="50">
        <f>SUMIFS($D:$D,$E:$E,"FAUX",$G:$G,"F6",$M:$M,"F",$N:$N,"E*")*SUMIFS($J:$J,$E:$E,"VRAI",$F:$F,"F",$M:$M,"H")*SUMIFS($J:$J,$E:$E,"VRAI",$F:$F,"G",$M:$M,"I")*SUMIFS($J:$J,$E:$E,"VRAI",$F:$F,"H",$M:$M,"J")*SUMIFS($J:$J,$E:$E,"VRAI",$F:$F,"I",$I:$I,"J5")</f>
        <v>0</v>
      </c>
      <c r="CJ39" s="50">
        <f>SUMIFS($D:$D,$E:$E,"FAUX",$G:$G,"F6",$M:$M,"F",$N:$N,"E*")*SUMIFS($J:$J,$E:$E,"VRAI",$F:$F,"F",$M:$M,"H")*SUMIFS($J:$J,$E:$E,"VRAI",$F:$F,"G",$M:$M,"I")*SUMIFS($J:$J,$E:$E,"VRAI",$F:$F,"H",$M:$M,"J")*SUMIFS($J:$J,$E:$E,"VRAI",$F:$F,"I",$I:$I,"J6")</f>
        <v>0</v>
      </c>
      <c r="CK39" s="49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1")</f>
        <v>0</v>
      </c>
      <c r="CL39" s="50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2")</f>
        <v>0</v>
      </c>
      <c r="CM39" s="50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3")</f>
        <v>0</v>
      </c>
      <c r="CN39" s="50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4")</f>
        <v>0</v>
      </c>
      <c r="CO39" s="50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5")</f>
        <v>0</v>
      </c>
      <c r="CP39" s="51">
        <f>SUMIFS($D:$D,$E:$E,"FAUX",$G:$G,"F6",$M:$M,"F",$N:$N,"E*")*SUMIFS($J:$J,$E:$E,"VRAI",$F:$F,"F",$M:$M,"H")*SUMIFS($J:$J,$E:$E,"VRAI",$F:$F,"G",$M:$M,"I")*SUMIFS($J:$J,$E:$E,"VRAI",$F:$F,"H",$M:$M,"J")*SUMIFS($J:$J,$E:$E,"VRAI",$F:$F,"I",$M:$M,"K")*SUMIFS($J:$J,$E:$E,"VRAI",$F:$F,"J",$I:$I,"K6")</f>
        <v>0</v>
      </c>
    </row>
    <row r="40" spans="1:94">
      <c r="A40" s="35" t="s">
        <v>9</v>
      </c>
      <c r="B40" s="35">
        <v>3</v>
      </c>
      <c r="C40" s="35">
        <v>3</v>
      </c>
      <c r="D40" s="35">
        <v>0</v>
      </c>
      <c r="E40" s="35" t="b">
        <v>1</v>
      </c>
      <c r="F40" s="35" t="s">
        <v>10</v>
      </c>
      <c r="G40" s="53" t="str">
        <f t="shared" si="0"/>
        <v>B3</v>
      </c>
      <c r="H40" s="52" t="str">
        <f t="shared" si="5"/>
        <v>C</v>
      </c>
      <c r="I40" s="41" t="str">
        <f t="shared" si="1"/>
        <v>B3</v>
      </c>
      <c r="J40" s="42">
        <f t="shared" si="2"/>
        <v>0</v>
      </c>
      <c r="K40" s="41">
        <f t="shared" si="6"/>
        <v>898</v>
      </c>
      <c r="L40" s="41" t="str">
        <f t="shared" si="3"/>
        <v>B3</v>
      </c>
      <c r="M40" s="41" t="str">
        <f t="shared" si="7"/>
        <v>C</v>
      </c>
      <c r="N40" s="41" t="str">
        <f>IFERROR(VLOOKUP(I40,L40:L:L,1,FALSE),"")</f>
        <v>B3</v>
      </c>
      <c r="O40" s="56" t="str">
        <f t="shared" si="8"/>
        <v>B_3_3</v>
      </c>
      <c r="U40" t="s">
        <v>49</v>
      </c>
      <c r="V40">
        <f>SUMIFS(D:D,A:A,"E",B:B,"5")</f>
        <v>0</v>
      </c>
      <c r="Z40" t="str">
        <f t="shared" si="9"/>
        <v>G1</v>
      </c>
      <c r="AA40" t="str">
        <f t="shared" si="10"/>
        <v>G1</v>
      </c>
      <c r="AB40" t="s">
        <v>57</v>
      </c>
      <c r="AC40" s="43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0</v>
      </c>
      <c r="AD40" s="44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0" s="44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0</v>
      </c>
      <c r="AF40" s="44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0" s="44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0" s="44">
        <f>SUMIFS($D:$D,$E:$E,"FAUX",$G:$G,"G1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0" s="43">
        <f>SUMIFS($D:$D,$E:$E,"FAUX",$G:$G,"G1",$M:$M,"F",$N:$N,"G*")*SUMIFS($J:$J,$E:$E,"VRAI",$F:$F,"D",$M:$M,"B")*SUMIFS($J:$J,$E:$E,"VRAI",$F:$F,"C",$M:$M,"A")*SUMIFS($J:$J,$E:$E,"VRAI",$F:$F,"G",$M:$M,"E")*SUMIFS($J:$J,$E:$E,"VRAI",$H:$H,"C",$I:$I,"B1")</f>
        <v>0</v>
      </c>
      <c r="AJ40" s="44">
        <f>SUMIFS($D:$D,$E:$E,"FAUX",$G:$G,"G1",$M:$M,"F",$N:$N,"G*")*SUMIFS($J:$J,$E:$E,"VRAI",$F:$F,"D",$M:$M,"B")*SUMIFS($J:$J,$E:$E,"VRAI",$F:$F,"C",$M:$M,"A")*SUMIFS($J:$J,$E:$E,"VRAI",$F:$F,"G",$M:$M,"E")*SUMIFS($J:$J,$E:$E,"VRAI",$H:$H,"C",$I:$I,"B2")</f>
        <v>0</v>
      </c>
      <c r="AK40" s="44">
        <f>SUMIFS($D:$D,$E:$E,"FAUX",$G:$G,"G1",$M:$M,"F",$N:$N,"G*")*SUMIFS($J:$J,$E:$E,"VRAI",$F:$F,"D",$M:$M,"B")*SUMIFS($J:$J,$E:$E,"VRAI",$F:$F,"C",$M:$M,"A")*SUMIFS($J:$J,$E:$E,"VRAI",$F:$F,"G",$M:$M,"E")*SUMIFS($J:$J,$E:$E,"VRAI",$H:$H,"C",$I:$I,"B3")</f>
        <v>0</v>
      </c>
      <c r="AL40" s="44">
        <f>SUMIFS($D:$D,$E:$E,"FAUX",$G:$G,"G1",$M:$M,"F",$N:$N,"G*")*SUMIFS($J:$J,$E:$E,"VRAI",$F:$F,"D",$M:$M,"B")*SUMIFS($J:$J,$E:$E,"VRAI",$F:$F,"C",$M:$M,"A")*SUMIFS($J:$J,$E:$E,"VRAI",$F:$F,"G",$M:$M,"E")*SUMIFS($J:$J,$E:$E,"VRAI",$H:$H,"C",$I:$I,"B4")</f>
        <v>0</v>
      </c>
      <c r="AM40" s="44">
        <f>SUMIFS($D:$D,$E:$E,"FAUX",$G:$G,"G1",$M:$M,"F",$N:$N,"G*")*SUMIFS($J:$J,$E:$E,"VRAI",$F:$F,"D",$M:$M,"B")*SUMIFS($J:$J,$E:$E,"VRAI",$F:$F,"C",$M:$M,"A")*SUMIFS($J:$J,$E:$E,"VRAI",$F:$F,"G",$M:$M,"E")*SUMIFS($J:$J,$E:$E,"VRAI",$H:$H,"C",$I:$I,"B5")</f>
        <v>0</v>
      </c>
      <c r="AN40" s="44">
        <f>SUMIFS($D:$D,$E:$E,"FAUX",$G:$G,"G1",$M:$M,"F",$N:$N,"G*")*SUMIFS($J:$J,$E:$E,"VRAI",$F:$F,"D",$M:$M,"B")*SUMIFS($J:$J,$E:$E,"VRAI",$F:$F,"C",$M:$M,"A")*SUMIFS($J:$J,$E:$E,"VRAI",$F:$F,"G",$M:$M,"E")*SUMIFS($J:$J,$E:$E,"VRAI",$H:$H,"C",$I:$I,"B6")</f>
        <v>0</v>
      </c>
      <c r="AO40" s="13">
        <f>SUMIFS($D:$D,$E:$E,"FAUX",$G:$G,"G1",$M:$M,"F",$N:$N,"G*")*SUMIFS($J:$J,$E:$E,"VRAI",$F:$F,"E",$M:$M,"C")*SUMIFS($J:$J,$E:$E,"VRAI",$F:$F,"F",$M:$M,"D")*SUMIFS($J:$J,$E:$E,"VRAI",$F:$F,"G",$M:$M,"E")*SUMIFS($J:$J,$E:$E,"VRAI",$H:$H,"D",$I:$I,"C1")</f>
        <v>0</v>
      </c>
      <c r="AP40" s="14">
        <f>SUMIFS($D:$D,$E:$E,"FAUX",$G:$G,"G1",$M:$M,"F",$N:$N,"G*")*SUMIFS($J:$J,$E:$E,"VRAI",$F:$F,"E",$M:$M,"C")*SUMIFS($J:$J,$E:$E,"VRAI",$F:$F,"F",$M:$M,"D")*SUMIFS($J:$J,$E:$E,"VRAI",$F:$F,"G",$M:$M,"E")*SUMIFS($J:$J,$E:$E,"VRAI",$H:$H,"D",$I:$I,"C2")</f>
        <v>0</v>
      </c>
      <c r="AQ40" s="14">
        <f>SUMIFS($D:$D,$E:$E,"FAUX",$G:$G,"G1",$M:$M,"F",$N:$N,"G*")*SUMIFS($J:$J,$E:$E,"VRAI",$F:$F,"E",$M:$M,"C")*SUMIFS($J:$J,$E:$E,"VRAI",$F:$F,"F",$M:$M,"D")*SUMIFS($J:$J,$E:$E,"VRAI",$F:$F,"G",$M:$M,"E")*SUMIFS($J:$J,$E:$E,"VRAI",$H:$H,"D",$I:$I,"C3")</f>
        <v>0</v>
      </c>
      <c r="AR40" s="14">
        <f>SUMIFS($D:$D,$E:$E,"FAUX",$G:$G,"G1",$M:$M,"F",$N:$N,"G*")*SUMIFS($J:$J,$E:$E,"VRAI",$F:$F,"E",$M:$M,"C")*SUMIFS($J:$J,$E:$E,"VRAI",$F:$F,"F",$M:$M,"D")*SUMIFS($J:$J,$E:$E,"VRAI",$F:$F,"G",$M:$M,"E")*SUMIFS($J:$J,$E:$E,"VRAI",$H:$H,"D",$I:$I,"C4")</f>
        <v>0</v>
      </c>
      <c r="AS40" s="14">
        <f>SUMIFS($D:$D,$E:$E,"FAUX",$G:$G,"G1",$M:$M,"F",$N:$N,"G*")*SUMIFS($J:$J,$E:$E,"VRAI",$F:$F,"E",$M:$M,"C")*SUMIFS($J:$J,$E:$E,"VRAI",$F:$F,"F",$M:$M,"D")*SUMIFS($J:$J,$E:$E,"VRAI",$F:$F,"G",$M:$M,"E")*SUMIFS($J:$J,$E:$E,"VRAI",$H:$H,"D",$I:$I,"C5")</f>
        <v>0</v>
      </c>
      <c r="AT40" s="15">
        <f>SUMIFS($D:$D,$E:$E,"FAUX",$G:$G,"G1",$M:$M,"F",$N:$N,"G*")*SUMIFS($J:$J,$E:$E,"VRAI",$F:$F,"E",$M:$M,"C")*SUMIFS($J:$J,$E:$E,"VRAI",$F:$F,"F",$M:$M,"D")*SUMIFS($J:$J,$E:$E,"VRAI",$F:$F,"G",$M:$M,"E")*SUMIFS($J:$J,$E:$E,"VRAI",$H:$H,"D",$I:$I,"C6")</f>
        <v>0</v>
      </c>
      <c r="AU40" s="32">
        <f>SUMIFS($D:$D,$E:$E,"FAUX",$G:$G,"G1",$M:$M,"F",$N:$N,"G*")*SUMIFS($J:$J,$E:$E,"VRAI",$F:$F,"F",$M:$M,"D")*SUMIFS($J:$J,$E:$E,"VRAI",$F:$F,"G",$M:$M,"E")*SUMIFS($J:$J,$E:$E,"VRAI",$H:$H,"E",$I:$I,"D1")</f>
        <v>0</v>
      </c>
      <c r="AV40" s="14">
        <f>SUMIFS($D:$D,$E:$E,"FAUX",$G:$G,"G1",$M:$M,"F",$N:$N,"G*")*SUMIFS($J:$J,$E:$E,"VRAI",$F:$F,"F",$M:$M,"D")*SUMIFS($J:$J,$E:$E,"VRAI",$F:$F,"G",$M:$M,"E")*SUMIFS($J:$J,$E:$E,"VRAI",$H:$H,"E",$I:$I,"D2")</f>
        <v>0</v>
      </c>
      <c r="AW40" s="14">
        <f>SUMIFS($D:$D,$E:$E,"FAUX",$G:$G,"G1",$M:$M,"F",$N:$N,"G*")*SUMIFS($J:$J,$E:$E,"VRAI",$F:$F,"F",$M:$M,"D")*SUMIFS($J:$J,$E:$E,"VRAI",$F:$F,"G",$M:$M,"E")*SUMIFS($J:$J,$E:$E,"VRAI",$H:$H,"E",$I:$I,"D3")</f>
        <v>0</v>
      </c>
      <c r="AX40" s="14">
        <f>SUMIFS($D:$D,$E:$E,"FAUX",$G:$G,"G1",$M:$M,"F",$N:$N,"G*")*SUMIFS($J:$J,$E:$E,"VRAI",$F:$F,"F",$M:$M,"D")*SUMIFS($J:$J,$E:$E,"VRAI",$F:$F,"G",$M:$M,"E")*SUMIFS($J:$J,$E:$E,"VRAI",$H:$H,"E",$I:$I,"D4")</f>
        <v>0</v>
      </c>
      <c r="AY40" s="14">
        <f>SUMIFS($D:$D,$E:$E,"FAUX",$G:$G,"G1",$M:$M,"F",$N:$N,"G*")*SUMIFS($J:$J,$E:$E,"VRAI",$F:$F,"F",$M:$M,"D")*SUMIFS($J:$J,$E:$E,"VRAI",$F:$F,"G",$M:$M,"E")*SUMIFS($J:$J,$E:$E,"VRAI",$H:$H,"E",$I:$I,"D5")</f>
        <v>0</v>
      </c>
      <c r="AZ40" s="15">
        <f>SUMIFS($D:$D,$E:$E,"FAUX",$G:$G,"G1",$M:$M,"F",$N:$N,"G*")*SUMIFS($J:$J,$E:$E,"VRAI",$F:$F,"F",$M:$M,"D")*SUMIFS($J:$J,$E:$E,"VRAI",$F:$F,"G",$M:$M,"E")*SUMIFS($J:$J,$E:$E,"VRAI",$H:$H,"E",$I:$I,"D6")</f>
        <v>0</v>
      </c>
      <c r="BA40" s="13">
        <f>SUMIFS($D:$D,$E:$E,"FAUX",$G:$G,"G1",$M:$M,"F",$N:$N,"G*")*SUMIFS($J:$J,$E:$E,"VRAI",$F:$F,"G",$M:$M,"E")*SUMIFS($J:$J,$E:$E,"VRAI",$I:$I,"E1",$F:$F,"F")</f>
        <v>0</v>
      </c>
      <c r="BB40" s="14">
        <f>SUMIFS($D:$D,$E:$E,"FAUX",$G:$G,"G1",$M:$M,"F",$N:$N,"G*")*SUMIFS($J:$J,$E:$E,"VRAI",$F:$F,"G",$M:$M,"E")*SUMIFS($J:$J,$E:$E,"VRAI",$I:$I,"E2",$F:$F,"F")</f>
        <v>0</v>
      </c>
      <c r="BC40" s="14">
        <f>SUMIFS($D:$D,$E:$E,"FAUX",$G:$G,"G1",$M:$M,"F",$N:$N,"G*")*SUMIFS($J:$J,$E:$E,"VRAI",$F:$F,"G",$M:$M,"E")*SUMIFS($J:$J,$E:$E,"VRAI",$I:$I,"E3",$F:$F,"F")</f>
        <v>0</v>
      </c>
      <c r="BD40" s="14">
        <f>SUMIFS($D:$D,$E:$E,"FAUX",$G:$G,"G1",$M:$M,"F",$N:$N,"G*")*SUMIFS($J:$J,$E:$E,"VRAI",$F:$F,"G",$M:$M,"E")*SUMIFS($J:$J,$E:$E,"VRAI",$I:$I,"E4",$F:$F,"F")</f>
        <v>0</v>
      </c>
      <c r="BE40" s="14">
        <f>SUMIFS($D:$D,$E:$E,"FAUX",$G:$G,"G1",$M:$M,"F",$N:$N,"G*")*SUMIFS($J:$J,$E:$E,"VRAI",$F:$F,"G",$M:$M,"E")*SUMIFS($J:$J,$E:$E,"VRAI",$I:$I,"E5",$F:$F,"F")</f>
        <v>0</v>
      </c>
      <c r="BF40" s="15">
        <f>SUMIFS($D:$D,$E:$E,"FAUX",$G:$G,"G1",$M:$M,"F",$N:$N,"G*")*SUMIFS($J:$J,$E:$E,"VRAI",$F:$F,"G",$M:$M,"E")*SUMIFS($J:$J,$E:$E,"VRAI",$I:$I,"E6",$F:$F,"F")</f>
        <v>0</v>
      </c>
      <c r="BG40" s="13">
        <f>SUMIFS($D:$D,$E:$E,"FAUX",$G:$G,"G1",$M:$M,"E",$N:$N,"G*")*SUMIFS($J:$J,$E:$E,"VRAI",$I:$I,"F1",$F:$F,"G")</f>
        <v>0</v>
      </c>
      <c r="BH40" s="14">
        <f>SUMIFS($D:$D,$E:$E,"FAUX",$G:$G,"G1",$M:$M,"E",$N:$N,"G*")*SUMIFS($J:$J,$E:$E,"VRAI",$I:$I,"F2",$F:$F,"G")</f>
        <v>0</v>
      </c>
      <c r="BI40" s="14">
        <f>SUMIFS($D:$D,$E:$E,"FAUX",$G:$G,"G1",$M:$M,"E",$N:$N,"G*")*SUMIFS($J:$J,$E:$E,"VRAI",$I:$I,"F3",$F:$F,"G")</f>
        <v>0</v>
      </c>
      <c r="BJ40" s="14">
        <f>SUMIFS($D:$D,$E:$E,"FAUX",$G:$G,"G1",$M:$M,"E",$N:$N,"G*")*SUMIFS($J:$J,$E:$E,"VRAI",$I:$I,"F4",$F:$F,"G")</f>
        <v>0</v>
      </c>
      <c r="BK40" s="14">
        <f>SUMIFS($D:$D,$E:$E,"FAUX",$G:$G,"G1",$M:$M,"E",$N:$N,"G*")*SUMIFS($J:$J,$E:$E,"VRAI",$I:$I,"F5",$F:$F,"G")</f>
        <v>0</v>
      </c>
      <c r="BL40" s="15">
        <f>SUMIFS($D:$D,$E:$E,"FAUX",$G:$G,"G1",$M:$M,"E",$N:$N,"G*")*SUMIFS($J:$J,$E:$E,"VRAI",$I:$I,"F6",$F:$F,"G")</f>
        <v>0</v>
      </c>
      <c r="BM40" s="38">
        <f>SUMIFS($D:$D,$O:$O,"G_1_1")</f>
        <v>0</v>
      </c>
      <c r="BN40" s="38">
        <f>SUMIFS($D:$D,$O:$O,"G_1_2")</f>
        <v>1079</v>
      </c>
      <c r="BO40" s="38">
        <f>SUMIFS($D:$D,$O:$O,"G_1_3")</f>
        <v>8</v>
      </c>
      <c r="BP40" s="38">
        <f>SUMIFS($D:$D,$O:$O,"G_1_4")</f>
        <v>0</v>
      </c>
      <c r="BQ40" s="38">
        <f>SUMIFS($D:$D,$O:$O,"G_1_5")</f>
        <v>0</v>
      </c>
      <c r="BR40" s="37">
        <f>SUMIFS($D:$D,$O:$O,"G_1_6")</f>
        <v>0</v>
      </c>
      <c r="BS40" s="31">
        <f>SUMIFS($D:$D,$E:$E,"FAUX",$G:$G,"G1",$M:$M,"H",$N:$N,"G*")*SUMIFS($J:$J,$O:$O,"H_1_1")</f>
        <v>0</v>
      </c>
      <c r="BT40" s="27">
        <f>SUMIFS($D:$D,$E:$E,"FAUX",$G:$G,"G1",$M:$M,"H",$N:$N,"G*")*SUMIFS($J:$J,$O:$O,"H_1_2")</f>
        <v>0</v>
      </c>
      <c r="BU40" s="27">
        <f>SUMIFS($D:$D,$E:$E,"FAUX",$G:$G,"G1",$M:$M,"H",$N:$N,"G*")*SUMIFS($J:$J,$O:$O,"H_1_3")</f>
        <v>0</v>
      </c>
      <c r="BV40" s="27">
        <f>SUMIFS($D:$D,$E:$E,"FAUX",$G:$G,"G1",$M:$M,"H",$N:$N,"G*")*SUMIFS($J:$J,$O:$O,"H_1_4")</f>
        <v>0</v>
      </c>
      <c r="BW40" s="27">
        <f>SUMIFS($D:$D,$E:$E,"FAUX",$G:$G,"G1",$M:$M,"H",$N:$N,"G*")*SUMIFS($J:$J,$O:$O,"H_1_5")</f>
        <v>0</v>
      </c>
      <c r="BX40" s="27">
        <f>SUMIFS($D:$D,$E:$E,"FAUX",$G:$G,"G1",$M:$M,"H",$N:$N,"G*")*SUMIFS($J:$J,$O:$O,"H_1_6")</f>
        <v>0</v>
      </c>
      <c r="BY40" s="43">
        <f>SUMIFS($D:$D,$E:$E,"FAUX",$G:$G,"E1",$M:$M,"F",$N:$N,"E*")*SUMIFS($J:$J,$E:$E,"VRAI",$F:$F,"G",$M:$M,"I")*SUMIFS($J:$J,$E:$E,"VRAI",$F:$F,"H",$I:$I,"I1")</f>
        <v>0</v>
      </c>
      <c r="BZ40" s="44">
        <f>SUMIFS($D:$D,$E:$E,"FAUX",$G:$G,"E1",$M:$M,"F",$N:$N,"E*")*SUMIFS($J:$J,$E:$E,"VRAI",$F:$F,"G",$M:$M,"I")*SUMIFS($J:$J,$E:$E,"VRAI",$F:$F,"H",$I:$I,"I2")</f>
        <v>0</v>
      </c>
      <c r="CA40" s="44">
        <f>SUMIFS($D:$D,$E:$E,"FAUX",$G:$G,"E1",$M:$M,"F",$N:$N,"E*")*SUMIFS($J:$J,$E:$E,"VRAI",$F:$F,"G",$M:$M,"I")*SUMIFS($J:$J,$E:$E,"VRAI",$F:$F,"H",$I:$I,"I3")</f>
        <v>0</v>
      </c>
      <c r="CB40" s="44">
        <f>SUMIFS($D:$D,$E:$E,"FAUX",$G:$G,"E1",$M:$M,"F",$N:$N,"E*")*SUMIFS($J:$J,$E:$E,"VRAI",$F:$F,"G",$M:$M,"I")*SUMIFS($J:$J,$E:$E,"VRAI",$F:$F,"H",$I:$I,"I4")</f>
        <v>0</v>
      </c>
      <c r="CC40" s="44">
        <f>SUMIFS($D:$D,$E:$E,"FAUX",$G:$G,"E1",$M:$M,"F",$N:$N,"E*")*SUMIFS($J:$J,$E:$E,"VRAI",$F:$F,"G",$M:$M,"I")*SUMIFS($J:$J,$E:$E,"VRAI",$F:$F,"H",$I:$I,"I5")</f>
        <v>0</v>
      </c>
      <c r="CD40" s="44">
        <f>SUMIFS($D:$D,$E:$E,"FAUX",$G:$G,"E1",$M:$M,"F",$N:$N,"E*")*SUMIFS($J:$J,$E:$E,"VRAI",$F:$F,"G",$M:$M,"I")*SUMIFS($J:$J,$E:$E,"VRAI",$F:$F,"H",$I:$I,"I6")</f>
        <v>0</v>
      </c>
      <c r="CE40" s="43">
        <f>SUMIFS($D:$D,$E:$E,"FAUX",$G:$G,"E1",$M:$M,"F",$N:$N,"E*")*SUMIFS($J:$J,$E:$E,"VRAI",$F:$F,"G",$M:$M,"I")*SUMIFS($J:$J,$E:$E,"VRAI",$F:$F,"H",$M:$M,"J")*SUMIFS($J:$J,$E:$E,"VRAI",$F:$F,"I",$I:$I,"J1")</f>
        <v>0</v>
      </c>
      <c r="CF40" s="44">
        <f>SUMIFS($D:$D,$E:$E,"FAUX",$G:$G,"E1",$M:$M,"F",$N:$N,"E*")*SUMIFS($J:$J,$E:$E,"VRAI",$F:$F,"G",$M:$M,"I")*SUMIFS($J:$J,$E:$E,"VRAI",$F:$F,"H",$M:$M,"J")*SUMIFS($J:$J,$E:$E,"VRAI",$F:$F,"I",$I:$I,"J2")</f>
        <v>0</v>
      </c>
      <c r="CG40" s="44">
        <f>SUMIFS($D:$D,$E:$E,"FAUX",$G:$G,"E1",$M:$M,"F",$N:$N,"E*")*SUMIFS($J:$J,$E:$E,"VRAI",$F:$F,"G",$M:$M,"I")*SUMIFS($J:$J,$E:$E,"VRAI",$F:$F,"H",$M:$M,"J")*SUMIFS($J:$J,$E:$E,"VRAI",$F:$F,"I",$I:$I,"J3")</f>
        <v>0</v>
      </c>
      <c r="CH40" s="44">
        <f>SUMIFS($D:$D,$E:$E,"FAUX",$G:$G,"E1",$M:$M,"F",$N:$N,"E*")*SUMIFS($J:$J,$E:$E,"VRAI",$F:$F,"G",$M:$M,"I")*SUMIFS($J:$J,$E:$E,"VRAI",$F:$F,"H",$M:$M,"J")*SUMIFS($J:$J,$E:$E,"VRAI",$F:$F,"I",$I:$I,"J4")</f>
        <v>0</v>
      </c>
      <c r="CI40" s="44">
        <f>SUMIFS($D:$D,$E:$E,"FAUX",$G:$G,"E1",$M:$M,"F",$N:$N,"E*")*SUMIFS($J:$J,$E:$E,"VRAI",$F:$F,"G",$M:$M,"I")*SUMIFS($J:$J,$E:$E,"VRAI",$F:$F,"H",$M:$M,"J")*SUMIFS($J:$J,$E:$E,"VRAI",$F:$F,"I",$I:$I,"J5")</f>
        <v>0</v>
      </c>
      <c r="CJ40" s="44">
        <f>SUMIFS($D:$D,$E:$E,"FAUX",$G:$G,"E1",$M:$M,"F",$N:$N,"E*")*SUMIFS($J:$J,$E:$E,"VRAI",$F:$F,"G",$M:$M,"I")*SUMIFS($J:$J,$E:$E,"VRAI",$F:$F,"H",$M:$M,"J")*SUMIFS($J:$J,$E:$E,"VRAI",$F:$F,"I",$I:$I,"J6")</f>
        <v>0</v>
      </c>
      <c r="CK40" s="46">
        <f>SUMIFS($D:$D,$E:$E,"FAUX",$G:$G,"E1",$M:$M,"F",$N:$N,"E*")*SUMIFS($J:$J,$E:$E,"VRAI",$F:$F,"G",$M:$M,"I")*SUMIFS($J:$J,$E:$E,"VRAI",$F:$F,"H",$M:$M,"J")*SUMIFS($J:$J,$E:$E,"VRAI",$F:$F,"I",$M:$M,"K")*SUMIFS($J:$J,$E:$E,"VRAI",$F:$F,"J",$I:$I,"K1")</f>
        <v>0</v>
      </c>
      <c r="CL40" s="47">
        <f>SUMIFS($D:$D,$E:$E,"FAUX",$G:$G,"E1",$M:$M,"F",$N:$N,"E*")*SUMIFS($J:$J,$E:$E,"VRAI",$F:$F,"G",$M:$M,"I")*SUMIFS($J:$J,$E:$E,"VRAI",$F:$F,"H",$M:$M,"J")*SUMIFS($J:$J,$E:$E,"VRAI",$F:$F,"I",$M:$M,"K")*SUMIFS($J:$J,$E:$E,"VRAI",$F:$F,"J",$I:$I,"K2")</f>
        <v>0</v>
      </c>
      <c r="CM40" s="47">
        <f>SUMIFS($D:$D,$E:$E,"FAUX",$G:$G,"E1",$M:$M,"F",$N:$N,"E*")*SUMIFS($J:$J,$E:$E,"VRAI",$F:$F,"G",$M:$M,"I")*SUMIFS($J:$J,$E:$E,"VRAI",$F:$F,"H",$M:$M,"J")*SUMIFS($J:$J,$E:$E,"VRAI",$F:$F,"I",$M:$M,"K")*SUMIFS($J:$J,$E:$E,"VRAI",$F:$F,"J",$I:$I,"K3")</f>
        <v>0</v>
      </c>
      <c r="CN40" s="47">
        <f>SUMIFS($D:$D,$E:$E,"FAUX",$G:$G,"E1",$M:$M,"F",$N:$N,"E*")*SUMIFS($J:$J,$E:$E,"VRAI",$F:$F,"G",$M:$M,"I")*SUMIFS($J:$J,$E:$E,"VRAI",$F:$F,"H",$M:$M,"J")*SUMIFS($J:$J,$E:$E,"VRAI",$F:$F,"I",$M:$M,"K")*SUMIFS($J:$J,$E:$E,"VRAI",$F:$F,"J",$I:$I,"K4")</f>
        <v>0</v>
      </c>
      <c r="CO40" s="47">
        <f>SUMIFS($D:$D,$E:$E,"FAUX",$G:$G,"E1",$M:$M,"F",$N:$N,"E*")*SUMIFS($J:$J,$E:$E,"VRAI",$F:$F,"G",$M:$M,"I")*SUMIFS($J:$J,$E:$E,"VRAI",$F:$F,"H",$M:$M,"J")*SUMIFS($J:$J,$E:$E,"VRAI",$F:$F,"I",$M:$M,"K")*SUMIFS($J:$J,$E:$E,"VRAI",$F:$F,"J",$I:$I,"K5")</f>
        <v>0</v>
      </c>
      <c r="CP40" s="48">
        <f>SUMIFS($D:$D,$E:$E,"FAUX",$G:$G,"E1",$M:$M,"F",$N:$N,"E*")*SUMIFS($J:$J,$E:$E,"VRAI",$F:$F,"G",$M:$M,"I")*SUMIFS($J:$J,$E:$E,"VRAI",$F:$F,"H",$M:$M,"J")*SUMIFS($J:$J,$E:$E,"VRAI",$F:$F,"I",$M:$M,"K")*SUMIFS($J:$J,$E:$E,"VRAI",$F:$F,"J",$I:$I,"K6")</f>
        <v>0</v>
      </c>
    </row>
    <row r="41" spans="1:94">
      <c r="A41" s="35" t="s">
        <v>9</v>
      </c>
      <c r="B41" s="35">
        <v>4</v>
      </c>
      <c r="C41" s="35">
        <v>1</v>
      </c>
      <c r="D41" s="35">
        <v>615</v>
      </c>
      <c r="E41" s="35" t="b">
        <v>0</v>
      </c>
      <c r="F41" s="35"/>
      <c r="G41" s="53" t="str">
        <f t="shared" si="0"/>
        <v>B4</v>
      </c>
      <c r="H41" s="52" t="str">
        <f t="shared" si="5"/>
        <v/>
      </c>
      <c r="I41" s="41" t="str">
        <f t="shared" si="1"/>
        <v>B1</v>
      </c>
      <c r="J41" s="42">
        <f t="shared" si="2"/>
        <v>0.841313269493844</v>
      </c>
      <c r="K41" s="41">
        <f t="shared" si="6"/>
        <v>731</v>
      </c>
      <c r="L41" s="41" t="str">
        <f t="shared" si="3"/>
        <v/>
      </c>
      <c r="M41" s="41" t="str">
        <f t="shared" si="7"/>
        <v>A</v>
      </c>
      <c r="N41" s="41" t="str">
        <f>IFERROR(VLOOKUP(I41,L41:L:L,1,FALSE),"")</f>
        <v>B1</v>
      </c>
      <c r="O41" s="56" t="str">
        <f t="shared" si="8"/>
        <v>B_4_1</v>
      </c>
      <c r="U41" t="s">
        <v>50</v>
      </c>
      <c r="V41">
        <f>SUMIFS(D:D,A:A,"E",B:B,"6")</f>
        <v>0</v>
      </c>
      <c r="Z41" t="str">
        <f t="shared" si="9"/>
        <v>G2</v>
      </c>
      <c r="AA41" t="str">
        <f t="shared" si="10"/>
        <v>G2</v>
      </c>
      <c r="AB41" t="s">
        <v>58</v>
      </c>
      <c r="AC41" s="46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0</v>
      </c>
      <c r="AD41" s="23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1" s="23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0</v>
      </c>
      <c r="AF41" s="23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1" s="23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1" s="23">
        <f>SUMIFS($D:$D,$E:$E,"FAUX",$G:$G,"G2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1" s="24">
        <f>SUMIFS($D:$D,$E:$E,"FAUX",$G:$G,"G2",$M:$M,"F",$N:$N,"G*")*SUMIFS($J:$J,$E:$E,"VRAI",$F:$F,"D",$M:$M,"B")*SUMIFS($J:$J,$E:$E,"VRAI",$F:$F,"C",$M:$M,"A")*SUMIFS($J:$J,$E:$E,"VRAI",$F:$F,"G",$M:$M,"E")*SUMIFS($J:$J,$E:$E,"VRAI",$H:$H,"C",$I:$I,"B1")</f>
        <v>0</v>
      </c>
      <c r="AJ41" s="23">
        <f>SUMIFS($D:$D,$E:$E,"FAUX",$G:$G,"G2",$M:$M,"F",$N:$N,"G*")*SUMIFS($J:$J,$E:$E,"VRAI",$F:$F,"D",$M:$M,"B")*SUMIFS($J:$J,$E:$E,"VRAI",$F:$F,"C",$M:$M,"A")*SUMIFS($J:$J,$E:$E,"VRAI",$F:$F,"G",$M:$M,"E")*SUMIFS($J:$J,$E:$E,"VRAI",$H:$H,"C",$I:$I,"B2")</f>
        <v>0</v>
      </c>
      <c r="AK41" s="23">
        <f>SUMIFS($D:$D,$E:$E,"FAUX",$G:$G,"G2",$M:$M,"F",$N:$N,"G*")*SUMIFS($J:$J,$E:$E,"VRAI",$F:$F,"D",$M:$M,"B")*SUMIFS($J:$J,$E:$E,"VRAI",$F:$F,"C",$M:$M,"A")*SUMIFS($J:$J,$E:$E,"VRAI",$F:$F,"G",$M:$M,"E")*SUMIFS($J:$J,$E:$E,"VRAI",$H:$H,"C",$I:$I,"B3")</f>
        <v>0</v>
      </c>
      <c r="AL41" s="23">
        <f>SUMIFS($D:$D,$E:$E,"FAUX",$G:$G,"G2",$M:$M,"F",$N:$N,"G*")*SUMIFS($J:$J,$E:$E,"VRAI",$F:$F,"D",$M:$M,"B")*SUMIFS($J:$J,$E:$E,"VRAI",$F:$F,"C",$M:$M,"A")*SUMIFS($J:$J,$E:$E,"VRAI",$F:$F,"G",$M:$M,"E")*SUMIFS($J:$J,$E:$E,"VRAI",$H:$H,"C",$I:$I,"B4")</f>
        <v>0</v>
      </c>
      <c r="AM41" s="23">
        <f>SUMIFS($D:$D,$E:$E,"FAUX",$G:$G,"G2",$M:$M,"F",$N:$N,"G*")*SUMIFS($J:$J,$E:$E,"VRAI",$F:$F,"D",$M:$M,"B")*SUMIFS($J:$J,$E:$E,"VRAI",$F:$F,"C",$M:$M,"A")*SUMIFS($J:$J,$E:$E,"VRAI",$F:$F,"G",$M:$M,"E")*SUMIFS($J:$J,$E:$E,"VRAI",$H:$H,"C",$I:$I,"B5")</f>
        <v>0</v>
      </c>
      <c r="AN41" s="23">
        <f>SUMIFS($D:$D,$E:$E,"FAUX",$G:$G,"G2",$M:$M,"F",$N:$N,"G*")*SUMIFS($J:$J,$E:$E,"VRAI",$F:$F,"D",$M:$M,"B")*SUMIFS($J:$J,$E:$E,"VRAI",$F:$F,"C",$M:$M,"A")*SUMIFS($J:$J,$E:$E,"VRAI",$F:$F,"G",$M:$M,"E")*SUMIFS($J:$J,$E:$E,"VRAI",$H:$H,"C",$I:$I,"B6")</f>
        <v>0</v>
      </c>
      <c r="AO41" s="31">
        <f>SUMIFS($D:$D,$E:$E,"FAUX",$G:$G,"G2",$M:$M,"F",$N:$N,"G*")*SUMIFS($J:$J,$E:$E,"VRAI",$F:$F,"E",$M:$M,"C")*SUMIFS($J:$J,$E:$E,"VRAI",$F:$F,"F",$M:$M,"D")*SUMIFS($J:$J,$E:$E,"VRAI",$F:$F,"G",$M:$M,"E")*SUMIFS($J:$J,$E:$E,"VRAI",$H:$H,"D",$I:$I,"C1")</f>
        <v>0</v>
      </c>
      <c r="AP41" s="27">
        <f>SUMIFS($D:$D,$E:$E,"FAUX",$G:$G,"G2",$M:$M,"F",$N:$N,"G*")*SUMIFS($J:$J,$E:$E,"VRAI",$F:$F,"E",$M:$M,"C")*SUMIFS($J:$J,$E:$E,"VRAI",$F:$F,"F",$M:$M,"D")*SUMIFS($J:$J,$E:$E,"VRAI",$F:$F,"G",$M:$M,"E")*SUMIFS($J:$J,$E:$E,"VRAI",$H:$H,"D",$I:$I,"C2")</f>
        <v>0</v>
      </c>
      <c r="AQ41" s="27">
        <f>SUMIFS($D:$D,$E:$E,"FAUX",$G:$G,"G2",$M:$M,"F",$N:$N,"G*")*SUMIFS($J:$J,$E:$E,"VRAI",$F:$F,"E",$M:$M,"C")*SUMIFS($J:$J,$E:$E,"VRAI",$F:$F,"F",$M:$M,"D")*SUMIFS($J:$J,$E:$E,"VRAI",$F:$F,"G",$M:$M,"E")*SUMIFS($J:$J,$E:$E,"VRAI",$H:$H,"D",$I:$I,"C3")</f>
        <v>0</v>
      </c>
      <c r="AR41" s="27">
        <f>SUMIFS($D:$D,$E:$E,"FAUX",$G:$G,"G2",$M:$M,"F",$N:$N,"G*")*SUMIFS($J:$J,$E:$E,"VRAI",$F:$F,"E",$M:$M,"C")*SUMIFS($J:$J,$E:$E,"VRAI",$F:$F,"F",$M:$M,"D")*SUMIFS($J:$J,$E:$E,"VRAI",$F:$F,"G",$M:$M,"E")*SUMIFS($J:$J,$E:$E,"VRAI",$H:$H,"D",$I:$I,"C4")</f>
        <v>0</v>
      </c>
      <c r="AS41" s="27">
        <f>SUMIFS($D:$D,$E:$E,"FAUX",$G:$G,"G2",$M:$M,"F",$N:$N,"G*")*SUMIFS($J:$J,$E:$E,"VRAI",$F:$F,"E",$M:$M,"C")*SUMIFS($J:$J,$E:$E,"VRAI",$F:$F,"F",$M:$M,"D")*SUMIFS($J:$J,$E:$E,"VRAI",$F:$F,"G",$M:$M,"E")*SUMIFS($J:$J,$E:$E,"VRAI",$H:$H,"D",$I:$I,"C5")</f>
        <v>0</v>
      </c>
      <c r="AT41" s="28">
        <f>SUMIFS($D:$D,$E:$E,"FAUX",$G:$G,"G2",$M:$M,"F",$N:$N,"G*")*SUMIFS($J:$J,$E:$E,"VRAI",$F:$F,"E",$M:$M,"C")*SUMIFS($J:$J,$E:$E,"VRAI",$F:$F,"F",$M:$M,"D")*SUMIFS($J:$J,$E:$E,"VRAI",$F:$F,"G",$M:$M,"E")*SUMIFS($J:$J,$E:$E,"VRAI",$H:$H,"D",$I:$I,"C6")</f>
        <v>0</v>
      </c>
      <c r="AU41" s="31">
        <f>SUMIFS($D:$D,$E:$E,"FAUX",$G:$G,"G2",$M:$M,"F",$N:$N,"G*")*SUMIFS($J:$J,$E:$E,"VRAI",$F:$F,"F",$M:$M,"D")*SUMIFS($J:$J,$E:$E,"VRAI",$F:$F,"G",$M:$M,"E")*SUMIFS($J:$J,$E:$E,"VRAI",$H:$H,"E",$I:$I,"D1")</f>
        <v>0</v>
      </c>
      <c r="AV41" s="27">
        <f>SUMIFS($D:$D,$E:$E,"FAUX",$G:$G,"G2",$M:$M,"F",$N:$N,"G*")*SUMIFS($J:$J,$E:$E,"VRAI",$F:$F,"F",$M:$M,"D")*SUMIFS($J:$J,$E:$E,"VRAI",$F:$F,"G",$M:$M,"E")*SUMIFS($J:$J,$E:$E,"VRAI",$H:$H,"E",$I:$I,"D2")</f>
        <v>0</v>
      </c>
      <c r="AW41" s="27">
        <f>SUMIFS($D:$D,$E:$E,"FAUX",$G:$G,"G2",$M:$M,"F",$N:$N,"G*")*SUMIFS($J:$J,$E:$E,"VRAI",$F:$F,"F",$M:$M,"D")*SUMIFS($J:$J,$E:$E,"VRAI",$F:$F,"G",$M:$M,"E")*SUMIFS($J:$J,$E:$E,"VRAI",$H:$H,"E",$I:$I,"D3")</f>
        <v>0</v>
      </c>
      <c r="AX41" s="27">
        <f>SUMIFS($D:$D,$E:$E,"FAUX",$G:$G,"G2",$M:$M,"F",$N:$N,"G*")*SUMIFS($J:$J,$E:$E,"VRAI",$F:$F,"F",$M:$M,"D")*SUMIFS($J:$J,$E:$E,"VRAI",$F:$F,"G",$M:$M,"E")*SUMIFS($J:$J,$E:$E,"VRAI",$H:$H,"E",$I:$I,"D4")</f>
        <v>0</v>
      </c>
      <c r="AY41" s="27">
        <f>SUMIFS($D:$D,$E:$E,"FAUX",$G:$G,"G2",$M:$M,"F",$N:$N,"G*")*SUMIFS($J:$J,$E:$E,"VRAI",$F:$F,"F",$M:$M,"D")*SUMIFS($J:$J,$E:$E,"VRAI",$F:$F,"G",$M:$M,"E")*SUMIFS($J:$J,$E:$E,"VRAI",$H:$H,"E",$I:$I,"D5")</f>
        <v>0</v>
      </c>
      <c r="AZ41" s="28">
        <f>SUMIFS($D:$D,$E:$E,"FAUX",$G:$G,"G2",$M:$M,"F",$N:$N,"G*")*SUMIFS($J:$J,$E:$E,"VRAI",$F:$F,"F",$M:$M,"D")*SUMIFS($J:$J,$E:$E,"VRAI",$F:$F,"G",$M:$M,"E")*SUMIFS($J:$J,$E:$E,"VRAI",$H:$H,"E",$I:$I,"D6")</f>
        <v>0</v>
      </c>
      <c r="BA41" s="31">
        <f>SUMIFS($D:$D,$E:$E,"FAUX",$G:$G,"G2",$M:$M,"F",$N:$N,"G*")*SUMIFS($J:$J,$E:$E,"VRAI",$F:$F,"G",$M:$M,"E")*SUMIFS($J:$J,$E:$E,"VRAI",$I:$I,"E1",$F:$F,"F")</f>
        <v>0</v>
      </c>
      <c r="BB41" s="27">
        <f>SUMIFS($D:$D,$E:$E,"FAUX",$G:$G,"G2",$M:$M,"F",$N:$N,"G*")*SUMIFS($J:$J,$E:$E,"VRAI",$F:$F,"G",$M:$M,"E")*SUMIFS($J:$J,$E:$E,"VRAI",$I:$I,"E2",$F:$F,"F")</f>
        <v>0</v>
      </c>
      <c r="BC41" s="27">
        <f>SUMIFS($D:$D,$E:$E,"FAUX",$G:$G,"G2",$M:$M,"F",$N:$N,"G*")*SUMIFS($J:$J,$E:$E,"VRAI",$F:$F,"G",$M:$M,"E")*SUMIFS($J:$J,$E:$E,"VRAI",$I:$I,"E3",$F:$F,"F")</f>
        <v>0</v>
      </c>
      <c r="BD41" s="27">
        <f>SUMIFS($D:$D,$E:$E,"FAUX",$G:$G,"G2",$M:$M,"F",$N:$N,"G*")*SUMIFS($J:$J,$E:$E,"VRAI",$F:$F,"G",$M:$M,"E")*SUMIFS($J:$J,$E:$E,"VRAI",$I:$I,"E4",$F:$F,"F")</f>
        <v>0</v>
      </c>
      <c r="BE41" s="27">
        <f>SUMIFS($D:$D,$E:$E,"FAUX",$G:$G,"G2",$M:$M,"F",$N:$N,"G*")*SUMIFS($J:$J,$E:$E,"VRAI",$F:$F,"G",$M:$M,"E")*SUMIFS($J:$J,$E:$E,"VRAI",$I:$I,"E5",$F:$F,"F")</f>
        <v>0</v>
      </c>
      <c r="BF41" s="28">
        <f>SUMIFS($D:$D,$E:$E,"FAUX",$G:$G,"G2",$M:$M,"F",$N:$N,"G*")*SUMIFS($J:$J,$E:$E,"VRAI",$F:$F,"G",$M:$M,"E")*SUMIFS($J:$J,$E:$E,"VRAI",$I:$I,"E6",$F:$F,"F")</f>
        <v>0</v>
      </c>
      <c r="BG41" s="31">
        <f>SUMIFS($D:$D,$E:$E,"FAUX",$G:$G,"G2",$M:$M,"E",$N:$N,"G*")*SUMIFS($J:$J,$E:$E,"VRAI",$I:$I,"F1",$F:$F,"G")</f>
        <v>0</v>
      </c>
      <c r="BH41" s="27">
        <f>SUMIFS($D:$D,$E:$E,"FAUX",$G:$G,"G2",$M:$M,"E",$N:$N,"G*")*SUMIFS($J:$J,$E:$E,"VRAI",$I:$I,"F2",$F:$F,"G")</f>
        <v>0</v>
      </c>
      <c r="BI41" s="27">
        <f>SUMIFS($D:$D,$E:$E,"FAUX",$G:$G,"G2",$M:$M,"E",$N:$N,"G*")*SUMIFS($J:$J,$E:$E,"VRAI",$I:$I,"F3",$F:$F,"G")</f>
        <v>0</v>
      </c>
      <c r="BJ41" s="27">
        <f>SUMIFS($D:$D,$E:$E,"FAUX",$G:$G,"G2",$M:$M,"E",$N:$N,"G*")*SUMIFS($J:$J,$E:$E,"VRAI",$I:$I,"F4",$F:$F,"G")</f>
        <v>0</v>
      </c>
      <c r="BK41" s="27">
        <f>SUMIFS($D:$D,$E:$E,"FAUX",$G:$G,"G2",$M:$M,"E",$N:$N,"G*")*SUMIFS($J:$J,$E:$E,"VRAI",$I:$I,"F5",$F:$F,"G")</f>
        <v>0</v>
      </c>
      <c r="BL41" s="28">
        <f>SUMIFS($D:$D,$E:$E,"FAUX",$G:$G,"G2",$M:$M,"E",$N:$N,"G*")*SUMIFS($J:$J,$E:$E,"VRAI",$I:$I,"F6",$F:$F,"G")</f>
        <v>0</v>
      </c>
      <c r="BM41" s="54">
        <f>SUMIFS($D:$D,$O:$O,"G_2_1")</f>
        <v>1477</v>
      </c>
      <c r="BN41" s="54">
        <f>SUMIFS($D:$D,$O:$O,"G_2_2")</f>
        <v>0</v>
      </c>
      <c r="BO41" s="54">
        <f>SUMIFS($D:$D,$O:$O,"G_2_3")</f>
        <v>23</v>
      </c>
      <c r="BP41" s="54">
        <f>SUMIFS($D:$D,$O:$O,"G_2_4")</f>
        <v>0</v>
      </c>
      <c r="BQ41" s="54">
        <f>SUMIFS($D:$D,$O:$O,"G_2_5")</f>
        <v>0</v>
      </c>
      <c r="BR41" s="55">
        <f>SUMIFS($D:$D,$O:$O,"G_2_6")</f>
        <v>0</v>
      </c>
      <c r="BS41" s="31">
        <f>SUMIFS($D:$D,$E:$E,"FAUX",$G:$G,"G2",$M:$M,"H",$N:$N,"G*")*SUMIFS($J:$J,$O:$O,"H_1_1")</f>
        <v>0</v>
      </c>
      <c r="BT41" s="27">
        <f>SUMIFS($D:$D,$E:$E,"FAUX",$G:$G,"G2",$M:$M,"H",$N:$N,"G*")*SUMIFS($J:$J,$O:$O,"H_1_2")</f>
        <v>0</v>
      </c>
      <c r="BU41" s="27">
        <f>SUMIFS($D:$D,$E:$E,"FAUX",$G:$G,"G2",$M:$M,"H",$N:$N,"G*")*SUMIFS($J:$J,$O:$O,"H_1_3")</f>
        <v>0</v>
      </c>
      <c r="BV41" s="27">
        <f>SUMIFS($D:$D,$E:$E,"FAUX",$G:$G,"G2",$M:$M,"H",$N:$N,"G*")*SUMIFS($J:$J,$O:$O,"H_1_4")</f>
        <v>0</v>
      </c>
      <c r="BW41" s="27">
        <f>SUMIFS($D:$D,$E:$E,"FAUX",$G:$G,"G2",$M:$M,"H",$N:$N,"G*")*SUMIFS($J:$J,$O:$O,"H_1_5")</f>
        <v>0</v>
      </c>
      <c r="BX41" s="27">
        <f>SUMIFS($D:$D,$E:$E,"FAUX",$G:$G,"G2",$M:$M,"H",$N:$N,"G*")*SUMIFS($J:$J,$O:$O,"H_1_6")</f>
        <v>0</v>
      </c>
      <c r="BY41" s="46">
        <f>SUMIFS($D:$D,$E:$E,"FAUX",$G:$G,"G1",$M:$M,"F",$N:$N,"E*")*SUMIFS($J:$J,$E:$E,"VRAI",$F:$F,"G",$M:$M,"I")*SUMIFS($J:$J,$E:$E,"VRAI",$F:$F,"H",$I:$I,"I1")</f>
        <v>0</v>
      </c>
      <c r="BZ41" s="47">
        <f>SUMIFS($D:$D,$E:$E,"FAUX",$G:$G,"G1",$M:$M,"F",$N:$N,"E*")*SUMIFS($J:$J,$E:$E,"VRAI",$F:$F,"G",$M:$M,"I")*SUMIFS($J:$J,$E:$E,"VRAI",$F:$F,"H",$I:$I,"I2")</f>
        <v>0</v>
      </c>
      <c r="CA41" s="47">
        <f>SUMIFS($D:$D,$E:$E,"FAUX",$G:$G,"G1",$M:$M,"F",$N:$N,"E*")*SUMIFS($J:$J,$E:$E,"VRAI",$F:$F,"G",$M:$M,"I")*SUMIFS($J:$J,$E:$E,"VRAI",$F:$F,"H",$I:$I,"I3")</f>
        <v>0</v>
      </c>
      <c r="CB41" s="47">
        <f>SUMIFS($D:$D,$E:$E,"FAUX",$G:$G,"G1",$M:$M,"F",$N:$N,"E*")*SUMIFS($J:$J,$E:$E,"VRAI",$F:$F,"G",$M:$M,"I")*SUMIFS($J:$J,$E:$E,"VRAI",$F:$F,"H",$I:$I,"I4")</f>
        <v>0</v>
      </c>
      <c r="CC41" s="47">
        <f>SUMIFS($D:$D,$E:$E,"FAUX",$G:$G,"G1",$M:$M,"F",$N:$N,"E*")*SUMIFS($J:$J,$E:$E,"VRAI",$F:$F,"G",$M:$M,"I")*SUMIFS($J:$J,$E:$E,"VRAI",$F:$F,"H",$I:$I,"I5")</f>
        <v>0</v>
      </c>
      <c r="CD41" s="47">
        <f>SUMIFS($D:$D,$E:$E,"FAUX",$G:$G,"G1",$M:$M,"F",$N:$N,"E*")*SUMIFS($J:$J,$E:$E,"VRAI",$F:$F,"G",$M:$M,"I")*SUMIFS($J:$J,$E:$E,"VRAI",$F:$F,"H",$I:$I,"I6")</f>
        <v>0</v>
      </c>
      <c r="CE41" s="46">
        <f>SUMIFS($D:$D,$E:$E,"FAUX",$G:$G,"G1",$M:$M,"F",$N:$N,"E*")*SUMIFS($J:$J,$E:$E,"VRAI",$F:$F,"G",$M:$M,"I")*SUMIFS($J:$J,$E:$E,"VRAI",$F:$F,"H",$M:$M,"J")*SUMIFS($J:$J,$E:$E,"VRAI",$F:$F,"I",$I:$I,"J1")</f>
        <v>0</v>
      </c>
      <c r="CF41" s="47">
        <f>SUMIFS($D:$D,$E:$E,"FAUX",$G:$G,"G1",$M:$M,"F",$N:$N,"E*")*SUMIFS($J:$J,$E:$E,"VRAI",$F:$F,"G",$M:$M,"I")*SUMIFS($J:$J,$E:$E,"VRAI",$F:$F,"H",$M:$M,"J")*SUMIFS($J:$J,$E:$E,"VRAI",$F:$F,"I",$I:$I,"J2")</f>
        <v>0</v>
      </c>
      <c r="CG41" s="47">
        <f>SUMIFS($D:$D,$E:$E,"FAUX",$G:$G,"G1",$M:$M,"F",$N:$N,"E*")*SUMIFS($J:$J,$E:$E,"VRAI",$F:$F,"G",$M:$M,"I")*SUMIFS($J:$J,$E:$E,"VRAI",$F:$F,"H",$M:$M,"J")*SUMIFS($J:$J,$E:$E,"VRAI",$F:$F,"I",$I:$I,"J3")</f>
        <v>0</v>
      </c>
      <c r="CH41" s="47">
        <f>SUMIFS($D:$D,$E:$E,"FAUX",$G:$G,"G1",$M:$M,"F",$N:$N,"E*")*SUMIFS($J:$J,$E:$E,"VRAI",$F:$F,"G",$M:$M,"I")*SUMIFS($J:$J,$E:$E,"VRAI",$F:$F,"H",$M:$M,"J")*SUMIFS($J:$J,$E:$E,"VRAI",$F:$F,"I",$I:$I,"J4")</f>
        <v>0</v>
      </c>
      <c r="CI41" s="47">
        <f>SUMIFS($D:$D,$E:$E,"FAUX",$G:$G,"G1",$M:$M,"F",$N:$N,"E*")*SUMIFS($J:$J,$E:$E,"VRAI",$F:$F,"G",$M:$M,"I")*SUMIFS($J:$J,$E:$E,"VRAI",$F:$F,"H",$M:$M,"J")*SUMIFS($J:$J,$E:$E,"VRAI",$F:$F,"I",$I:$I,"J5")</f>
        <v>0</v>
      </c>
      <c r="CJ41" s="47">
        <f>SUMIFS($D:$D,$E:$E,"FAUX",$G:$G,"G1",$M:$M,"F",$N:$N,"E*")*SUMIFS($J:$J,$E:$E,"VRAI",$F:$F,"G",$M:$M,"I")*SUMIFS($J:$J,$E:$E,"VRAI",$F:$F,"H",$M:$M,"J")*SUMIFS($J:$J,$E:$E,"VRAI",$F:$F,"I",$I:$I,"J6")</f>
        <v>0</v>
      </c>
      <c r="CK41" s="46">
        <f>SUMIFS($D:$D,$E:$E,"FAUX",$G:$G,"G1",$M:$M,"F",$N:$N,"E*")*SUMIFS($J:$J,$E:$E,"VRAI",$F:$F,"G",$M:$M,"I")*SUMIFS($J:$J,$E:$E,"VRAI",$F:$F,"H",$M:$M,"J")*SUMIFS($J:$J,$E:$E,"VRAI",$F:$F,"I",$M:$M,"K")*SUMIFS($J:$J,$E:$E,"VRAI",$F:$F,"J",$I:$I,"K1")</f>
        <v>0</v>
      </c>
      <c r="CL41" s="47">
        <f>SUMIFS($D:$D,$E:$E,"FAUX",$G:$G,"G1",$M:$M,"F",$N:$N,"E*")*SUMIFS($J:$J,$E:$E,"VRAI",$F:$F,"G",$M:$M,"I")*SUMIFS($J:$J,$E:$E,"VRAI",$F:$F,"H",$M:$M,"J")*SUMIFS($J:$J,$E:$E,"VRAI",$F:$F,"I",$M:$M,"K")*SUMIFS($J:$J,$E:$E,"VRAI",$F:$F,"J",$I:$I,"K2")</f>
        <v>0</v>
      </c>
      <c r="CM41" s="47">
        <f>SUMIFS($D:$D,$E:$E,"FAUX",$G:$G,"G1",$M:$M,"F",$N:$N,"E*")*SUMIFS($J:$J,$E:$E,"VRAI",$F:$F,"G",$M:$M,"I")*SUMIFS($J:$J,$E:$E,"VRAI",$F:$F,"H",$M:$M,"J")*SUMIFS($J:$J,$E:$E,"VRAI",$F:$F,"I",$M:$M,"K")*SUMIFS($J:$J,$E:$E,"VRAI",$F:$F,"J",$I:$I,"K3")</f>
        <v>0</v>
      </c>
      <c r="CN41" s="47">
        <f>SUMIFS($D:$D,$E:$E,"FAUX",$G:$G,"G1",$M:$M,"F",$N:$N,"E*")*SUMIFS($J:$J,$E:$E,"VRAI",$F:$F,"G",$M:$M,"I")*SUMIFS($J:$J,$E:$E,"VRAI",$F:$F,"H",$M:$M,"J")*SUMIFS($J:$J,$E:$E,"VRAI",$F:$F,"I",$M:$M,"K")*SUMIFS($J:$J,$E:$E,"VRAI",$F:$F,"J",$I:$I,"K4")</f>
        <v>0</v>
      </c>
      <c r="CO41" s="47">
        <f>SUMIFS($D:$D,$E:$E,"FAUX",$G:$G,"G1",$M:$M,"F",$N:$N,"E*")*SUMIFS($J:$J,$E:$E,"VRAI",$F:$F,"G",$M:$M,"I")*SUMIFS($J:$J,$E:$E,"VRAI",$F:$F,"H",$M:$M,"J")*SUMIFS($J:$J,$E:$E,"VRAI",$F:$F,"I",$M:$M,"K")*SUMIFS($J:$J,$E:$E,"VRAI",$F:$F,"J",$I:$I,"K5")</f>
        <v>0</v>
      </c>
      <c r="CP41" s="48">
        <f>SUMIFS($D:$D,$E:$E,"FAUX",$G:$G,"G1",$M:$M,"F",$N:$N,"E*")*SUMIFS($J:$J,$E:$E,"VRAI",$F:$F,"G",$M:$M,"I")*SUMIFS($J:$J,$E:$E,"VRAI",$F:$F,"H",$M:$M,"J")*SUMIFS($J:$J,$E:$E,"VRAI",$F:$F,"I",$M:$M,"K")*SUMIFS($J:$J,$E:$E,"VRAI",$F:$F,"J",$I:$I,"K6")</f>
        <v>0</v>
      </c>
    </row>
    <row r="42" spans="1:94">
      <c r="A42" s="35" t="s">
        <v>9</v>
      </c>
      <c r="B42" s="35">
        <v>4</v>
      </c>
      <c r="C42" s="35">
        <v>2</v>
      </c>
      <c r="D42" s="35">
        <v>0</v>
      </c>
      <c r="E42" s="35" t="b">
        <v>0</v>
      </c>
      <c r="F42" s="35"/>
      <c r="G42" s="53" t="str">
        <f t="shared" si="0"/>
        <v>B4</v>
      </c>
      <c r="H42" s="52" t="str">
        <f t="shared" si="5"/>
        <v/>
      </c>
      <c r="I42" s="41" t="str">
        <f t="shared" si="1"/>
        <v>B2</v>
      </c>
      <c r="J42" s="42">
        <f t="shared" si="2"/>
        <v>0</v>
      </c>
      <c r="K42" s="41">
        <f t="shared" si="6"/>
        <v>731</v>
      </c>
      <c r="L42" s="41" t="str">
        <f t="shared" si="3"/>
        <v/>
      </c>
      <c r="M42" s="41" t="str">
        <f t="shared" si="7"/>
        <v/>
      </c>
      <c r="N42" s="41" t="str">
        <f>IFERROR(VLOOKUP(I42,L42:L:L,1,FALSE),"")</f>
        <v/>
      </c>
      <c r="O42" s="56" t="str">
        <f t="shared" si="8"/>
        <v>B_4_2</v>
      </c>
      <c r="Z42" t="e">
        <f t="shared" si="9"/>
        <v>#N/A</v>
      </c>
      <c r="AA42" t="str">
        <f t="shared" si="10"/>
        <v>G3</v>
      </c>
      <c r="AB42" t="s">
        <v>59</v>
      </c>
      <c r="AC42" s="46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26.700459659487706</v>
      </c>
      <c r="AD42" s="47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2" s="47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16.927543410119913</v>
      </c>
      <c r="AF42" s="47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2" s="47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2" s="47">
        <f>SUMIFS($D:$D,$E:$E,"FAUX",$G:$G,"G3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2" s="46">
        <f>SUMIFS($D:$D,$E:$E,"FAUX",$G:$G,"G3",$M:$M,"F",$N:$N,"G*")*SUMIFS($J:$J,$E:$E,"VRAI",$F:$F,"D",$M:$M,"B")*SUMIFS($J:$J,$E:$E,"VRAI",$F:$F,"C",$M:$M,"A")*SUMIFS($J:$J,$E:$E,"VRAI",$F:$F,"G",$M:$M,"E")*SUMIFS($J:$J,$E:$E,"VRAI",$H:$H,"C",$I:$I,"B1")</f>
        <v>73.538464195541493</v>
      </c>
      <c r="AJ42" s="47">
        <f>SUMIFS($D:$D,$E:$E,"FAUX",$G:$G,"G3",$M:$M,"F",$N:$N,"G*")*SUMIFS($J:$J,$E:$E,"VRAI",$F:$F,"D",$M:$M,"B")*SUMIFS($J:$J,$E:$E,"VRAI",$F:$F,"C",$M:$M,"A")*SUMIFS($J:$J,$E:$E,"VRAI",$F:$F,"G",$M:$M,"E")*SUMIFS($J:$J,$E:$E,"VRAI",$H:$H,"C",$I:$I,"B2")</f>
        <v>0</v>
      </c>
      <c r="AK42" s="47">
        <f>SUMIFS($D:$D,$E:$E,"FAUX",$G:$G,"G3",$M:$M,"F",$N:$N,"G*")*SUMIFS($J:$J,$E:$E,"VRAI",$F:$F,"D",$M:$M,"B")*SUMIFS($J:$J,$E:$E,"VRAI",$F:$F,"C",$M:$M,"A")*SUMIFS($J:$J,$E:$E,"VRAI",$F:$F,"G",$M:$M,"E")*SUMIFS($J:$J,$E:$E,"VRAI",$H:$H,"C",$I:$I,"B3")</f>
        <v>0</v>
      </c>
      <c r="AL42" s="47">
        <f>SUMIFS($D:$D,$E:$E,"FAUX",$G:$G,"G3",$M:$M,"F",$N:$N,"G*")*SUMIFS($J:$J,$E:$E,"VRAI",$F:$F,"D",$M:$M,"B")*SUMIFS($J:$J,$E:$E,"VRAI",$F:$F,"C",$M:$M,"A")*SUMIFS($J:$J,$E:$E,"VRAI",$F:$F,"G",$M:$M,"E")*SUMIFS($J:$J,$E:$E,"VRAI",$H:$H,"C",$I:$I,"B4")</f>
        <v>5.929093984478075</v>
      </c>
      <c r="AM42" s="47">
        <f>SUMIFS($D:$D,$E:$E,"FAUX",$G:$G,"G3",$M:$M,"F",$N:$N,"G*")*SUMIFS($J:$J,$E:$E,"VRAI",$F:$F,"D",$M:$M,"B")*SUMIFS($J:$J,$E:$E,"VRAI",$F:$F,"C",$M:$M,"A")*SUMIFS($J:$J,$E:$E,"VRAI",$F:$F,"G",$M:$M,"E")*SUMIFS($J:$J,$E:$E,"VRAI",$H:$H,"C",$I:$I,"B5")</f>
        <v>0</v>
      </c>
      <c r="AN42" s="47">
        <f>SUMIFS($D:$D,$E:$E,"FAUX",$G:$G,"G3",$M:$M,"F",$N:$N,"G*")*SUMIFS($J:$J,$E:$E,"VRAI",$F:$F,"D",$M:$M,"B")*SUMIFS($J:$J,$E:$E,"VRAI",$F:$F,"C",$M:$M,"A")*SUMIFS($J:$J,$E:$E,"VRAI",$F:$F,"G",$M:$M,"E")*SUMIFS($J:$J,$E:$E,"VRAI",$H:$H,"C",$I:$I,"B6")</f>
        <v>0</v>
      </c>
      <c r="AO42" s="16">
        <f>SUMIFS($D:$D,$E:$E,"FAUX",$G:$G,"G3",$M:$M,"F",$N:$N,"G*")*SUMIFS($J:$J,$E:$E,"VRAI",$F:$F,"E",$M:$M,"C")*SUMIFS($J:$J,$E:$E,"VRAI",$F:$F,"F",$M:$M,"D")*SUMIFS($J:$J,$E:$E,"VRAI",$F:$F,"G",$M:$M,"E")*SUMIFS($J:$J,$E:$E,"VRAI",$H:$H,"D",$I:$I,"C1")</f>
        <v>47.145543629973091</v>
      </c>
      <c r="AP42" s="17">
        <f>SUMIFS($D:$D,$E:$E,"FAUX",$G:$G,"G3",$M:$M,"F",$N:$N,"G*")*SUMIFS($J:$J,$E:$E,"VRAI",$F:$F,"E",$M:$M,"C")*SUMIFS($J:$J,$E:$E,"VRAI",$F:$F,"F",$M:$M,"D")*SUMIFS($J:$J,$E:$E,"VRAI",$F:$F,"G",$M:$M,"E")*SUMIFS($J:$J,$E:$E,"VRAI",$H:$H,"D",$I:$I,"C2")</f>
        <v>0</v>
      </c>
      <c r="AQ42" s="17">
        <f>SUMIFS($D:$D,$E:$E,"FAUX",$G:$G,"G3",$M:$M,"F",$N:$N,"G*")*SUMIFS($J:$J,$E:$E,"VRAI",$F:$F,"E",$M:$M,"C")*SUMIFS($J:$J,$E:$E,"VRAI",$F:$F,"F",$M:$M,"D")*SUMIFS($J:$J,$E:$E,"VRAI",$F:$F,"G",$M:$M,"E")*SUMIFS($J:$J,$E:$E,"VRAI",$H:$H,"D",$I:$I,"C3")</f>
        <v>0</v>
      </c>
      <c r="AR42" s="17">
        <f>SUMIFS($D:$D,$E:$E,"FAUX",$G:$G,"G3",$M:$M,"F",$N:$N,"G*")*SUMIFS($J:$J,$E:$E,"VRAI",$F:$F,"E",$M:$M,"C")*SUMIFS($J:$J,$E:$E,"VRAI",$F:$F,"F",$M:$M,"D")*SUMIFS($J:$J,$E:$E,"VRAI",$F:$F,"G",$M:$M,"E")*SUMIFS($J:$J,$E:$E,"VRAI",$H:$H,"D",$I:$I,"C4")</f>
        <v>0</v>
      </c>
      <c r="AS42" s="17">
        <f>SUMIFS($D:$D,$E:$E,"FAUX",$G:$G,"G3",$M:$M,"F",$N:$N,"G*")*SUMIFS($J:$J,$E:$E,"VRAI",$F:$F,"E",$M:$M,"C")*SUMIFS($J:$J,$E:$E,"VRAI",$F:$F,"F",$M:$M,"D")*SUMIFS($J:$J,$E:$E,"VRAI",$F:$F,"G",$M:$M,"E")*SUMIFS($J:$J,$E:$E,"VRAI",$H:$H,"D",$I:$I,"C5")</f>
        <v>0</v>
      </c>
      <c r="AT42" s="18">
        <f>SUMIFS($D:$D,$E:$E,"FAUX",$G:$G,"G3",$M:$M,"F",$N:$N,"G*")*SUMIFS($J:$J,$E:$E,"VRAI",$F:$F,"E",$M:$M,"C")*SUMIFS($J:$J,$E:$E,"VRAI",$F:$F,"F",$M:$M,"D")*SUMIFS($J:$J,$E:$E,"VRAI",$F:$F,"G",$M:$M,"E")*SUMIFS($J:$J,$E:$E,"VRAI",$H:$H,"D",$I:$I,"C6")</f>
        <v>0</v>
      </c>
      <c r="AU42" s="31">
        <f>SUMIFS($D:$D,$E:$E,"FAUX",$G:$G,"G3",$M:$M,"F",$N:$N,"G*")*SUMIFS($J:$J,$E:$E,"VRAI",$F:$F,"F",$M:$M,"D")*SUMIFS($J:$J,$E:$E,"VRAI",$F:$F,"G",$M:$M,"E")*SUMIFS($J:$J,$E:$E,"VRAI",$H:$H,"E",$I:$I,"D1")</f>
        <v>47.145543629973091</v>
      </c>
      <c r="AV42" s="17">
        <f>SUMIFS($D:$D,$E:$E,"FAUX",$G:$G,"G3",$M:$M,"F",$N:$N,"G*")*SUMIFS($J:$J,$E:$E,"VRAI",$F:$F,"F",$M:$M,"D")*SUMIFS($J:$J,$E:$E,"VRAI",$F:$F,"G",$M:$M,"E")*SUMIFS($J:$J,$E:$E,"VRAI",$H:$H,"E",$I:$I,"D2")</f>
        <v>20.516481759384952</v>
      </c>
      <c r="AW42" s="17">
        <f>SUMIFS($D:$D,$E:$E,"FAUX",$G:$G,"G3",$M:$M,"F",$N:$N,"G*")*SUMIFS($J:$J,$E:$E,"VRAI",$F:$F,"F",$M:$M,"D")*SUMIFS($J:$J,$E:$E,"VRAI",$F:$F,"G",$M:$M,"E")*SUMIFS($J:$J,$E:$E,"VRAI",$H:$H,"E",$I:$I,"D3")</f>
        <v>0</v>
      </c>
      <c r="AX42" s="17">
        <f>SUMIFS($D:$D,$E:$E,"FAUX",$G:$G,"G3",$M:$M,"F",$N:$N,"G*")*SUMIFS($J:$J,$E:$E,"VRAI",$F:$F,"F",$M:$M,"D")*SUMIFS($J:$J,$E:$E,"VRAI",$F:$F,"G",$M:$M,"E")*SUMIFS($J:$J,$E:$E,"VRAI",$H:$H,"E",$I:$I,"D4")</f>
        <v>7.4440332047325937</v>
      </c>
      <c r="AY42" s="17">
        <f>SUMIFS($D:$D,$E:$E,"FAUX",$G:$G,"G3",$M:$M,"F",$N:$N,"G*")*SUMIFS($J:$J,$E:$E,"VRAI",$F:$F,"F",$M:$M,"D")*SUMIFS($J:$J,$E:$E,"VRAI",$F:$F,"G",$M:$M,"E")*SUMIFS($J:$J,$E:$E,"VRAI",$H:$H,"E",$I:$I,"D5")</f>
        <v>0</v>
      </c>
      <c r="AZ42" s="18">
        <f>SUMIFS($D:$D,$E:$E,"FAUX",$G:$G,"G3",$M:$M,"F",$N:$N,"G*")*SUMIFS($J:$J,$E:$E,"VRAI",$F:$F,"F",$M:$M,"D")*SUMIFS($J:$J,$E:$E,"VRAI",$F:$F,"G",$M:$M,"E")*SUMIFS($J:$J,$E:$E,"VRAI",$H:$H,"E",$I:$I,"D6")</f>
        <v>0</v>
      </c>
      <c r="BA42" s="16">
        <f>SUMIFS($D:$D,$E:$E,"FAUX",$G:$G,"G3",$M:$M,"F",$N:$N,"G*")*SUMIFS($J:$J,$E:$E,"VRAI",$F:$F,"G",$M:$M,"E")*SUMIFS($J:$J,$E:$E,"VRAI",$I:$I,"E1",$F:$F,"F")</f>
        <v>75.106058594090641</v>
      </c>
      <c r="BB42" s="17">
        <f>SUMIFS($D:$D,$E:$E,"FAUX",$G:$G,"G3",$M:$M,"F",$N:$N,"G*")*SUMIFS($J:$J,$E:$E,"VRAI",$F:$F,"G",$M:$M,"E")*SUMIFS($J:$J,$E:$E,"VRAI",$I:$I,"E2",$F:$F,"F")</f>
        <v>0</v>
      </c>
      <c r="BC42" s="17">
        <f>SUMIFS($D:$D,$E:$E,"FAUX",$G:$G,"G3",$M:$M,"F",$N:$N,"G*")*SUMIFS($J:$J,$E:$E,"VRAI",$F:$F,"G",$M:$M,"E")*SUMIFS($J:$J,$E:$E,"VRAI",$I:$I,"E3",$F:$F,"F")</f>
        <v>10.768631232212082</v>
      </c>
      <c r="BD42" s="17">
        <f>SUMIFS($D:$D,$E:$E,"FAUX",$G:$G,"G3",$M:$M,"F",$N:$N,"G*")*SUMIFS($J:$J,$E:$E,"VRAI",$F:$F,"G",$M:$M,"E")*SUMIFS($J:$J,$E:$E,"VRAI",$I:$I,"E4",$F:$F,"F")</f>
        <v>0</v>
      </c>
      <c r="BE42" s="17">
        <f>SUMIFS($D:$D,$E:$E,"FAUX",$G:$G,"G3",$M:$M,"F",$N:$N,"G*")*SUMIFS($J:$J,$E:$E,"VRAI",$F:$F,"G",$M:$M,"E")*SUMIFS($J:$J,$E:$E,"VRAI",$I:$I,"E5",$F:$F,"F")</f>
        <v>0</v>
      </c>
      <c r="BF42" s="18">
        <f>SUMIFS($D:$D,$E:$E,"FAUX",$G:$G,"G3",$M:$M,"F",$N:$N,"G*")*SUMIFS($J:$J,$E:$E,"VRAI",$F:$F,"G",$M:$M,"E")*SUMIFS($J:$J,$E:$E,"VRAI",$I:$I,"E6",$F:$F,"F")</f>
        <v>0</v>
      </c>
      <c r="BG42" s="16">
        <f>SUMIFS($D:$D,$E:$E,"FAUX",$G:$G,"G3",$M:$M,"E",$N:$N,"G*")*SUMIFS($J:$J,$E:$E,"VRAI",$I:$I,"F1",$F:$F,"G")</f>
        <v>0</v>
      </c>
      <c r="BH42" s="17">
        <f>SUMIFS($D:$D,$E:$E,"FAUX",$G:$G,"G3",$M:$M,"E",$N:$N,"G*")*SUMIFS($J:$J,$E:$E,"VRAI",$I:$I,"F2",$F:$F,"G")</f>
        <v>0</v>
      </c>
      <c r="BI42" s="17">
        <f>SUMIFS($D:$D,$E:$E,"FAUX",$G:$G,"G3",$M:$M,"E",$N:$N,"G*")*SUMIFS($J:$J,$E:$E,"VRAI",$I:$I,"F3",$F:$F,"G")</f>
        <v>0</v>
      </c>
      <c r="BJ42" s="17">
        <f>SUMIFS($D:$D,$E:$E,"FAUX",$G:$G,"G3",$M:$M,"E",$N:$N,"G*")*SUMIFS($J:$J,$E:$E,"VRAI",$I:$I,"F4",$F:$F,"G")</f>
        <v>0</v>
      </c>
      <c r="BK42" s="17">
        <f>SUMIFS($D:$D,$E:$E,"FAUX",$G:$G,"G3",$M:$M,"E",$N:$N,"G*")*SUMIFS($J:$J,$E:$E,"VRAI",$I:$I,"F5",$F:$F,"G")</f>
        <v>0</v>
      </c>
      <c r="BL42" s="18">
        <f>SUMIFS($D:$D,$E:$E,"FAUX",$G:$G,"G3",$M:$M,"E",$N:$N,"G*")*SUMIFS($J:$J,$E:$E,"VRAI",$I:$I,"F6",$F:$F,"G")</f>
        <v>0</v>
      </c>
      <c r="BM42" s="54">
        <f>SUMIFS($D:$D,$O:$O,"G_3_1")</f>
        <v>127</v>
      </c>
      <c r="BN42" s="54">
        <f>SUMIFS($D:$D,$O:$O,"G_3_2")</f>
        <v>84</v>
      </c>
      <c r="BO42" s="54">
        <f>SUMIFS($D:$D,$O:$O,"G_3_3")</f>
        <v>0</v>
      </c>
      <c r="BP42" s="54">
        <f>SUMIFS($D:$D,$O:$O,"G_3_4")</f>
        <v>0</v>
      </c>
      <c r="BQ42" s="54">
        <f>SUMIFS($D:$D,$O:$O,"G_3_5")</f>
        <v>0</v>
      </c>
      <c r="BR42" s="55">
        <f>SUMIFS($D:$D,$O:$O,"G_3_6")</f>
        <v>0</v>
      </c>
      <c r="BS42" s="31">
        <f>SUMIFS($D:$D,$E:$E,"FAUX",$G:$G,"G3",$M:$M,"H",$N:$N,"G*")*SUMIFS($J:$J,$O:$O,"H_1_1")</f>
        <v>0</v>
      </c>
      <c r="BT42" s="27">
        <f>SUMIFS($D:$D,$E:$E,"FAUX",$G:$G,"G3",$M:$M,"H",$N:$N,"G*")*SUMIFS($J:$J,$O:$O,"H_1_2")</f>
        <v>0</v>
      </c>
      <c r="BU42" s="27">
        <f>SUMIFS($D:$D,$E:$E,"FAUX",$G:$G,"G3",$M:$M,"H",$N:$N,"G*")*SUMIFS($J:$J,$O:$O,"H_1_3")</f>
        <v>76.463414634146346</v>
      </c>
      <c r="BV42" s="27">
        <f>SUMIFS($D:$D,$E:$E,"FAUX",$G:$G,"G3",$M:$M,"H",$N:$N,"G*")*SUMIFS($J:$J,$O:$O,"H_1_4")</f>
        <v>7.5365853658536581</v>
      </c>
      <c r="BW42" s="27">
        <f>SUMIFS($D:$D,$E:$E,"FAUX",$G:$G,"G3",$M:$M,"H",$N:$N,"G*")*SUMIFS($J:$J,$O:$O,"H_1_5")</f>
        <v>0</v>
      </c>
      <c r="BX42" s="27">
        <f>SUMIFS($D:$D,$E:$E,"FAUX",$G:$G,"G3",$M:$M,"H",$N:$N,"G*")*SUMIFS($J:$J,$O:$O,"H_1_6")</f>
        <v>0</v>
      </c>
      <c r="BY42" s="46">
        <f>SUMIFS($D:$D,$E:$E,"FAUX",$G:$G,"G2",$M:$M,"F",$N:$N,"E*")*SUMIFS($J:$J,$E:$E,"VRAI",$F:$F,"G",$M:$M,"I")*SUMIFS($J:$J,$E:$E,"VRAI",$F:$F,"H",$I:$I,"I1")</f>
        <v>0</v>
      </c>
      <c r="BZ42" s="47">
        <f>SUMIFS($D:$D,$E:$E,"FAUX",$G:$G,"G2",$M:$M,"F",$N:$N,"E*")*SUMIFS($J:$J,$E:$E,"VRAI",$F:$F,"G",$M:$M,"I")*SUMIFS($J:$J,$E:$E,"VRAI",$F:$F,"H",$I:$I,"I2")</f>
        <v>0</v>
      </c>
      <c r="CA42" s="47">
        <f>SUMIFS($D:$D,$E:$E,"FAUX",$G:$G,"G2",$M:$M,"F",$N:$N,"E*")*SUMIFS($J:$J,$E:$E,"VRAI",$F:$F,"G",$M:$M,"I")*SUMIFS($J:$J,$E:$E,"VRAI",$F:$F,"H",$I:$I,"I3")</f>
        <v>0</v>
      </c>
      <c r="CB42" s="47">
        <f>SUMIFS($D:$D,$E:$E,"FAUX",$G:$G,"G2",$M:$M,"F",$N:$N,"E*")*SUMIFS($J:$J,$E:$E,"VRAI",$F:$F,"G",$M:$M,"I")*SUMIFS($J:$J,$E:$E,"VRAI",$F:$F,"H",$I:$I,"I4")</f>
        <v>0</v>
      </c>
      <c r="CC42" s="47">
        <f>SUMIFS($D:$D,$E:$E,"FAUX",$G:$G,"G2",$M:$M,"F",$N:$N,"E*")*SUMIFS($J:$J,$E:$E,"VRAI",$F:$F,"G",$M:$M,"I")*SUMIFS($J:$J,$E:$E,"VRAI",$F:$F,"H",$I:$I,"I5")</f>
        <v>0</v>
      </c>
      <c r="CD42" s="47">
        <f>SUMIFS($D:$D,$E:$E,"FAUX",$G:$G,"G2",$M:$M,"F",$N:$N,"E*")*SUMIFS($J:$J,$E:$E,"VRAI",$F:$F,"G",$M:$M,"I")*SUMIFS($J:$J,$E:$E,"VRAI",$F:$F,"H",$I:$I,"I6")</f>
        <v>0</v>
      </c>
      <c r="CE42" s="46">
        <f>SUMIFS($D:$D,$E:$E,"FAUX",$G:$G,"G2",$M:$M,"F",$N:$N,"E*")*SUMIFS($J:$J,$E:$E,"VRAI",$F:$F,"G",$M:$M,"I")*SUMIFS($J:$J,$E:$E,"VRAI",$F:$F,"H",$M:$M,"J")*SUMIFS($J:$J,$E:$E,"VRAI",$F:$F,"I",$I:$I,"J1")</f>
        <v>0</v>
      </c>
      <c r="CF42" s="47">
        <f>SUMIFS($D:$D,$E:$E,"FAUX",$G:$G,"G2",$M:$M,"F",$N:$N,"E*")*SUMIFS($J:$J,$E:$E,"VRAI",$F:$F,"G",$M:$M,"I")*SUMIFS($J:$J,$E:$E,"VRAI",$F:$F,"H",$M:$M,"J")*SUMIFS($J:$J,$E:$E,"VRAI",$F:$F,"I",$I:$I,"J2")</f>
        <v>0</v>
      </c>
      <c r="CG42" s="47">
        <f>SUMIFS($D:$D,$E:$E,"FAUX",$G:$G,"G2",$M:$M,"F",$N:$N,"E*")*SUMIFS($J:$J,$E:$E,"VRAI",$F:$F,"G",$M:$M,"I")*SUMIFS($J:$J,$E:$E,"VRAI",$F:$F,"H",$M:$M,"J")*SUMIFS($J:$J,$E:$E,"VRAI",$F:$F,"I",$I:$I,"J3")</f>
        <v>0</v>
      </c>
      <c r="CH42" s="47">
        <f>SUMIFS($D:$D,$E:$E,"FAUX",$G:$G,"G2",$M:$M,"F",$N:$N,"E*")*SUMIFS($J:$J,$E:$E,"VRAI",$F:$F,"G",$M:$M,"I")*SUMIFS($J:$J,$E:$E,"VRAI",$F:$F,"H",$M:$M,"J")*SUMIFS($J:$J,$E:$E,"VRAI",$F:$F,"I",$I:$I,"J4")</f>
        <v>0</v>
      </c>
      <c r="CI42" s="47">
        <f>SUMIFS($D:$D,$E:$E,"FAUX",$G:$G,"G2",$M:$M,"F",$N:$N,"E*")*SUMIFS($J:$J,$E:$E,"VRAI",$F:$F,"G",$M:$M,"I")*SUMIFS($J:$J,$E:$E,"VRAI",$F:$F,"H",$M:$M,"J")*SUMIFS($J:$J,$E:$E,"VRAI",$F:$F,"I",$I:$I,"J5")</f>
        <v>0</v>
      </c>
      <c r="CJ42" s="47">
        <f>SUMIFS($D:$D,$E:$E,"FAUX",$G:$G,"G2",$M:$M,"F",$N:$N,"E*")*SUMIFS($J:$J,$E:$E,"VRAI",$F:$F,"G",$M:$M,"I")*SUMIFS($J:$J,$E:$E,"VRAI",$F:$F,"H",$M:$M,"J")*SUMIFS($J:$J,$E:$E,"VRAI",$F:$F,"I",$I:$I,"J6")</f>
        <v>0</v>
      </c>
      <c r="CK42" s="46">
        <f>SUMIFS($D:$D,$E:$E,"FAUX",$G:$G,"G2",$M:$M,"F",$N:$N,"E*")*SUMIFS($J:$J,$E:$E,"VRAI",$F:$F,"G",$M:$M,"I")*SUMIFS($J:$J,$E:$E,"VRAI",$F:$F,"H",$M:$M,"J")*SUMIFS($J:$J,$E:$E,"VRAI",$F:$F,"I",$M:$M,"K")*SUMIFS($J:$J,$E:$E,"VRAI",$F:$F,"J",$I:$I,"K1")</f>
        <v>0</v>
      </c>
      <c r="CL42" s="47">
        <f>SUMIFS($D:$D,$E:$E,"FAUX",$G:$G,"G2",$M:$M,"F",$N:$N,"E*")*SUMIFS($J:$J,$E:$E,"VRAI",$F:$F,"G",$M:$M,"I")*SUMIFS($J:$J,$E:$E,"VRAI",$F:$F,"H",$M:$M,"J")*SUMIFS($J:$J,$E:$E,"VRAI",$F:$F,"I",$M:$M,"K")*SUMIFS($J:$J,$E:$E,"VRAI",$F:$F,"J",$I:$I,"K2")</f>
        <v>0</v>
      </c>
      <c r="CM42" s="47">
        <f>SUMIFS($D:$D,$E:$E,"FAUX",$G:$G,"G2",$M:$M,"F",$N:$N,"E*")*SUMIFS($J:$J,$E:$E,"VRAI",$F:$F,"G",$M:$M,"I")*SUMIFS($J:$J,$E:$E,"VRAI",$F:$F,"H",$M:$M,"J")*SUMIFS($J:$J,$E:$E,"VRAI",$F:$F,"I",$M:$M,"K")*SUMIFS($J:$J,$E:$E,"VRAI",$F:$F,"J",$I:$I,"K3")</f>
        <v>0</v>
      </c>
      <c r="CN42" s="47">
        <f>SUMIFS($D:$D,$E:$E,"FAUX",$G:$G,"G2",$M:$M,"F",$N:$N,"E*")*SUMIFS($J:$J,$E:$E,"VRAI",$F:$F,"G",$M:$M,"I")*SUMIFS($J:$J,$E:$E,"VRAI",$F:$F,"H",$M:$M,"J")*SUMIFS($J:$J,$E:$E,"VRAI",$F:$F,"I",$M:$M,"K")*SUMIFS($J:$J,$E:$E,"VRAI",$F:$F,"J",$I:$I,"K4")</f>
        <v>0</v>
      </c>
      <c r="CO42" s="47">
        <f>SUMIFS($D:$D,$E:$E,"FAUX",$G:$G,"G2",$M:$M,"F",$N:$N,"E*")*SUMIFS($J:$J,$E:$E,"VRAI",$F:$F,"G",$M:$M,"I")*SUMIFS($J:$J,$E:$E,"VRAI",$F:$F,"H",$M:$M,"J")*SUMIFS($J:$J,$E:$E,"VRAI",$F:$F,"I",$M:$M,"K")*SUMIFS($J:$J,$E:$E,"VRAI",$F:$F,"J",$I:$I,"K5")</f>
        <v>0</v>
      </c>
      <c r="CP42" s="48">
        <f>SUMIFS($D:$D,$E:$E,"FAUX",$G:$G,"G2",$M:$M,"F",$N:$N,"E*")*SUMIFS($J:$J,$E:$E,"VRAI",$F:$F,"G",$M:$M,"I")*SUMIFS($J:$J,$E:$E,"VRAI",$F:$F,"H",$M:$M,"J")*SUMIFS($J:$J,$E:$E,"VRAI",$F:$F,"I",$M:$M,"K")*SUMIFS($J:$J,$E:$E,"VRAI",$F:$F,"J",$I:$I,"K6")</f>
        <v>0</v>
      </c>
    </row>
    <row r="43" spans="1:94">
      <c r="A43" s="35" t="s">
        <v>9</v>
      </c>
      <c r="B43" s="35">
        <v>4</v>
      </c>
      <c r="C43" s="35">
        <v>3</v>
      </c>
      <c r="D43" s="35">
        <v>116</v>
      </c>
      <c r="E43" s="35" t="b">
        <v>0</v>
      </c>
      <c r="F43" s="35"/>
      <c r="G43" s="53" t="str">
        <f t="shared" si="0"/>
        <v>B4</v>
      </c>
      <c r="H43" s="52" t="str">
        <f t="shared" si="5"/>
        <v/>
      </c>
      <c r="I43" s="41" t="str">
        <f t="shared" si="1"/>
        <v>B3</v>
      </c>
      <c r="J43" s="42">
        <f t="shared" si="2"/>
        <v>0.15868673050615595</v>
      </c>
      <c r="K43" s="41">
        <f t="shared" si="6"/>
        <v>731</v>
      </c>
      <c r="L43" s="41" t="str">
        <f t="shared" si="3"/>
        <v/>
      </c>
      <c r="M43" s="41" t="str">
        <f t="shared" si="7"/>
        <v>C</v>
      </c>
      <c r="N43" s="41" t="str">
        <f>IFERROR(VLOOKUP(I43,L43:L:L,1,FALSE),"")</f>
        <v>B3</v>
      </c>
      <c r="O43" s="56" t="str">
        <f t="shared" si="8"/>
        <v>B_4_3</v>
      </c>
      <c r="U43" s="1" t="s">
        <v>22</v>
      </c>
      <c r="V43" s="2">
        <f>SUMIF(A:A,"F",D:D)</f>
        <v>3176</v>
      </c>
      <c r="Z43" t="e">
        <f t="shared" si="9"/>
        <v>#N/A</v>
      </c>
      <c r="AA43" t="e">
        <f t="shared" si="10"/>
        <v>#N/A</v>
      </c>
      <c r="AB43" t="s">
        <v>60</v>
      </c>
      <c r="AC43" s="46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0</v>
      </c>
      <c r="AD43" s="47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3" s="47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0</v>
      </c>
      <c r="AF43" s="47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3" s="47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3" s="47">
        <f>SUMIFS($D:$D,$E:$E,"FAUX",$G:$G,"G4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3" s="46">
        <f>SUMIFS($D:$D,$E:$E,"FAUX",$G:$G,"G4",$M:$M,"F",$N:$N,"G*")*SUMIFS($J:$J,$E:$E,"VRAI",$F:$F,"D",$M:$M,"B")*SUMIFS($J:$J,$E:$E,"VRAI",$F:$F,"C",$M:$M,"A")*SUMIFS($J:$J,$E:$E,"VRAI",$F:$F,"G",$M:$M,"E")*SUMIFS($J:$J,$E:$E,"VRAI",$H:$H,"C",$I:$I,"B1")</f>
        <v>0</v>
      </c>
      <c r="AJ43" s="47">
        <f>SUMIFS($D:$D,$E:$E,"FAUX",$G:$G,"G4",$M:$M,"F",$N:$N,"G*")*SUMIFS($J:$J,$E:$E,"VRAI",$F:$F,"D",$M:$M,"B")*SUMIFS($J:$J,$E:$E,"VRAI",$F:$F,"C",$M:$M,"A")*SUMIFS($J:$J,$E:$E,"VRAI",$F:$F,"G",$M:$M,"E")*SUMIFS($J:$J,$E:$E,"VRAI",$H:$H,"C",$I:$I,"B2")</f>
        <v>0</v>
      </c>
      <c r="AK43" s="47">
        <f>SUMIFS($D:$D,$E:$E,"FAUX",$G:$G,"G4",$M:$M,"F",$N:$N,"G*")*SUMIFS($J:$J,$E:$E,"VRAI",$F:$F,"D",$M:$M,"B")*SUMIFS($J:$J,$E:$E,"VRAI",$F:$F,"C",$M:$M,"A")*SUMIFS($J:$J,$E:$E,"VRAI",$F:$F,"G",$M:$M,"E")*SUMIFS($J:$J,$E:$E,"VRAI",$H:$H,"C",$I:$I,"B3")</f>
        <v>0</v>
      </c>
      <c r="AL43" s="47">
        <f>SUMIFS($D:$D,$E:$E,"FAUX",$G:$G,"G4",$M:$M,"F",$N:$N,"G*")*SUMIFS($J:$J,$E:$E,"VRAI",$F:$F,"D",$M:$M,"B")*SUMIFS($J:$J,$E:$E,"VRAI",$F:$F,"C",$M:$M,"A")*SUMIFS($J:$J,$E:$E,"VRAI",$F:$F,"G",$M:$M,"E")*SUMIFS($J:$J,$E:$E,"VRAI",$H:$H,"C",$I:$I,"B4")</f>
        <v>0</v>
      </c>
      <c r="AM43" s="47">
        <f>SUMIFS($D:$D,$E:$E,"FAUX",$G:$G,"G4",$M:$M,"F",$N:$N,"G*")*SUMIFS($J:$J,$E:$E,"VRAI",$F:$F,"D",$M:$M,"B")*SUMIFS($J:$J,$E:$E,"VRAI",$F:$F,"C",$M:$M,"A")*SUMIFS($J:$J,$E:$E,"VRAI",$F:$F,"G",$M:$M,"E")*SUMIFS($J:$J,$E:$E,"VRAI",$H:$H,"C",$I:$I,"B5")</f>
        <v>0</v>
      </c>
      <c r="AN43" s="47">
        <f>SUMIFS($D:$D,$E:$E,"FAUX",$G:$G,"G4",$M:$M,"F",$N:$N,"G*")*SUMIFS($J:$J,$E:$E,"VRAI",$F:$F,"D",$M:$M,"B")*SUMIFS($J:$J,$E:$E,"VRAI",$F:$F,"C",$M:$M,"A")*SUMIFS($J:$J,$E:$E,"VRAI",$F:$F,"G",$M:$M,"E")*SUMIFS($J:$J,$E:$E,"VRAI",$H:$H,"C",$I:$I,"B6")</f>
        <v>0</v>
      </c>
      <c r="AO43" s="16">
        <f>SUMIFS($D:$D,$E:$E,"FAUX",$G:$G,"G4",$M:$M,"F",$N:$N,"G*")*SUMIFS($J:$J,$E:$E,"VRAI",$F:$F,"E",$M:$M,"C")*SUMIFS($J:$J,$E:$E,"VRAI",$F:$F,"F",$M:$M,"D")*SUMIFS($J:$J,$E:$E,"VRAI",$F:$F,"G",$M:$M,"E")*SUMIFS($J:$J,$E:$E,"VRAI",$H:$H,"D",$I:$I,"C1")</f>
        <v>0</v>
      </c>
      <c r="AP43" s="17">
        <f>SUMIFS($D:$D,$E:$E,"FAUX",$G:$G,"G4",$M:$M,"F",$N:$N,"G*")*SUMIFS($J:$J,$E:$E,"VRAI",$F:$F,"E",$M:$M,"C")*SUMIFS($J:$J,$E:$E,"VRAI",$F:$F,"F",$M:$M,"D")*SUMIFS($J:$J,$E:$E,"VRAI",$F:$F,"G",$M:$M,"E")*SUMIFS($J:$J,$E:$E,"VRAI",$H:$H,"D",$I:$I,"C2")</f>
        <v>0</v>
      </c>
      <c r="AQ43" s="17">
        <f>SUMIFS($D:$D,$E:$E,"FAUX",$G:$G,"G4",$M:$M,"F",$N:$N,"G*")*SUMIFS($J:$J,$E:$E,"VRAI",$F:$F,"E",$M:$M,"C")*SUMIFS($J:$J,$E:$E,"VRAI",$F:$F,"F",$M:$M,"D")*SUMIFS($J:$J,$E:$E,"VRAI",$F:$F,"G",$M:$M,"E")*SUMIFS($J:$J,$E:$E,"VRAI",$H:$H,"D",$I:$I,"C3")</f>
        <v>0</v>
      </c>
      <c r="AR43" s="17">
        <f>SUMIFS($D:$D,$E:$E,"FAUX",$G:$G,"G4",$M:$M,"F",$N:$N,"G*")*SUMIFS($J:$J,$E:$E,"VRAI",$F:$F,"E",$M:$M,"C")*SUMIFS($J:$J,$E:$E,"VRAI",$F:$F,"F",$M:$M,"D")*SUMIFS($J:$J,$E:$E,"VRAI",$F:$F,"G",$M:$M,"E")*SUMIFS($J:$J,$E:$E,"VRAI",$H:$H,"D",$I:$I,"C4")</f>
        <v>0</v>
      </c>
      <c r="AS43" s="17">
        <f>SUMIFS($D:$D,$E:$E,"FAUX",$G:$G,"G4",$M:$M,"F",$N:$N,"G*")*SUMIFS($J:$J,$E:$E,"VRAI",$F:$F,"E",$M:$M,"C")*SUMIFS($J:$J,$E:$E,"VRAI",$F:$F,"F",$M:$M,"D")*SUMIFS($J:$J,$E:$E,"VRAI",$F:$F,"G",$M:$M,"E")*SUMIFS($J:$J,$E:$E,"VRAI",$H:$H,"D",$I:$I,"C5")</f>
        <v>0</v>
      </c>
      <c r="AT43" s="18">
        <f>SUMIFS($D:$D,$E:$E,"FAUX",$G:$G,"G4",$M:$M,"F",$N:$N,"G*")*SUMIFS($J:$J,$E:$E,"VRAI",$F:$F,"E",$M:$M,"C")*SUMIFS($J:$J,$E:$E,"VRAI",$F:$F,"F",$M:$M,"D")*SUMIFS($J:$J,$E:$E,"VRAI",$F:$F,"G",$M:$M,"E")*SUMIFS($J:$J,$E:$E,"VRAI",$H:$H,"D",$I:$I,"C6")</f>
        <v>0</v>
      </c>
      <c r="AU43" s="31">
        <f>SUMIFS($D:$D,$E:$E,"FAUX",$G:$G,"G4",$M:$M,"F",$N:$N,"G*")*SUMIFS($J:$J,$E:$E,"VRAI",$F:$F,"F",$M:$M,"D")*SUMIFS($J:$J,$E:$E,"VRAI",$F:$F,"G",$M:$M,"E")*SUMIFS($J:$J,$E:$E,"VRAI",$H:$H,"E",$I:$I,"D1")</f>
        <v>0</v>
      </c>
      <c r="AV43" s="17">
        <f>SUMIFS($D:$D,$E:$E,"FAUX",$G:$G,"G4",$M:$M,"F",$N:$N,"G*")*SUMIFS($J:$J,$E:$E,"VRAI",$F:$F,"F",$M:$M,"D")*SUMIFS($J:$J,$E:$E,"VRAI",$F:$F,"G",$M:$M,"E")*SUMIFS($J:$J,$E:$E,"VRAI",$H:$H,"E",$I:$I,"D2")</f>
        <v>0</v>
      </c>
      <c r="AW43" s="17">
        <f>SUMIFS($D:$D,$E:$E,"FAUX",$G:$G,"G4",$M:$M,"F",$N:$N,"G*")*SUMIFS($J:$J,$E:$E,"VRAI",$F:$F,"F",$M:$M,"D")*SUMIFS($J:$J,$E:$E,"VRAI",$F:$F,"G",$M:$M,"E")*SUMIFS($J:$J,$E:$E,"VRAI",$H:$H,"E",$I:$I,"D3")</f>
        <v>0</v>
      </c>
      <c r="AX43" s="17">
        <f>SUMIFS($D:$D,$E:$E,"FAUX",$G:$G,"G4",$M:$M,"F",$N:$N,"G*")*SUMIFS($J:$J,$E:$E,"VRAI",$F:$F,"F",$M:$M,"D")*SUMIFS($J:$J,$E:$E,"VRAI",$F:$F,"G",$M:$M,"E")*SUMIFS($J:$J,$E:$E,"VRAI",$H:$H,"E",$I:$I,"D4")</f>
        <v>0</v>
      </c>
      <c r="AY43" s="17">
        <f>SUMIFS($D:$D,$E:$E,"FAUX",$G:$G,"G4",$M:$M,"F",$N:$N,"G*")*SUMIFS($J:$J,$E:$E,"VRAI",$F:$F,"F",$M:$M,"D")*SUMIFS($J:$J,$E:$E,"VRAI",$F:$F,"G",$M:$M,"E")*SUMIFS($J:$J,$E:$E,"VRAI",$H:$H,"E",$I:$I,"D5")</f>
        <v>0</v>
      </c>
      <c r="AZ43" s="18">
        <f>SUMIFS($D:$D,$E:$E,"FAUX",$G:$G,"G4",$M:$M,"F",$N:$N,"G*")*SUMIFS($J:$J,$E:$E,"VRAI",$F:$F,"F",$M:$M,"D")*SUMIFS($J:$J,$E:$E,"VRAI",$F:$F,"G",$M:$M,"E")*SUMIFS($J:$J,$E:$E,"VRAI",$H:$H,"E",$I:$I,"D6")</f>
        <v>0</v>
      </c>
      <c r="BA43" s="16">
        <f>SUMIFS($D:$D,$E:$E,"FAUX",$G:$G,"G4",$M:$M,"F",$N:$N,"G*")*SUMIFS($J:$J,$E:$E,"VRAI",$F:$F,"G",$M:$M,"E")*SUMIFS($J:$J,$E:$E,"VRAI",$I:$I,"E1",$F:$F,"F")</f>
        <v>0</v>
      </c>
      <c r="BB43" s="17">
        <f>SUMIFS($D:$D,$E:$E,"FAUX",$G:$G,"G4",$M:$M,"F",$N:$N,"G*")*SUMIFS($J:$J,$E:$E,"VRAI",$F:$F,"G",$M:$M,"E")*SUMIFS($J:$J,$E:$E,"VRAI",$I:$I,"E2",$F:$F,"F")</f>
        <v>0</v>
      </c>
      <c r="BC43" s="17">
        <f>SUMIFS($D:$D,$E:$E,"FAUX",$G:$G,"G4",$M:$M,"F",$N:$N,"G*")*SUMIFS($J:$J,$E:$E,"VRAI",$F:$F,"G",$M:$M,"E")*SUMIFS($J:$J,$E:$E,"VRAI",$I:$I,"E3",$F:$F,"F")</f>
        <v>0</v>
      </c>
      <c r="BD43" s="17">
        <f>SUMIFS($D:$D,$E:$E,"FAUX",$G:$G,"G4",$M:$M,"F",$N:$N,"G*")*SUMIFS($J:$J,$E:$E,"VRAI",$F:$F,"G",$M:$M,"E")*SUMIFS($J:$J,$E:$E,"VRAI",$I:$I,"E4",$F:$F,"F")</f>
        <v>0</v>
      </c>
      <c r="BE43" s="17">
        <f>SUMIFS($D:$D,$E:$E,"FAUX",$G:$G,"G4",$M:$M,"F",$N:$N,"G*")*SUMIFS($J:$J,$E:$E,"VRAI",$F:$F,"G",$M:$M,"E")*SUMIFS($J:$J,$E:$E,"VRAI",$I:$I,"E5",$F:$F,"F")</f>
        <v>0</v>
      </c>
      <c r="BF43" s="18">
        <f>SUMIFS($D:$D,$E:$E,"FAUX",$G:$G,"G4",$M:$M,"F",$N:$N,"G*")*SUMIFS($J:$J,$E:$E,"VRAI",$F:$F,"G",$M:$M,"E")*SUMIFS($J:$J,$E:$E,"VRAI",$I:$I,"E6",$F:$F,"F")</f>
        <v>0</v>
      </c>
      <c r="BG43" s="16">
        <f>SUMIFS($D:$D,$E:$E,"FAUX",$G:$G,"G4",$M:$M,"E",$N:$N,"G*")*SUMIFS($J:$J,$E:$E,"VRAI",$I:$I,"F1",$F:$F,"G")</f>
        <v>0</v>
      </c>
      <c r="BH43" s="17">
        <f>SUMIFS($D:$D,$E:$E,"FAUX",$G:$G,"G4",$M:$M,"E",$N:$N,"G*")*SUMIFS($J:$J,$E:$E,"VRAI",$I:$I,"F2",$F:$F,"G")</f>
        <v>0</v>
      </c>
      <c r="BI43" s="17">
        <f>SUMIFS($D:$D,$E:$E,"FAUX",$G:$G,"G4",$M:$M,"E",$N:$N,"G*")*SUMIFS($J:$J,$E:$E,"VRAI",$I:$I,"F3",$F:$F,"G")</f>
        <v>0</v>
      </c>
      <c r="BJ43" s="17">
        <f>SUMIFS($D:$D,$E:$E,"FAUX",$G:$G,"G4",$M:$M,"E",$N:$N,"G*")*SUMIFS($J:$J,$E:$E,"VRAI",$I:$I,"F4",$F:$F,"G")</f>
        <v>0</v>
      </c>
      <c r="BK43" s="17">
        <f>SUMIFS($D:$D,$E:$E,"FAUX",$G:$G,"G4",$M:$M,"E",$N:$N,"G*")*SUMIFS($J:$J,$E:$E,"VRAI",$I:$I,"F5",$F:$F,"G")</f>
        <v>0</v>
      </c>
      <c r="BL43" s="18">
        <f>SUMIFS($D:$D,$E:$E,"FAUX",$G:$G,"G4",$M:$M,"E",$N:$N,"G*")*SUMIFS($J:$J,$E:$E,"VRAI",$I:$I,"F6",$F:$F,"G")</f>
        <v>0</v>
      </c>
      <c r="BM43" s="54">
        <f>SUMIFS($D:$D,$O:$O,"G_4_1")</f>
        <v>0</v>
      </c>
      <c r="BN43" s="54">
        <f>SUMIFS($D:$D,$O:$O,"G_4_2")</f>
        <v>0</v>
      </c>
      <c r="BO43" s="54">
        <f>SUMIFS($D:$D,$O:$O,"G_4_3")</f>
        <v>0</v>
      </c>
      <c r="BP43" s="54">
        <f>SUMIFS($D:$D,$O:$O,"G_4_4")</f>
        <v>0</v>
      </c>
      <c r="BQ43" s="54">
        <f>SUMIFS($D:$D,$O:$O,"G_4_5")</f>
        <v>0</v>
      </c>
      <c r="BR43" s="55">
        <f>SUMIFS($D:$D,$O:$O,"G_4_6")</f>
        <v>0</v>
      </c>
      <c r="BS43" s="31">
        <f>SUMIFS($D:$D,$E:$E,"FAUX",$G:$G,"G4",$M:$M,"H",$N:$N,"G*")*SUMIFS($J:$J,$O:$O,"H_1_1")</f>
        <v>0</v>
      </c>
      <c r="BT43" s="27">
        <f>SUMIFS($D:$D,$E:$E,"FAUX",$G:$G,"G4",$M:$M,"H",$N:$N,"G*")*SUMIFS($J:$J,$O:$O,"H_1_2")</f>
        <v>0</v>
      </c>
      <c r="BU43" s="27">
        <f>SUMIFS($D:$D,$E:$E,"FAUX",$G:$G,"G4",$M:$M,"H",$N:$N,"G*")*SUMIFS($J:$J,$O:$O,"H_1_3")</f>
        <v>0</v>
      </c>
      <c r="BV43" s="27">
        <f>SUMIFS($D:$D,$E:$E,"FAUX",$G:$G,"G4",$M:$M,"H",$N:$N,"G*")*SUMIFS($J:$J,$O:$O,"H_1_4")</f>
        <v>0</v>
      </c>
      <c r="BW43" s="27">
        <f>SUMIFS($D:$D,$E:$E,"FAUX",$G:$G,"G4",$M:$M,"H",$N:$N,"G*")*SUMIFS($J:$J,$O:$O,"H_1_5")</f>
        <v>0</v>
      </c>
      <c r="BX43" s="27">
        <f>SUMIFS($D:$D,$E:$E,"FAUX",$G:$G,"G4",$M:$M,"H",$N:$N,"G*")*SUMIFS($J:$J,$O:$O,"H_1_6")</f>
        <v>0</v>
      </c>
      <c r="BY43" s="46">
        <f>SUMIFS($D:$D,$E:$E,"FAUX",$G:$G,"G4",$M:$M,"F",$N:$N,"E*")*SUMIFS($J:$J,$E:$E,"VRAI",$F:$F,"G",$M:$M,"I")*SUMIFS($J:$J,$E:$E,"VRAI",$F:$F,"H",$I:$I,"I1")</f>
        <v>0</v>
      </c>
      <c r="BZ43" s="47">
        <f>SUMIFS($D:$D,$E:$E,"FAUX",$G:$G,"G4",$M:$M,"F",$N:$N,"E*")*SUMIFS($J:$J,$E:$E,"VRAI",$F:$F,"G",$M:$M,"I")*SUMIFS($J:$J,$E:$E,"VRAI",$F:$F,"H",$I:$I,"I2")</f>
        <v>0</v>
      </c>
      <c r="CA43" s="47">
        <f>SUMIFS($D:$D,$E:$E,"FAUX",$G:$G,"G4",$M:$M,"F",$N:$N,"E*")*SUMIFS($J:$J,$E:$E,"VRAI",$F:$F,"G",$M:$M,"I")*SUMIFS($J:$J,$E:$E,"VRAI",$F:$F,"H",$I:$I,"I3")</f>
        <v>0</v>
      </c>
      <c r="CB43" s="47">
        <f>SUMIFS($D:$D,$E:$E,"FAUX",$G:$G,"G4",$M:$M,"F",$N:$N,"E*")*SUMIFS($J:$J,$E:$E,"VRAI",$F:$F,"G",$M:$M,"I")*SUMIFS($J:$J,$E:$E,"VRAI",$F:$F,"H",$I:$I,"I4")</f>
        <v>0</v>
      </c>
      <c r="CC43" s="47">
        <f>SUMIFS($D:$D,$E:$E,"FAUX",$G:$G,"G4",$M:$M,"F",$N:$N,"E*")*SUMIFS($J:$J,$E:$E,"VRAI",$F:$F,"G",$M:$M,"I")*SUMIFS($J:$J,$E:$E,"VRAI",$F:$F,"H",$I:$I,"I5")</f>
        <v>0</v>
      </c>
      <c r="CD43" s="47">
        <f>SUMIFS($D:$D,$E:$E,"FAUX",$G:$G,"G4",$M:$M,"F",$N:$N,"E*")*SUMIFS($J:$J,$E:$E,"VRAI",$F:$F,"G",$M:$M,"I")*SUMIFS($J:$J,$E:$E,"VRAI",$F:$F,"H",$I:$I,"I6")</f>
        <v>0</v>
      </c>
      <c r="CE43" s="46">
        <f>SUMIFS($D:$D,$E:$E,"FAUX",$G:$G,"G4",$M:$M,"F",$N:$N,"E*")*SUMIFS($J:$J,$E:$E,"VRAI",$F:$F,"G",$M:$M,"I")*SUMIFS($J:$J,$E:$E,"VRAI",$F:$F,"H",$M:$M,"J")*SUMIFS($J:$J,$E:$E,"VRAI",$F:$F,"I",$I:$I,"J1")</f>
        <v>0</v>
      </c>
      <c r="CF43" s="47">
        <f>SUMIFS($D:$D,$E:$E,"FAUX",$G:$G,"G4",$M:$M,"F",$N:$N,"E*")*SUMIFS($J:$J,$E:$E,"VRAI",$F:$F,"G",$M:$M,"I")*SUMIFS($J:$J,$E:$E,"VRAI",$F:$F,"H",$M:$M,"J")*SUMIFS($J:$J,$E:$E,"VRAI",$F:$F,"I",$I:$I,"J2")</f>
        <v>0</v>
      </c>
      <c r="CG43" s="47">
        <f>SUMIFS($D:$D,$E:$E,"FAUX",$G:$G,"G4",$M:$M,"F",$N:$N,"E*")*SUMIFS($J:$J,$E:$E,"VRAI",$F:$F,"G",$M:$M,"I")*SUMIFS($J:$J,$E:$E,"VRAI",$F:$F,"H",$M:$M,"J")*SUMIFS($J:$J,$E:$E,"VRAI",$F:$F,"I",$I:$I,"J3")</f>
        <v>0</v>
      </c>
      <c r="CH43" s="47">
        <f>SUMIFS($D:$D,$E:$E,"FAUX",$G:$G,"G4",$M:$M,"F",$N:$N,"E*")*SUMIFS($J:$J,$E:$E,"VRAI",$F:$F,"G",$M:$M,"I")*SUMIFS($J:$J,$E:$E,"VRAI",$F:$F,"H",$M:$M,"J")*SUMIFS($J:$J,$E:$E,"VRAI",$F:$F,"I",$I:$I,"J4")</f>
        <v>0</v>
      </c>
      <c r="CI43" s="47">
        <f>SUMIFS($D:$D,$E:$E,"FAUX",$G:$G,"G4",$M:$M,"F",$N:$N,"E*")*SUMIFS($J:$J,$E:$E,"VRAI",$F:$F,"G",$M:$M,"I")*SUMIFS($J:$J,$E:$E,"VRAI",$F:$F,"H",$M:$M,"J")*SUMIFS($J:$J,$E:$E,"VRAI",$F:$F,"I",$I:$I,"J5")</f>
        <v>0</v>
      </c>
      <c r="CJ43" s="47">
        <f>SUMIFS($D:$D,$E:$E,"FAUX",$G:$G,"G4",$M:$M,"F",$N:$N,"E*")*SUMIFS($J:$J,$E:$E,"VRAI",$F:$F,"G",$M:$M,"I")*SUMIFS($J:$J,$E:$E,"VRAI",$F:$F,"H",$M:$M,"J")*SUMIFS($J:$J,$E:$E,"VRAI",$F:$F,"I",$I:$I,"J6")</f>
        <v>0</v>
      </c>
      <c r="CK43" s="46">
        <f>SUMIFS($D:$D,$E:$E,"FAUX",$G:$G,"G4",$M:$M,"F",$N:$N,"E*")*SUMIFS($J:$J,$E:$E,"VRAI",$F:$F,"G",$M:$M,"I")*SUMIFS($J:$J,$E:$E,"VRAI",$F:$F,"H",$M:$M,"J")*SUMIFS($J:$J,$E:$E,"VRAI",$F:$F,"I",$M:$M,"K")*SUMIFS($J:$J,$E:$E,"VRAI",$F:$F,"J",$I:$I,"K1")</f>
        <v>0</v>
      </c>
      <c r="CL43" s="47">
        <f>SUMIFS($D:$D,$E:$E,"FAUX",$G:$G,"G4",$M:$M,"F",$N:$N,"E*")*SUMIFS($J:$J,$E:$E,"VRAI",$F:$F,"G",$M:$M,"I")*SUMIFS($J:$J,$E:$E,"VRAI",$F:$F,"H",$M:$M,"J")*SUMIFS($J:$J,$E:$E,"VRAI",$F:$F,"I",$M:$M,"K")*SUMIFS($J:$J,$E:$E,"VRAI",$F:$F,"J",$I:$I,"K2")</f>
        <v>0</v>
      </c>
      <c r="CM43" s="47">
        <f>SUMIFS($D:$D,$E:$E,"FAUX",$G:$G,"G4",$M:$M,"F",$N:$N,"E*")*SUMIFS($J:$J,$E:$E,"VRAI",$F:$F,"G",$M:$M,"I")*SUMIFS($J:$J,$E:$E,"VRAI",$F:$F,"H",$M:$M,"J")*SUMIFS($J:$J,$E:$E,"VRAI",$F:$F,"I",$M:$M,"K")*SUMIFS($J:$J,$E:$E,"VRAI",$F:$F,"J",$I:$I,"K3")</f>
        <v>0</v>
      </c>
      <c r="CN43" s="47">
        <f>SUMIFS($D:$D,$E:$E,"FAUX",$G:$G,"G4",$M:$M,"F",$N:$N,"E*")*SUMIFS($J:$J,$E:$E,"VRAI",$F:$F,"G",$M:$M,"I")*SUMIFS($J:$J,$E:$E,"VRAI",$F:$F,"H",$M:$M,"J")*SUMIFS($J:$J,$E:$E,"VRAI",$F:$F,"I",$M:$M,"K")*SUMIFS($J:$J,$E:$E,"VRAI",$F:$F,"J",$I:$I,"K4")</f>
        <v>0</v>
      </c>
      <c r="CO43" s="47">
        <f>SUMIFS($D:$D,$E:$E,"FAUX",$G:$G,"G4",$M:$M,"F",$N:$N,"E*")*SUMIFS($J:$J,$E:$E,"VRAI",$F:$F,"G",$M:$M,"I")*SUMIFS($J:$J,$E:$E,"VRAI",$F:$F,"H",$M:$M,"J")*SUMIFS($J:$J,$E:$E,"VRAI",$F:$F,"I",$M:$M,"K")*SUMIFS($J:$J,$E:$E,"VRAI",$F:$F,"J",$I:$I,"K5")</f>
        <v>0</v>
      </c>
      <c r="CP43" s="48">
        <f>SUMIFS($D:$D,$E:$E,"FAUX",$G:$G,"G4",$M:$M,"F",$N:$N,"E*")*SUMIFS($J:$J,$E:$E,"VRAI",$F:$F,"G",$M:$M,"I")*SUMIFS($J:$J,$E:$E,"VRAI",$F:$F,"H",$M:$M,"J")*SUMIFS($J:$J,$E:$E,"VRAI",$F:$F,"I",$M:$M,"K")*SUMIFS($J:$J,$E:$E,"VRAI",$F:$F,"J",$I:$I,"K6")</f>
        <v>0</v>
      </c>
    </row>
    <row r="44" spans="1:94">
      <c r="A44" s="35" t="s">
        <v>9</v>
      </c>
      <c r="B44" s="35">
        <v>4</v>
      </c>
      <c r="C44" s="35">
        <v>4</v>
      </c>
      <c r="D44" s="35">
        <v>0</v>
      </c>
      <c r="E44" s="35" t="b">
        <v>0</v>
      </c>
      <c r="F44" s="35"/>
      <c r="G44" s="53" t="str">
        <f t="shared" si="0"/>
        <v>B4</v>
      </c>
      <c r="H44" s="52" t="str">
        <f t="shared" si="5"/>
        <v/>
      </c>
      <c r="I44" s="41" t="str">
        <f t="shared" si="1"/>
        <v>B4</v>
      </c>
      <c r="J44" s="42">
        <f t="shared" si="2"/>
        <v>0</v>
      </c>
      <c r="K44" s="41">
        <f t="shared" si="6"/>
        <v>731</v>
      </c>
      <c r="L44" s="41" t="str">
        <f t="shared" si="3"/>
        <v/>
      </c>
      <c r="M44" s="41" t="str">
        <f t="shared" si="7"/>
        <v/>
      </c>
      <c r="N44" s="41" t="str">
        <f>IFERROR(VLOOKUP(I44,L44:L:L,1,FALSE),"")</f>
        <v/>
      </c>
      <c r="O44" s="56" t="str">
        <f t="shared" si="8"/>
        <v>B_4_4</v>
      </c>
      <c r="U44" t="s">
        <v>51</v>
      </c>
      <c r="V44">
        <f>SUMIFS(D:D,A:A,"F",B:B,"1")</f>
        <v>1141</v>
      </c>
      <c r="Z44" t="e">
        <f t="shared" si="9"/>
        <v>#N/A</v>
      </c>
      <c r="AA44" t="e">
        <f t="shared" si="10"/>
        <v>#N/A</v>
      </c>
      <c r="AB44" t="s">
        <v>61</v>
      </c>
      <c r="AC44" s="46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0</v>
      </c>
      <c r="AD44" s="47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4" s="47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0</v>
      </c>
      <c r="AF44" s="47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4" s="47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4" s="47">
        <f>SUMIFS($D:$D,$E:$E,"FAUX",$G:$G,"G5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4" s="46">
        <f>SUMIFS($D:$D,$E:$E,"FAUX",$G:$G,"G5",$M:$M,"F",$N:$N,"G*")*SUMIFS($J:$J,$E:$E,"VRAI",$F:$F,"D",$M:$M,"B")*SUMIFS($J:$J,$E:$E,"VRAI",$F:$F,"C",$M:$M,"A")*SUMIFS($J:$J,$E:$E,"VRAI",$F:$F,"G",$M:$M,"E")*SUMIFS($J:$J,$E:$E,"VRAI",$H:$H,"C",$I:$I,"B1")</f>
        <v>0</v>
      </c>
      <c r="AJ44" s="47">
        <f>SUMIFS($D:$D,$E:$E,"FAUX",$G:$G,"G5",$M:$M,"F",$N:$N,"G*")*SUMIFS($J:$J,$E:$E,"VRAI",$F:$F,"D",$M:$M,"B")*SUMIFS($J:$J,$E:$E,"VRAI",$F:$F,"C",$M:$M,"A")*SUMIFS($J:$J,$E:$E,"VRAI",$F:$F,"G",$M:$M,"E")*SUMIFS($J:$J,$E:$E,"VRAI",$H:$H,"C",$I:$I,"B2")</f>
        <v>0</v>
      </c>
      <c r="AK44" s="47">
        <f>SUMIFS($D:$D,$E:$E,"FAUX",$G:$G,"G5",$M:$M,"F",$N:$N,"G*")*SUMIFS($J:$J,$E:$E,"VRAI",$F:$F,"D",$M:$M,"B")*SUMIFS($J:$J,$E:$E,"VRAI",$F:$F,"C",$M:$M,"A")*SUMIFS($J:$J,$E:$E,"VRAI",$F:$F,"G",$M:$M,"E")*SUMIFS($J:$J,$E:$E,"VRAI",$H:$H,"C",$I:$I,"B3")</f>
        <v>0</v>
      </c>
      <c r="AL44" s="47">
        <f>SUMIFS($D:$D,$E:$E,"FAUX",$G:$G,"G5",$M:$M,"F",$N:$N,"G*")*SUMIFS($J:$J,$E:$E,"VRAI",$F:$F,"D",$M:$M,"B")*SUMIFS($J:$J,$E:$E,"VRAI",$F:$F,"C",$M:$M,"A")*SUMIFS($J:$J,$E:$E,"VRAI",$F:$F,"G",$M:$M,"E")*SUMIFS($J:$J,$E:$E,"VRAI",$H:$H,"C",$I:$I,"B4")</f>
        <v>0</v>
      </c>
      <c r="AM44" s="47">
        <f>SUMIFS($D:$D,$E:$E,"FAUX",$G:$G,"G5",$M:$M,"F",$N:$N,"G*")*SUMIFS($J:$J,$E:$E,"VRAI",$F:$F,"D",$M:$M,"B")*SUMIFS($J:$J,$E:$E,"VRAI",$F:$F,"C",$M:$M,"A")*SUMIFS($J:$J,$E:$E,"VRAI",$F:$F,"G",$M:$M,"E")*SUMIFS($J:$J,$E:$E,"VRAI",$H:$H,"C",$I:$I,"B5")</f>
        <v>0</v>
      </c>
      <c r="AN44" s="47">
        <f>SUMIFS($D:$D,$E:$E,"FAUX",$G:$G,"G5",$M:$M,"F",$N:$N,"G*")*SUMIFS($J:$J,$E:$E,"VRAI",$F:$F,"D",$M:$M,"B")*SUMIFS($J:$J,$E:$E,"VRAI",$F:$F,"C",$M:$M,"A")*SUMIFS($J:$J,$E:$E,"VRAI",$F:$F,"G",$M:$M,"E")*SUMIFS($J:$J,$E:$E,"VRAI",$H:$H,"C",$I:$I,"B6")</f>
        <v>0</v>
      </c>
      <c r="AO44" s="16">
        <f>SUMIFS($D:$D,$E:$E,"FAUX",$G:$G,"G5",$M:$M,"F",$N:$N,"G*")*SUMIFS($J:$J,$E:$E,"VRAI",$F:$F,"E",$M:$M,"C")*SUMIFS($J:$J,$E:$E,"VRAI",$F:$F,"F",$M:$M,"D")*SUMIFS($J:$J,$E:$E,"VRAI",$F:$F,"G",$M:$M,"E")*SUMIFS($J:$J,$E:$E,"VRAI",$H:$H,"D",$I:$I,"C1")</f>
        <v>0</v>
      </c>
      <c r="AP44" s="17">
        <f>SUMIFS($D:$D,$E:$E,"FAUX",$G:$G,"G5",$M:$M,"F",$N:$N,"G*")*SUMIFS($J:$J,$E:$E,"VRAI",$F:$F,"E",$M:$M,"C")*SUMIFS($J:$J,$E:$E,"VRAI",$F:$F,"F",$M:$M,"D")*SUMIFS($J:$J,$E:$E,"VRAI",$F:$F,"G",$M:$M,"E")*SUMIFS($J:$J,$E:$E,"VRAI",$H:$H,"D",$I:$I,"C2")</f>
        <v>0</v>
      </c>
      <c r="AQ44" s="17">
        <f>SUMIFS($D:$D,$E:$E,"FAUX",$G:$G,"G5",$M:$M,"F",$N:$N,"G*")*SUMIFS($J:$J,$E:$E,"VRAI",$F:$F,"E",$M:$M,"C")*SUMIFS($J:$J,$E:$E,"VRAI",$F:$F,"F",$M:$M,"D")*SUMIFS($J:$J,$E:$E,"VRAI",$F:$F,"G",$M:$M,"E")*SUMIFS($J:$J,$E:$E,"VRAI",$H:$H,"D",$I:$I,"C3")</f>
        <v>0</v>
      </c>
      <c r="AR44" s="17">
        <f>SUMIFS($D:$D,$E:$E,"FAUX",$G:$G,"G5",$M:$M,"F",$N:$N,"G*")*SUMIFS($J:$J,$E:$E,"VRAI",$F:$F,"E",$M:$M,"C")*SUMIFS($J:$J,$E:$E,"VRAI",$F:$F,"F",$M:$M,"D")*SUMIFS($J:$J,$E:$E,"VRAI",$F:$F,"G",$M:$M,"E")*SUMIFS($J:$J,$E:$E,"VRAI",$H:$H,"D",$I:$I,"C4")</f>
        <v>0</v>
      </c>
      <c r="AS44" s="17">
        <f>SUMIFS($D:$D,$E:$E,"FAUX",$G:$G,"G5",$M:$M,"F",$N:$N,"G*")*SUMIFS($J:$J,$E:$E,"VRAI",$F:$F,"E",$M:$M,"C")*SUMIFS($J:$J,$E:$E,"VRAI",$F:$F,"F",$M:$M,"D")*SUMIFS($J:$J,$E:$E,"VRAI",$F:$F,"G",$M:$M,"E")*SUMIFS($J:$J,$E:$E,"VRAI",$H:$H,"D",$I:$I,"C5")</f>
        <v>0</v>
      </c>
      <c r="AT44" s="18">
        <f>SUMIFS($D:$D,$E:$E,"FAUX",$G:$G,"G5",$M:$M,"F",$N:$N,"G*")*SUMIFS($J:$J,$E:$E,"VRAI",$F:$F,"E",$M:$M,"C")*SUMIFS($J:$J,$E:$E,"VRAI",$F:$F,"F",$M:$M,"D")*SUMIFS($J:$J,$E:$E,"VRAI",$F:$F,"G",$M:$M,"E")*SUMIFS($J:$J,$E:$E,"VRAI",$H:$H,"D",$I:$I,"C6")</f>
        <v>0</v>
      </c>
      <c r="AU44" s="31">
        <f>SUMIFS($D:$D,$E:$E,"FAUX",$G:$G,"G5",$M:$M,"F",$N:$N,"G*")*SUMIFS($J:$J,$E:$E,"VRAI",$F:$F,"F",$M:$M,"D")*SUMIFS($J:$J,$E:$E,"VRAI",$F:$F,"G",$M:$M,"E")*SUMIFS($J:$J,$E:$E,"VRAI",$H:$H,"E",$I:$I,"D1")</f>
        <v>0</v>
      </c>
      <c r="AV44" s="17">
        <f>SUMIFS($D:$D,$E:$E,"FAUX",$G:$G,"G5",$M:$M,"F",$N:$N,"G*")*SUMIFS($J:$J,$E:$E,"VRAI",$F:$F,"F",$M:$M,"D")*SUMIFS($J:$J,$E:$E,"VRAI",$F:$F,"G",$M:$M,"E")*SUMIFS($J:$J,$E:$E,"VRAI",$H:$H,"E",$I:$I,"D2")</f>
        <v>0</v>
      </c>
      <c r="AW44" s="17">
        <f>SUMIFS($D:$D,$E:$E,"FAUX",$G:$G,"G5",$M:$M,"F",$N:$N,"G*")*SUMIFS($J:$J,$E:$E,"VRAI",$F:$F,"F",$M:$M,"D")*SUMIFS($J:$J,$E:$E,"VRAI",$F:$F,"G",$M:$M,"E")*SUMIFS($J:$J,$E:$E,"VRAI",$H:$H,"E",$I:$I,"D3")</f>
        <v>0</v>
      </c>
      <c r="AX44" s="17">
        <f>SUMIFS($D:$D,$E:$E,"FAUX",$G:$G,"G5",$M:$M,"F",$N:$N,"G*")*SUMIFS($J:$J,$E:$E,"VRAI",$F:$F,"F",$M:$M,"D")*SUMIFS($J:$J,$E:$E,"VRAI",$F:$F,"G",$M:$M,"E")*SUMIFS($J:$J,$E:$E,"VRAI",$H:$H,"E",$I:$I,"D4")</f>
        <v>0</v>
      </c>
      <c r="AY44" s="17">
        <f>SUMIFS($D:$D,$E:$E,"FAUX",$G:$G,"G5",$M:$M,"F",$N:$N,"G*")*SUMIFS($J:$J,$E:$E,"VRAI",$F:$F,"F",$M:$M,"D")*SUMIFS($J:$J,$E:$E,"VRAI",$F:$F,"G",$M:$M,"E")*SUMIFS($J:$J,$E:$E,"VRAI",$H:$H,"E",$I:$I,"D5")</f>
        <v>0</v>
      </c>
      <c r="AZ44" s="18">
        <f>SUMIFS($D:$D,$E:$E,"FAUX",$G:$G,"G5",$M:$M,"F",$N:$N,"G*")*SUMIFS($J:$J,$E:$E,"VRAI",$F:$F,"F",$M:$M,"D")*SUMIFS($J:$J,$E:$E,"VRAI",$F:$F,"G",$M:$M,"E")*SUMIFS($J:$J,$E:$E,"VRAI",$H:$H,"E",$I:$I,"D6")</f>
        <v>0</v>
      </c>
      <c r="BA44" s="16">
        <f>SUMIFS($D:$D,$E:$E,"FAUX",$G:$G,"G5",$M:$M,"F",$N:$N,"G*")*SUMIFS($J:$J,$E:$E,"VRAI",$F:$F,"G",$M:$M,"E")*SUMIFS($J:$J,$E:$E,"VRAI",$I:$I,"E1",$F:$F,"F")</f>
        <v>0</v>
      </c>
      <c r="BB44" s="17">
        <f>SUMIFS($D:$D,$E:$E,"FAUX",$G:$G,"G5",$M:$M,"F",$N:$N,"G*")*SUMIFS($J:$J,$E:$E,"VRAI",$F:$F,"G",$M:$M,"E")*SUMIFS($J:$J,$E:$E,"VRAI",$I:$I,"E2",$F:$F,"F")</f>
        <v>0</v>
      </c>
      <c r="BC44" s="17">
        <f>SUMIFS($D:$D,$E:$E,"FAUX",$G:$G,"G5",$M:$M,"F",$N:$N,"G*")*SUMIFS($J:$J,$E:$E,"VRAI",$F:$F,"G",$M:$M,"E")*SUMIFS($J:$J,$E:$E,"VRAI",$I:$I,"E3",$F:$F,"F")</f>
        <v>0</v>
      </c>
      <c r="BD44" s="17">
        <f>SUMIFS($D:$D,$E:$E,"FAUX",$G:$G,"G5",$M:$M,"F",$N:$N,"G*")*SUMIFS($J:$J,$E:$E,"VRAI",$F:$F,"G",$M:$M,"E")*SUMIFS($J:$J,$E:$E,"VRAI",$I:$I,"E4",$F:$F,"F")</f>
        <v>0</v>
      </c>
      <c r="BE44" s="17">
        <f>SUMIFS($D:$D,$E:$E,"FAUX",$G:$G,"G5",$M:$M,"F",$N:$N,"G*")*SUMIFS($J:$J,$E:$E,"VRAI",$F:$F,"G",$M:$M,"E")*SUMIFS($J:$J,$E:$E,"VRAI",$I:$I,"E5",$F:$F,"F")</f>
        <v>0</v>
      </c>
      <c r="BF44" s="18">
        <f>SUMIFS($D:$D,$E:$E,"FAUX",$G:$G,"G5",$M:$M,"F",$N:$N,"G*")*SUMIFS($J:$J,$E:$E,"VRAI",$F:$F,"G",$M:$M,"E")*SUMIFS($J:$J,$E:$E,"VRAI",$I:$I,"E6",$F:$F,"F")</f>
        <v>0</v>
      </c>
      <c r="BG44" s="16">
        <f>SUMIFS($D:$D,$E:$E,"FAUX",$G:$G,"G5",$M:$M,"E",$N:$N,"G*")*SUMIFS($J:$J,$E:$E,"VRAI",$I:$I,"F1",$F:$F,"G")</f>
        <v>0</v>
      </c>
      <c r="BH44" s="17">
        <f>SUMIFS($D:$D,$E:$E,"FAUX",$G:$G,"G5",$M:$M,"E",$N:$N,"G*")*SUMIFS($J:$J,$E:$E,"VRAI",$I:$I,"F2",$F:$F,"G")</f>
        <v>0</v>
      </c>
      <c r="BI44" s="17">
        <f>SUMIFS($D:$D,$E:$E,"FAUX",$G:$G,"G5",$M:$M,"E",$N:$N,"G*")*SUMIFS($J:$J,$E:$E,"VRAI",$I:$I,"F3",$F:$F,"G")</f>
        <v>0</v>
      </c>
      <c r="BJ44" s="17">
        <f>SUMIFS($D:$D,$E:$E,"FAUX",$G:$G,"G5",$M:$M,"E",$N:$N,"G*")*SUMIFS($J:$J,$E:$E,"VRAI",$I:$I,"F4",$F:$F,"G")</f>
        <v>0</v>
      </c>
      <c r="BK44" s="17">
        <f>SUMIFS($D:$D,$E:$E,"FAUX",$G:$G,"G5",$M:$M,"E",$N:$N,"G*")*SUMIFS($J:$J,$E:$E,"VRAI",$I:$I,"F5",$F:$F,"G")</f>
        <v>0</v>
      </c>
      <c r="BL44" s="18">
        <f>SUMIFS($D:$D,$E:$E,"FAUX",$G:$G,"G5",$M:$M,"E",$N:$N,"G*")*SUMIFS($J:$J,$E:$E,"VRAI",$I:$I,"F6",$F:$F,"G")</f>
        <v>0</v>
      </c>
      <c r="BM44" s="54">
        <f>SUMIFS($D:$D,$O:$O,"G_5_1")</f>
        <v>0</v>
      </c>
      <c r="BN44" s="54">
        <f>SUMIFS($D:$D,$O:$O,"G_5_2")</f>
        <v>0</v>
      </c>
      <c r="BO44" s="54">
        <f>SUMIFS($D:$D,$O:$O,"G_5_3")</f>
        <v>0</v>
      </c>
      <c r="BP44" s="54">
        <f>SUMIFS($D:$D,$O:$O,"G_5_4")</f>
        <v>0</v>
      </c>
      <c r="BQ44" s="54">
        <f>SUMIFS($D:$D,$O:$O,"G_5_5")</f>
        <v>0</v>
      </c>
      <c r="BR44" s="55">
        <f>SUMIFS($D:$D,$O:$O,"G_5_6")</f>
        <v>0</v>
      </c>
      <c r="BS44" s="31">
        <f>SUMIFS($D:$D,$E:$E,"FAUX",$G:$G,"G5",$M:$M,"H",$N:$N,"G*")*SUMIFS($J:$J,$O:$O,"H_1_1")</f>
        <v>0</v>
      </c>
      <c r="BT44" s="27">
        <f>SUMIFS($D:$D,$E:$E,"FAUX",$G:$G,"G5",$M:$M,"H",$N:$N,"G*")*SUMIFS($J:$J,$O:$O,"H_1_2")</f>
        <v>0</v>
      </c>
      <c r="BU44" s="27">
        <f>SUMIFS($D:$D,$E:$E,"FAUX",$G:$G,"G5",$M:$M,"H",$N:$N,"G*")*SUMIFS($J:$J,$O:$O,"H_1_3")</f>
        <v>0</v>
      </c>
      <c r="BV44" s="27">
        <f>SUMIFS($D:$D,$E:$E,"FAUX",$G:$G,"G5",$M:$M,"H",$N:$N,"G*")*SUMIFS($J:$J,$O:$O,"H_1_4")</f>
        <v>0</v>
      </c>
      <c r="BW44" s="27">
        <f>SUMIFS($D:$D,$E:$E,"FAUX",$G:$G,"G5",$M:$M,"H",$N:$N,"G*")*SUMIFS($J:$J,$O:$O,"H_1_5")</f>
        <v>0</v>
      </c>
      <c r="BX44" s="27">
        <f>SUMIFS($D:$D,$E:$E,"FAUX",$G:$G,"G5",$M:$M,"H",$N:$N,"G*")*SUMIFS($J:$J,$O:$O,"H_1_6")</f>
        <v>0</v>
      </c>
      <c r="BY44" s="46">
        <f>SUMIFS($D:$D,$E:$E,"FAUX",$G:$G,"G5",$M:$M,"F",$N:$N,"E*")*SUMIFS($J:$J,$E:$E,"VRAI",$F:$F,"G",$M:$M,"I")*SUMIFS($J:$J,$E:$E,"VRAI",$F:$F,"H",$I:$I,"I1")</f>
        <v>0</v>
      </c>
      <c r="BZ44" s="47">
        <f>SUMIFS($D:$D,$E:$E,"FAUX",$G:$G,"G5",$M:$M,"F",$N:$N,"E*")*SUMIFS($J:$J,$E:$E,"VRAI",$F:$F,"G",$M:$M,"I")*SUMIFS($J:$J,$E:$E,"VRAI",$F:$F,"H",$I:$I,"I2")</f>
        <v>0</v>
      </c>
      <c r="CA44" s="47">
        <f>SUMIFS($D:$D,$E:$E,"FAUX",$G:$G,"G5",$M:$M,"F",$N:$N,"E*")*SUMIFS($J:$J,$E:$E,"VRAI",$F:$F,"G",$M:$M,"I")*SUMIFS($J:$J,$E:$E,"VRAI",$F:$F,"H",$I:$I,"I3")</f>
        <v>0</v>
      </c>
      <c r="CB44" s="47">
        <f>SUMIFS($D:$D,$E:$E,"FAUX",$G:$G,"G5",$M:$M,"F",$N:$N,"E*")*SUMIFS($J:$J,$E:$E,"VRAI",$F:$F,"G",$M:$M,"I")*SUMIFS($J:$J,$E:$E,"VRAI",$F:$F,"H",$I:$I,"I4")</f>
        <v>0</v>
      </c>
      <c r="CC44" s="47">
        <f>SUMIFS($D:$D,$E:$E,"FAUX",$G:$G,"G5",$M:$M,"F",$N:$N,"E*")*SUMIFS($J:$J,$E:$E,"VRAI",$F:$F,"G",$M:$M,"I")*SUMIFS($J:$J,$E:$E,"VRAI",$F:$F,"H",$I:$I,"I5")</f>
        <v>0</v>
      </c>
      <c r="CD44" s="47">
        <f>SUMIFS($D:$D,$E:$E,"FAUX",$G:$G,"G5",$M:$M,"F",$N:$N,"E*")*SUMIFS($J:$J,$E:$E,"VRAI",$F:$F,"G",$M:$M,"I")*SUMIFS($J:$J,$E:$E,"VRAI",$F:$F,"H",$I:$I,"I6")</f>
        <v>0</v>
      </c>
      <c r="CE44" s="46">
        <f>SUMIFS($D:$D,$E:$E,"FAUX",$G:$G,"G5",$M:$M,"F",$N:$N,"E*")*SUMIFS($J:$J,$E:$E,"VRAI",$F:$F,"G",$M:$M,"I")*SUMIFS($J:$J,$E:$E,"VRAI",$F:$F,"H",$M:$M,"J")*SUMIFS($J:$J,$E:$E,"VRAI",$F:$F,"I",$I:$I,"J1")</f>
        <v>0</v>
      </c>
      <c r="CF44" s="47">
        <f>SUMIFS($D:$D,$E:$E,"FAUX",$G:$G,"G5",$M:$M,"F",$N:$N,"E*")*SUMIFS($J:$J,$E:$E,"VRAI",$F:$F,"G",$M:$M,"I")*SUMIFS($J:$J,$E:$E,"VRAI",$F:$F,"H",$M:$M,"J")*SUMIFS($J:$J,$E:$E,"VRAI",$F:$F,"I",$I:$I,"J2")</f>
        <v>0</v>
      </c>
      <c r="CG44" s="47">
        <f>SUMIFS($D:$D,$E:$E,"FAUX",$G:$G,"G5",$M:$M,"F",$N:$N,"E*")*SUMIFS($J:$J,$E:$E,"VRAI",$F:$F,"G",$M:$M,"I")*SUMIFS($J:$J,$E:$E,"VRAI",$F:$F,"H",$M:$M,"J")*SUMIFS($J:$J,$E:$E,"VRAI",$F:$F,"I",$I:$I,"J3")</f>
        <v>0</v>
      </c>
      <c r="CH44" s="47">
        <f>SUMIFS($D:$D,$E:$E,"FAUX",$G:$G,"G5",$M:$M,"F",$N:$N,"E*")*SUMIFS($J:$J,$E:$E,"VRAI",$F:$F,"G",$M:$M,"I")*SUMIFS($J:$J,$E:$E,"VRAI",$F:$F,"H",$M:$M,"J")*SUMIFS($J:$J,$E:$E,"VRAI",$F:$F,"I",$I:$I,"J4")</f>
        <v>0</v>
      </c>
      <c r="CI44" s="47">
        <f>SUMIFS($D:$D,$E:$E,"FAUX",$G:$G,"G5",$M:$M,"F",$N:$N,"E*")*SUMIFS($J:$J,$E:$E,"VRAI",$F:$F,"G",$M:$M,"I")*SUMIFS($J:$J,$E:$E,"VRAI",$F:$F,"H",$M:$M,"J")*SUMIFS($J:$J,$E:$E,"VRAI",$F:$F,"I",$I:$I,"J5")</f>
        <v>0</v>
      </c>
      <c r="CJ44" s="47">
        <f>SUMIFS($D:$D,$E:$E,"FAUX",$G:$G,"G5",$M:$M,"F",$N:$N,"E*")*SUMIFS($J:$J,$E:$E,"VRAI",$F:$F,"G",$M:$M,"I")*SUMIFS($J:$J,$E:$E,"VRAI",$F:$F,"H",$M:$M,"J")*SUMIFS($J:$J,$E:$E,"VRAI",$F:$F,"I",$I:$I,"J6")</f>
        <v>0</v>
      </c>
      <c r="CK44" s="46">
        <f>SUMIFS($D:$D,$E:$E,"FAUX",$G:$G,"G5",$M:$M,"F",$N:$N,"E*")*SUMIFS($J:$J,$E:$E,"VRAI",$F:$F,"G",$M:$M,"I")*SUMIFS($J:$J,$E:$E,"VRAI",$F:$F,"H",$M:$M,"J")*SUMIFS($J:$J,$E:$E,"VRAI",$F:$F,"I",$M:$M,"K")*SUMIFS($J:$J,$E:$E,"VRAI",$F:$F,"J",$I:$I,"K1")</f>
        <v>0</v>
      </c>
      <c r="CL44" s="47">
        <f>SUMIFS($D:$D,$E:$E,"FAUX",$G:$G,"G5",$M:$M,"F",$N:$N,"E*")*SUMIFS($J:$J,$E:$E,"VRAI",$F:$F,"G",$M:$M,"I")*SUMIFS($J:$J,$E:$E,"VRAI",$F:$F,"H",$M:$M,"J")*SUMIFS($J:$J,$E:$E,"VRAI",$F:$F,"I",$M:$M,"K")*SUMIFS($J:$J,$E:$E,"VRAI",$F:$F,"J",$I:$I,"K2")</f>
        <v>0</v>
      </c>
      <c r="CM44" s="47">
        <f>SUMIFS($D:$D,$E:$E,"FAUX",$G:$G,"G5",$M:$M,"F",$N:$N,"E*")*SUMIFS($J:$J,$E:$E,"VRAI",$F:$F,"G",$M:$M,"I")*SUMIFS($J:$J,$E:$E,"VRAI",$F:$F,"H",$M:$M,"J")*SUMIFS($J:$J,$E:$E,"VRAI",$F:$F,"I",$M:$M,"K")*SUMIFS($J:$J,$E:$E,"VRAI",$F:$F,"J",$I:$I,"K3")</f>
        <v>0</v>
      </c>
      <c r="CN44" s="47">
        <f>SUMIFS($D:$D,$E:$E,"FAUX",$G:$G,"G5",$M:$M,"F",$N:$N,"E*")*SUMIFS($J:$J,$E:$E,"VRAI",$F:$F,"G",$M:$M,"I")*SUMIFS($J:$J,$E:$E,"VRAI",$F:$F,"H",$M:$M,"J")*SUMIFS($J:$J,$E:$E,"VRAI",$F:$F,"I",$M:$M,"K")*SUMIFS($J:$J,$E:$E,"VRAI",$F:$F,"J",$I:$I,"K4")</f>
        <v>0</v>
      </c>
      <c r="CO44" s="47">
        <f>SUMIFS($D:$D,$E:$E,"FAUX",$G:$G,"G5",$M:$M,"F",$N:$N,"E*")*SUMIFS($J:$J,$E:$E,"VRAI",$F:$F,"G",$M:$M,"I")*SUMIFS($J:$J,$E:$E,"VRAI",$F:$F,"H",$M:$M,"J")*SUMIFS($J:$J,$E:$E,"VRAI",$F:$F,"I",$M:$M,"K")*SUMIFS($J:$J,$E:$E,"VRAI",$F:$F,"J",$I:$I,"K5")</f>
        <v>0</v>
      </c>
      <c r="CP44" s="48">
        <f>SUMIFS($D:$D,$E:$E,"FAUX",$G:$G,"G5",$M:$M,"F",$N:$N,"E*")*SUMIFS($J:$J,$E:$E,"VRAI",$F:$F,"G",$M:$M,"I")*SUMIFS($J:$J,$E:$E,"VRAI",$F:$F,"H",$M:$M,"J")*SUMIFS($J:$J,$E:$E,"VRAI",$F:$F,"I",$M:$M,"K")*SUMIFS($J:$J,$E:$E,"VRAI",$F:$F,"J",$I:$I,"K6")</f>
        <v>0</v>
      </c>
    </row>
    <row r="45" spans="1:94">
      <c r="A45" s="35" t="s">
        <v>10</v>
      </c>
      <c r="B45" s="35">
        <v>1</v>
      </c>
      <c r="C45" s="35">
        <v>2</v>
      </c>
      <c r="D45" s="35">
        <v>0</v>
      </c>
      <c r="E45" s="35" t="b">
        <v>1</v>
      </c>
      <c r="F45" s="35" t="s">
        <v>9</v>
      </c>
      <c r="G45" s="53" t="str">
        <f t="shared" si="0"/>
        <v>C1</v>
      </c>
      <c r="H45" s="52" t="str">
        <f t="shared" si="5"/>
        <v>B</v>
      </c>
      <c r="I45" s="41" t="str">
        <f t="shared" si="1"/>
        <v>C2</v>
      </c>
      <c r="J45" s="42">
        <f t="shared" si="2"/>
        <v>0</v>
      </c>
      <c r="K45" s="41">
        <f t="shared" si="6"/>
        <v>777</v>
      </c>
      <c r="L45" s="41" t="str">
        <f t="shared" si="3"/>
        <v>C1</v>
      </c>
      <c r="M45" s="41" t="str">
        <f t="shared" si="7"/>
        <v/>
      </c>
      <c r="N45" s="41" t="str">
        <f>IFERROR(VLOOKUP(I45,L45:L:L,1,FALSE),"")</f>
        <v/>
      </c>
      <c r="O45" s="56" t="str">
        <f t="shared" si="8"/>
        <v>C_1_2</v>
      </c>
      <c r="U45" t="s">
        <v>52</v>
      </c>
      <c r="V45">
        <f>SUMIFS(D:D,A:A,"F",B:B,"2")</f>
        <v>0</v>
      </c>
      <c r="Z45" t="e">
        <f t="shared" si="9"/>
        <v>#N/A</v>
      </c>
      <c r="AA45" t="e">
        <f t="shared" si="10"/>
        <v>#N/A</v>
      </c>
      <c r="AB45" t="s">
        <v>62</v>
      </c>
      <c r="AC45" s="49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1")</f>
        <v>0</v>
      </c>
      <c r="AD45" s="50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2")</f>
        <v>0</v>
      </c>
      <c r="AE45" s="50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3")</f>
        <v>0</v>
      </c>
      <c r="AF45" s="50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4")</f>
        <v>0</v>
      </c>
      <c r="AG45" s="50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5")</f>
        <v>0</v>
      </c>
      <c r="AH45" s="50">
        <f>SUMIFS($D:$D,$E:$E,"FAUX",$G:$G,"G6",$M:$M,"F",$N:$N,"G*")*SUMIFS($J:$J,$E:$E,"VRAI",$F:$F,"D",$M:$M,"B")*SUMIFS($J:$J,$E:$E,"VRAI",$F:$F,"C",$M:$M,"A")*SUMIFS($J:$J,$E:$E,"VRAI",$F:$F,"E",$M:$M,"C")*SUMIFS($J:$J,$E:$E,"VRAI",$F:$F,"F",$M:$M,"D")*SUMIFS($J:$J,$E:$E,"VRAI",$F:$F,"G",$M:$M,"E")*SUMIFS($J:$J,$E:$E,"VRAI",$H:$H,"B",$I:$I,"A6")</f>
        <v>0</v>
      </c>
      <c r="AI45" s="46">
        <f>SUMIFS($D:$D,$E:$E,"FAUX",$G:$G,"G6",$M:$M,"F",$N:$N,"G*")*SUMIFS($J:$J,$E:$E,"VRAI",$F:$F,"D",$M:$M,"B")*SUMIFS($J:$J,$E:$E,"VRAI",$F:$F,"C",$M:$M,"A")*SUMIFS($J:$J,$E:$E,"VRAI",$F:$F,"G",$M:$M,"E")*SUMIFS($J:$J,$E:$E,"VRAI",$H:$H,"C",$I:$I,"B1")</f>
        <v>0</v>
      </c>
      <c r="AJ45" s="47">
        <f>SUMIFS($D:$D,$E:$E,"FAUX",$G:$G,"G6",$M:$M,"F",$N:$N,"G*")*SUMIFS($J:$J,$E:$E,"VRAI",$F:$F,"D",$M:$M,"B")*SUMIFS($J:$J,$E:$E,"VRAI",$F:$F,"C",$M:$M,"A")*SUMIFS($J:$J,$E:$E,"VRAI",$F:$F,"G",$M:$M,"E")*SUMIFS($J:$J,$E:$E,"VRAI",$H:$H,"C",$I:$I,"B2")</f>
        <v>0</v>
      </c>
      <c r="AK45" s="47">
        <f>SUMIFS($D:$D,$E:$E,"FAUX",$G:$G,"G6",$M:$M,"F",$N:$N,"G*")*SUMIFS($J:$J,$E:$E,"VRAI",$F:$F,"D",$M:$M,"B")*SUMIFS($J:$J,$E:$E,"VRAI",$F:$F,"C",$M:$M,"A")*SUMIFS($J:$J,$E:$E,"VRAI",$F:$F,"G",$M:$M,"E")*SUMIFS($J:$J,$E:$E,"VRAI",$H:$H,"C",$I:$I,"B3")</f>
        <v>0</v>
      </c>
      <c r="AL45" s="47">
        <f>SUMIFS($D:$D,$E:$E,"FAUX",$G:$G,"G6",$M:$M,"F",$N:$N,"G*")*SUMIFS($J:$J,$E:$E,"VRAI",$F:$F,"D",$M:$M,"B")*SUMIFS($J:$J,$E:$E,"VRAI",$F:$F,"C",$M:$M,"A")*SUMIFS($J:$J,$E:$E,"VRAI",$F:$F,"G",$M:$M,"E")*SUMIFS($J:$J,$E:$E,"VRAI",$H:$H,"C",$I:$I,"B4")</f>
        <v>0</v>
      </c>
      <c r="AM45" s="47">
        <f>SUMIFS($D:$D,$E:$E,"FAUX",$G:$G,"G6",$M:$M,"F",$N:$N,"G*")*SUMIFS($J:$J,$E:$E,"VRAI",$F:$F,"D",$M:$M,"B")*SUMIFS($J:$J,$E:$E,"VRAI",$F:$F,"C",$M:$M,"A")*SUMIFS($J:$J,$E:$E,"VRAI",$F:$F,"G",$M:$M,"E")*SUMIFS($J:$J,$E:$E,"VRAI",$H:$H,"C",$I:$I,"B5")</f>
        <v>0</v>
      </c>
      <c r="AN45" s="47">
        <f>SUMIFS($D:$D,$E:$E,"FAUX",$G:$G,"G6",$M:$M,"F",$N:$N,"G*")*SUMIFS($J:$J,$E:$E,"VRAI",$F:$F,"D",$M:$M,"B")*SUMIFS($J:$J,$E:$E,"VRAI",$F:$F,"C",$M:$M,"A")*SUMIFS($J:$J,$E:$E,"VRAI",$F:$F,"G",$M:$M,"E")*SUMIFS($J:$J,$E:$E,"VRAI",$H:$H,"C",$I:$I,"B6")</f>
        <v>0</v>
      </c>
      <c r="AO45" s="16">
        <f>SUMIFS($D:$D,$E:$E,"FAUX",$G:$G,"G6",$M:$M,"F",$N:$N,"G*")*SUMIFS($J:$J,$E:$E,"VRAI",$F:$F,"E",$M:$M,"C")*SUMIFS($J:$J,$E:$E,"VRAI",$F:$F,"F",$M:$M,"D")*SUMIFS($J:$J,$E:$E,"VRAI",$F:$F,"G",$M:$M,"E")*SUMIFS($J:$J,$E:$E,"VRAI",$H:$H,"D",$I:$I,"C1")</f>
        <v>0</v>
      </c>
      <c r="AP45" s="17">
        <f>SUMIFS($D:$D,$E:$E,"FAUX",$G:$G,"G6",$M:$M,"F",$N:$N,"G*")*SUMIFS($J:$J,$E:$E,"VRAI",$F:$F,"E",$M:$M,"C")*SUMIFS($J:$J,$E:$E,"VRAI",$F:$F,"F",$M:$M,"D")*SUMIFS($J:$J,$E:$E,"VRAI",$F:$F,"G",$M:$M,"E")*SUMIFS($J:$J,$E:$E,"VRAI",$H:$H,"D",$I:$I,"C2")</f>
        <v>0</v>
      </c>
      <c r="AQ45" s="17">
        <f>SUMIFS($D:$D,$E:$E,"FAUX",$G:$G,"G6",$M:$M,"F",$N:$N,"G*")*SUMIFS($J:$J,$E:$E,"VRAI",$F:$F,"E",$M:$M,"C")*SUMIFS($J:$J,$E:$E,"VRAI",$F:$F,"F",$M:$M,"D")*SUMIFS($J:$J,$E:$E,"VRAI",$F:$F,"G",$M:$M,"E")*SUMIFS($J:$J,$E:$E,"VRAI",$H:$H,"D",$I:$I,"C3")</f>
        <v>0</v>
      </c>
      <c r="AR45" s="17">
        <f>SUMIFS($D:$D,$E:$E,"FAUX",$G:$G,"G6",$M:$M,"F",$N:$N,"G*")*SUMIFS($J:$J,$E:$E,"VRAI",$F:$F,"E",$M:$M,"C")*SUMIFS($J:$J,$E:$E,"VRAI",$F:$F,"F",$M:$M,"D")*SUMIFS($J:$J,$E:$E,"VRAI",$F:$F,"G",$M:$M,"E")*SUMIFS($J:$J,$E:$E,"VRAI",$H:$H,"D",$I:$I,"C4")</f>
        <v>0</v>
      </c>
      <c r="AS45" s="17">
        <f>SUMIFS($D:$D,$E:$E,"FAUX",$G:$G,"G6",$M:$M,"F",$N:$N,"G*")*SUMIFS($J:$J,$E:$E,"VRAI",$F:$F,"E",$M:$M,"C")*SUMIFS($J:$J,$E:$E,"VRAI",$F:$F,"F",$M:$M,"D")*SUMIFS($J:$J,$E:$E,"VRAI",$F:$F,"G",$M:$M,"E")*SUMIFS($J:$J,$E:$E,"VRAI",$H:$H,"D",$I:$I,"C5")</f>
        <v>0</v>
      </c>
      <c r="AT45" s="18">
        <f>SUMIFS($D:$D,$E:$E,"FAUX",$G:$G,"G6",$M:$M,"F",$N:$N,"G*")*SUMIFS($J:$J,$E:$E,"VRAI",$F:$F,"E",$M:$M,"C")*SUMIFS($J:$J,$E:$E,"VRAI",$F:$F,"F",$M:$M,"D")*SUMIFS($J:$J,$E:$E,"VRAI",$F:$F,"G",$M:$M,"E")*SUMIFS($J:$J,$E:$E,"VRAI",$H:$H,"D",$I:$I,"C6")</f>
        <v>0</v>
      </c>
      <c r="AU45" s="31">
        <f>SUMIFS($D:$D,$E:$E,"FAUX",$G:$G,"G6",$M:$M,"F",$N:$N,"G*")*SUMIFS($J:$J,$E:$E,"VRAI",$F:$F,"F",$M:$M,"D")*SUMIFS($J:$J,$E:$E,"VRAI",$F:$F,"G",$M:$M,"E")*SUMIFS($J:$J,$E:$E,"VRAI",$H:$H,"E",$I:$I,"D1")</f>
        <v>0</v>
      </c>
      <c r="AV45" s="17">
        <f>SUMIFS($D:$D,$E:$E,"FAUX",$G:$G,"G6",$M:$M,"F",$N:$N,"G*")*SUMIFS($J:$J,$E:$E,"VRAI",$F:$F,"F",$M:$M,"D")*SUMIFS($J:$J,$E:$E,"VRAI",$F:$F,"G",$M:$M,"E")*SUMIFS($J:$J,$E:$E,"VRAI",$H:$H,"E",$I:$I,"D2")</f>
        <v>0</v>
      </c>
      <c r="AW45" s="17">
        <f>SUMIFS($D:$D,$E:$E,"FAUX",$G:$G,"G6",$M:$M,"F",$N:$N,"G*")*SUMIFS($J:$J,$E:$E,"VRAI",$F:$F,"F",$M:$M,"D")*SUMIFS($J:$J,$E:$E,"VRAI",$F:$F,"G",$M:$M,"E")*SUMIFS($J:$J,$E:$E,"VRAI",$H:$H,"E",$I:$I,"D3")</f>
        <v>0</v>
      </c>
      <c r="AX45" s="17">
        <f>SUMIFS($D:$D,$E:$E,"FAUX",$G:$G,"G6",$M:$M,"F",$N:$N,"G*")*SUMIFS($J:$J,$E:$E,"VRAI",$F:$F,"F",$M:$M,"D")*SUMIFS($J:$J,$E:$E,"VRAI",$F:$F,"G",$M:$M,"E")*SUMIFS($J:$J,$E:$E,"VRAI",$H:$H,"E",$I:$I,"D4")</f>
        <v>0</v>
      </c>
      <c r="AY45" s="17">
        <f>SUMIFS($D:$D,$E:$E,"FAUX",$G:$G,"G6",$M:$M,"F",$N:$N,"G*")*SUMIFS($J:$J,$E:$E,"VRAI",$F:$F,"F",$M:$M,"D")*SUMIFS($J:$J,$E:$E,"VRAI",$F:$F,"G",$M:$M,"E")*SUMIFS($J:$J,$E:$E,"VRAI",$H:$H,"E",$I:$I,"D5")</f>
        <v>0</v>
      </c>
      <c r="AZ45" s="18">
        <f>SUMIFS($D:$D,$E:$E,"FAUX",$G:$G,"G6",$M:$M,"F",$N:$N,"G*")*SUMIFS($J:$J,$E:$E,"VRAI",$F:$F,"F",$M:$M,"D")*SUMIFS($J:$J,$E:$E,"VRAI",$F:$F,"G",$M:$M,"E")*SUMIFS($J:$J,$E:$E,"VRAI",$H:$H,"E",$I:$I,"D6")</f>
        <v>0</v>
      </c>
      <c r="BA45" s="16">
        <f>SUMIFS($D:$D,$E:$E,"FAUX",$G:$G,"G6",$M:$M,"F",$N:$N,"G*")*SUMIFS($J:$J,$E:$E,"VRAI",$F:$F,"G",$M:$M,"E")*SUMIFS($J:$J,$E:$E,"VRAI",$I:$I,"E1",$F:$F,"F")</f>
        <v>0</v>
      </c>
      <c r="BB45" s="17">
        <f>SUMIFS($D:$D,$E:$E,"FAUX",$G:$G,"G6",$M:$M,"F",$N:$N,"G*")*SUMIFS($J:$J,$E:$E,"VRAI",$F:$F,"G",$M:$M,"E")*SUMIFS($J:$J,$E:$E,"VRAI",$I:$I,"E2",$F:$F,"F")</f>
        <v>0</v>
      </c>
      <c r="BC45" s="17">
        <f>SUMIFS($D:$D,$E:$E,"FAUX",$G:$G,"G6",$M:$M,"F",$N:$N,"G*")*SUMIFS($J:$J,$E:$E,"VRAI",$F:$F,"G",$M:$M,"E")*SUMIFS($J:$J,$E:$E,"VRAI",$I:$I,"E3",$F:$F,"F")</f>
        <v>0</v>
      </c>
      <c r="BD45" s="17">
        <f>SUMIFS($D:$D,$E:$E,"FAUX",$G:$G,"G6",$M:$M,"F",$N:$N,"G*")*SUMIFS($J:$J,$E:$E,"VRAI",$F:$F,"G",$M:$M,"E")*SUMIFS($J:$J,$E:$E,"VRAI",$I:$I,"E4",$F:$F,"F")</f>
        <v>0</v>
      </c>
      <c r="BE45" s="17">
        <f>SUMIFS($D:$D,$E:$E,"FAUX",$G:$G,"G6",$M:$M,"F",$N:$N,"G*")*SUMIFS($J:$J,$E:$E,"VRAI",$F:$F,"G",$M:$M,"E")*SUMIFS($J:$J,$E:$E,"VRAI",$I:$I,"E5",$F:$F,"F")</f>
        <v>0</v>
      </c>
      <c r="BF45" s="18">
        <f>SUMIFS($D:$D,$E:$E,"FAUX",$G:$G,"G6",$M:$M,"F",$N:$N,"G*")*SUMIFS($J:$J,$E:$E,"VRAI",$F:$F,"G",$M:$M,"E")*SUMIFS($J:$J,$E:$E,"VRAI",$I:$I,"E6",$F:$F,"F")</f>
        <v>0</v>
      </c>
      <c r="BG45" s="16">
        <f>SUMIFS($D:$D,$E:$E,"FAUX",$G:$G,"G6",$M:$M,"E",$N:$N,"G*")*SUMIFS($J:$J,$E:$E,"VRAI",$I:$I,"F1",$F:$F,"G")</f>
        <v>0</v>
      </c>
      <c r="BH45" s="17">
        <f>SUMIFS($D:$D,$E:$E,"FAUX",$G:$G,"G6",$M:$M,"E",$N:$N,"G*")*SUMIFS($J:$J,$E:$E,"VRAI",$I:$I,"F2",$F:$F,"G")</f>
        <v>0</v>
      </c>
      <c r="BI45" s="17">
        <f>SUMIFS($D:$D,$E:$E,"FAUX",$G:$G,"G6",$M:$M,"E",$N:$N,"G*")*SUMIFS($J:$J,$E:$E,"VRAI",$I:$I,"F3",$F:$F,"G")</f>
        <v>0</v>
      </c>
      <c r="BJ45" s="17">
        <f>SUMIFS($D:$D,$E:$E,"FAUX",$G:$G,"G6",$M:$M,"E",$N:$N,"G*")*SUMIFS($J:$J,$E:$E,"VRAI",$I:$I,"F4",$F:$F,"G")</f>
        <v>0</v>
      </c>
      <c r="BK45" s="17">
        <f>SUMIFS($D:$D,$E:$E,"FAUX",$G:$G,"G6",$M:$M,"E",$N:$N,"G*")*SUMIFS($J:$J,$E:$E,"VRAI",$I:$I,"F5",$F:$F,"G")</f>
        <v>0</v>
      </c>
      <c r="BL45" s="18">
        <f>SUMIFS($D:$D,$E:$E,"FAUX",$G:$G,"G6",$M:$M,"E",$N:$N,"G*")*SUMIFS($J:$J,$E:$E,"VRAI",$I:$I,"F6",$F:$F,"G")</f>
        <v>0</v>
      </c>
      <c r="BM45" s="54">
        <f>SUMIFS($D:$D,$O:$O,"G_6_1")</f>
        <v>0</v>
      </c>
      <c r="BN45" s="54">
        <f>SUMIFS($D:$D,$O:$O,"G_6_2")</f>
        <v>0</v>
      </c>
      <c r="BO45" s="54">
        <f>SUMIFS($D:$D,$O:$O,"G_6_3")</f>
        <v>0</v>
      </c>
      <c r="BP45" s="54">
        <f>SUMIFS($D:$D,$O:$O,"G_6_4")</f>
        <v>0</v>
      </c>
      <c r="BQ45" s="54">
        <f>SUMIFS($D:$D,$O:$O,"G_6_5")</f>
        <v>0</v>
      </c>
      <c r="BR45" s="55">
        <f>SUMIFS($D:$D,$O:$O,"G_6_6")</f>
        <v>0</v>
      </c>
      <c r="BS45" s="33">
        <f>SUMIFS($D:$D,$E:$E,"FAUX",$G:$G,"G6",$M:$M,"H",$N:$N,"G*")*SUMIFS($J:$J,$O:$O,"H_1_1")</f>
        <v>0</v>
      </c>
      <c r="BT45" s="29">
        <f>SUMIFS($D:$D,$E:$E,"FAUX",$G:$G,"G6",$M:$M,"H",$N:$N,"G*")*SUMIFS($J:$J,$O:$O,"H_1_2")</f>
        <v>0</v>
      </c>
      <c r="BU45" s="29">
        <f>SUMIFS($D:$D,$E:$E,"FAUX",$G:$G,"G6",$M:$M,"H",$N:$N,"G*")*SUMIFS($J:$J,$O:$O,"H_1_3")</f>
        <v>0</v>
      </c>
      <c r="BV45" s="29">
        <f>SUMIFS($D:$D,$E:$E,"FAUX",$G:$G,"G6",$M:$M,"H",$N:$N,"G*")*SUMIFS($J:$J,$O:$O,"H_1_4")</f>
        <v>0</v>
      </c>
      <c r="BW45" s="29">
        <f>SUMIFS($D:$D,$E:$E,"FAUX",$G:$G,"G6",$M:$M,"H",$N:$N,"G*")*SUMIFS($J:$J,$O:$O,"H_1_5")</f>
        <v>0</v>
      </c>
      <c r="BX45" s="29">
        <f>SUMIFS($D:$D,$E:$E,"FAUX",$G:$G,"G6",$M:$M,"H",$N:$N,"G*")*SUMIFS($J:$J,$O:$O,"H_1_6")</f>
        <v>0</v>
      </c>
      <c r="BY45" s="49">
        <f>SUMIFS($D:$D,$E:$E,"FAUX",$G:$G,"G6",$M:$M,"F",$N:$N,"E*")*SUMIFS($J:$J,$E:$E,"VRAI",$F:$F,"G",$M:$M,"I")*SUMIFS($J:$J,$E:$E,"VRAI",$F:$F,"H",$I:$I,"I1")</f>
        <v>0</v>
      </c>
      <c r="BZ45" s="50">
        <f>SUMIFS($D:$D,$E:$E,"FAUX",$G:$G,"G6",$M:$M,"F",$N:$N,"E*")*SUMIFS($J:$J,$E:$E,"VRAI",$F:$F,"G",$M:$M,"I")*SUMIFS($J:$J,$E:$E,"VRAI",$F:$F,"H",$I:$I,"I2")</f>
        <v>0</v>
      </c>
      <c r="CA45" s="50">
        <f>SUMIFS($D:$D,$E:$E,"FAUX",$G:$G,"G6",$M:$M,"F",$N:$N,"E*")*SUMIFS($J:$J,$E:$E,"VRAI",$F:$F,"G",$M:$M,"I")*SUMIFS($J:$J,$E:$E,"VRAI",$F:$F,"H",$I:$I,"I3")</f>
        <v>0</v>
      </c>
      <c r="CB45" s="50">
        <f>SUMIFS($D:$D,$E:$E,"FAUX",$G:$G,"G6",$M:$M,"F",$N:$N,"E*")*SUMIFS($J:$J,$E:$E,"VRAI",$F:$F,"G",$M:$M,"I")*SUMIFS($J:$J,$E:$E,"VRAI",$F:$F,"H",$I:$I,"I4")</f>
        <v>0</v>
      </c>
      <c r="CC45" s="50">
        <f>SUMIFS($D:$D,$E:$E,"FAUX",$G:$G,"G6",$M:$M,"F",$N:$N,"E*")*SUMIFS($J:$J,$E:$E,"VRAI",$F:$F,"G",$M:$M,"I")*SUMIFS($J:$J,$E:$E,"VRAI",$F:$F,"H",$I:$I,"I5")</f>
        <v>0</v>
      </c>
      <c r="CD45" s="50">
        <f>SUMIFS($D:$D,$E:$E,"FAUX",$G:$G,"G6",$M:$M,"F",$N:$N,"E*")*SUMIFS($J:$J,$E:$E,"VRAI",$F:$F,"G",$M:$M,"I")*SUMIFS($J:$J,$E:$E,"VRAI",$F:$F,"H",$I:$I,"I6")</f>
        <v>0</v>
      </c>
      <c r="CE45" s="49">
        <f>SUMIFS($D:$D,$E:$E,"FAUX",$G:$G,"G6",$M:$M,"F",$N:$N,"E*")*SUMIFS($J:$J,$E:$E,"VRAI",$F:$F,"G",$M:$M,"I")*SUMIFS($J:$J,$E:$E,"VRAI",$F:$F,"H",$M:$M,"J")*SUMIFS($J:$J,$E:$E,"VRAI",$F:$F,"I",$I:$I,"J1")</f>
        <v>0</v>
      </c>
      <c r="CF45" s="50">
        <f>SUMIFS($D:$D,$E:$E,"FAUX",$G:$G,"G6",$M:$M,"F",$N:$N,"E*")*SUMIFS($J:$J,$E:$E,"VRAI",$F:$F,"G",$M:$M,"I")*SUMIFS($J:$J,$E:$E,"VRAI",$F:$F,"H",$M:$M,"J")*SUMIFS($J:$J,$E:$E,"VRAI",$F:$F,"I",$I:$I,"J2")</f>
        <v>0</v>
      </c>
      <c r="CG45" s="50">
        <f>SUMIFS($D:$D,$E:$E,"FAUX",$G:$G,"G6",$M:$M,"F",$N:$N,"E*")*SUMIFS($J:$J,$E:$E,"VRAI",$F:$F,"G",$M:$M,"I")*SUMIFS($J:$J,$E:$E,"VRAI",$F:$F,"H",$M:$M,"J")*SUMIFS($J:$J,$E:$E,"VRAI",$F:$F,"I",$I:$I,"J3")</f>
        <v>0</v>
      </c>
      <c r="CH45" s="50">
        <f>SUMIFS($D:$D,$E:$E,"FAUX",$G:$G,"G6",$M:$M,"F",$N:$N,"E*")*SUMIFS($J:$J,$E:$E,"VRAI",$F:$F,"G",$M:$M,"I")*SUMIFS($J:$J,$E:$E,"VRAI",$F:$F,"H",$M:$M,"J")*SUMIFS($J:$J,$E:$E,"VRAI",$F:$F,"I",$I:$I,"J4")</f>
        <v>0</v>
      </c>
      <c r="CI45" s="50">
        <f>SUMIFS($D:$D,$E:$E,"FAUX",$G:$G,"G6",$M:$M,"F",$N:$N,"E*")*SUMIFS($J:$J,$E:$E,"VRAI",$F:$F,"G",$M:$M,"I")*SUMIFS($J:$J,$E:$E,"VRAI",$F:$F,"H",$M:$M,"J")*SUMIFS($J:$J,$E:$E,"VRAI",$F:$F,"I",$I:$I,"J5")</f>
        <v>0</v>
      </c>
      <c r="CJ45" s="50">
        <f>SUMIFS($D:$D,$E:$E,"FAUX",$G:$G,"G6",$M:$M,"F",$N:$N,"E*")*SUMIFS($J:$J,$E:$E,"VRAI",$F:$F,"G",$M:$M,"I")*SUMIFS($J:$J,$E:$E,"VRAI",$F:$F,"H",$M:$M,"J")*SUMIFS($J:$J,$E:$E,"VRAI",$F:$F,"I",$I:$I,"J6")</f>
        <v>0</v>
      </c>
      <c r="CK45" s="49">
        <f>SUMIFS($D:$D,$E:$E,"FAUX",$G:$G,"G6",$M:$M,"F",$N:$N,"E*")*SUMIFS($J:$J,$E:$E,"VRAI",$F:$F,"G",$M:$M,"I")*SUMIFS($J:$J,$E:$E,"VRAI",$F:$F,"H",$M:$M,"J")*SUMIFS($J:$J,$E:$E,"VRAI",$F:$F,"I",$M:$M,"K")*SUMIFS($J:$J,$E:$E,"VRAI",$F:$F,"J",$I:$I,"K1")</f>
        <v>0</v>
      </c>
      <c r="CL45" s="50">
        <f>SUMIFS($D:$D,$E:$E,"FAUX",$G:$G,"G6",$M:$M,"F",$N:$N,"E*")*SUMIFS($J:$J,$E:$E,"VRAI",$F:$F,"G",$M:$M,"I")*SUMIFS($J:$J,$E:$E,"VRAI",$F:$F,"H",$M:$M,"J")*SUMIFS($J:$J,$E:$E,"VRAI",$F:$F,"I",$M:$M,"K")*SUMIFS($J:$J,$E:$E,"VRAI",$F:$F,"J",$I:$I,"K2")</f>
        <v>0</v>
      </c>
      <c r="CM45" s="50">
        <f>SUMIFS($D:$D,$E:$E,"FAUX",$G:$G,"G6",$M:$M,"F",$N:$N,"E*")*SUMIFS($J:$J,$E:$E,"VRAI",$F:$F,"G",$M:$M,"I")*SUMIFS($J:$J,$E:$E,"VRAI",$F:$F,"H",$M:$M,"J")*SUMIFS($J:$J,$E:$E,"VRAI",$F:$F,"I",$M:$M,"K")*SUMIFS($J:$J,$E:$E,"VRAI",$F:$F,"J",$I:$I,"K3")</f>
        <v>0</v>
      </c>
      <c r="CN45" s="50">
        <f>SUMIFS($D:$D,$E:$E,"FAUX",$G:$G,"G6",$M:$M,"F",$N:$N,"E*")*SUMIFS($J:$J,$E:$E,"VRAI",$F:$F,"G",$M:$M,"I")*SUMIFS($J:$J,$E:$E,"VRAI",$F:$F,"H",$M:$M,"J")*SUMIFS($J:$J,$E:$E,"VRAI",$F:$F,"I",$M:$M,"K")*SUMIFS($J:$J,$E:$E,"VRAI",$F:$F,"J",$I:$I,"K4")</f>
        <v>0</v>
      </c>
      <c r="CO45" s="50">
        <f>SUMIFS($D:$D,$E:$E,"FAUX",$G:$G,"G6",$M:$M,"F",$N:$N,"E*")*SUMIFS($J:$J,$E:$E,"VRAI",$F:$F,"G",$M:$M,"I")*SUMIFS($J:$J,$E:$E,"VRAI",$F:$F,"H",$M:$M,"J")*SUMIFS($J:$J,$E:$E,"VRAI",$F:$F,"I",$M:$M,"K")*SUMIFS($J:$J,$E:$E,"VRAI",$F:$F,"J",$I:$I,"K5")</f>
        <v>0</v>
      </c>
      <c r="CP45" s="51">
        <f>SUMIFS($D:$D,$E:$E,"FAUX",$G:$G,"G6",$M:$M,"F",$N:$N,"E*")*SUMIFS($J:$J,$E:$E,"VRAI",$F:$F,"G",$M:$M,"I")*SUMIFS($J:$J,$E:$E,"VRAI",$F:$F,"H",$M:$M,"J")*SUMIFS($J:$J,$E:$E,"VRAI",$F:$F,"I",$M:$M,"K")*SUMIFS($J:$J,$E:$E,"VRAI",$F:$F,"J",$I:$I,"K6")</f>
        <v>0</v>
      </c>
    </row>
    <row r="46" spans="1:94">
      <c r="A46" s="35" t="s">
        <v>10</v>
      </c>
      <c r="B46" s="35">
        <v>1</v>
      </c>
      <c r="C46" s="35">
        <v>3</v>
      </c>
      <c r="D46" s="35">
        <v>777</v>
      </c>
      <c r="E46" s="35" t="b">
        <v>1</v>
      </c>
      <c r="F46" s="35" t="s">
        <v>9</v>
      </c>
      <c r="G46" s="53" t="str">
        <f t="shared" si="0"/>
        <v>C1</v>
      </c>
      <c r="H46" s="52" t="str">
        <f t="shared" si="5"/>
        <v>B</v>
      </c>
      <c r="I46" s="41" t="str">
        <f t="shared" si="1"/>
        <v>C3</v>
      </c>
      <c r="J46" s="42">
        <f t="shared" si="2"/>
        <v>1</v>
      </c>
      <c r="K46" s="41">
        <f t="shared" si="6"/>
        <v>777</v>
      </c>
      <c r="L46" s="41" t="str">
        <f t="shared" si="3"/>
        <v>C1</v>
      </c>
      <c r="M46" s="41" t="str">
        <f t="shared" si="7"/>
        <v>D</v>
      </c>
      <c r="N46" s="41" t="str">
        <f>IFERROR(VLOOKUP(I46,L46:L:L,1,FALSE),"")</f>
        <v>C3</v>
      </c>
      <c r="O46" s="56" t="str">
        <f t="shared" si="8"/>
        <v>C_1_3</v>
      </c>
      <c r="U46" t="s">
        <v>53</v>
      </c>
      <c r="V46">
        <f>SUMIFS(D:D,A:A,"F",B:B,"3")</f>
        <v>1612</v>
      </c>
      <c r="Z46" t="str">
        <f t="shared" si="9"/>
        <v>H1</v>
      </c>
      <c r="AA46" t="str">
        <f t="shared" si="10"/>
        <v>H1</v>
      </c>
      <c r="AB46" t="s">
        <v>63</v>
      </c>
      <c r="AC46" s="46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0</v>
      </c>
      <c r="AD46" s="47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46" s="47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0</v>
      </c>
      <c r="AF46" s="47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46" s="47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46" s="47">
        <f>SUMIFS($D:$D,$E:$E,"FAUX",$G:$G,"H1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46" s="13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0</v>
      </c>
      <c r="AJ46" s="14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46" s="14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46" s="14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0</v>
      </c>
      <c r="AM46" s="14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46" s="14">
        <f>SUMIFS($D:$D,$E:$E,"FAUX",$G:$G,"H1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46" s="43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1")</f>
        <v>0</v>
      </c>
      <c r="AP46" s="44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46" s="44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46" s="44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46" s="44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46" s="45">
        <f>SUMIFS($D:$D,$E:$E,"FAUX",$G:$G,"H1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46" s="43">
        <f>SUMIFS($D:$D,$E:$E,"FAUX",$G:$G,"H1",$M:$M,"G",$N:$N,"H*")*SUMIFS($J:$J,$E:$E,"VRAI",$F:$F,"F",$M:$M,"D")*SUMIFS($J:$J,$E:$E,"VRAI",$F:$F,"G",$M:$M,"E")*SUMIFS($J:$J,$E:$E,"VRAI",$F:$F,"H",$M:$M,"F")*SUMIFS($J:$J,$E:$E,"VRAI",$H:$H,"E",$I:$I,"D1")</f>
        <v>0</v>
      </c>
      <c r="AV46" s="44">
        <f>SUMIFS($D:$D,$E:$E,"FAUX",$G:$G,"H1",$M:$M,"G",$N:$N,"H*")*SUMIFS($J:$J,$E:$E,"VRAI",$F:$F,"F",$M:$M,"D")*SUMIFS($J:$J,$E:$E,"VRAI",$F:$F,"G",$M:$M,"E")*SUMIFS($J:$J,$E:$E,"VRAI",$F:$F,"H",$M:$M,"F")*SUMIFS($J:$J,$E:$E,"VRAI",$H:$H,"E",$I:$I,"D2")</f>
        <v>0</v>
      </c>
      <c r="AW46" s="44">
        <f>SUMIFS($D:$D,$E:$E,"FAUX",$G:$G,"H1",$M:$M,"G",$N:$N,"H*")*SUMIFS($J:$J,$E:$E,"VRAI",$F:$F,"F",$M:$M,"D")*SUMIFS($J:$J,$E:$E,"VRAI",$F:$F,"G",$M:$M,"E")*SUMIFS($J:$J,$E:$E,"VRAI",$F:$F,"H",$M:$M,"F")*SUMIFS($J:$J,$E:$E,"VRAI",$H:$H,"E",$I:$I,"D3")</f>
        <v>0</v>
      </c>
      <c r="AX46" s="44">
        <f>SUMIFS($D:$D,$E:$E,"FAUX",$G:$G,"H1",$M:$M,"G",$N:$N,"H*")*SUMIFS($J:$J,$E:$E,"VRAI",$F:$F,"F",$M:$M,"D")*SUMIFS($J:$J,$E:$E,"VRAI",$F:$F,"G",$M:$M,"E")*SUMIFS($J:$J,$E:$E,"VRAI",$F:$F,"H",$M:$M,"F")*SUMIFS($J:$J,$E:$E,"VRAI",$H:$H,"E",$I:$I,"D4")</f>
        <v>0</v>
      </c>
      <c r="AY46" s="44">
        <f>SUMIFS($D:$D,$E:$E,"FAUX",$G:$G,"H1",$M:$M,"G",$N:$N,"H*")*SUMIFS($J:$J,$E:$E,"VRAI",$F:$F,"F",$M:$M,"D")*SUMIFS($J:$J,$E:$E,"VRAI",$F:$F,"G",$M:$M,"E")*SUMIFS($J:$J,$E:$E,"VRAI",$F:$F,"H",$M:$M,"F")*SUMIFS($J:$J,$E:$E,"VRAI",$H:$H,"E",$I:$I,"D5")</f>
        <v>0</v>
      </c>
      <c r="AZ46" s="45">
        <f>SUMIFS($D:$D,$E:$E,"FAUX",$G:$G,"H1",$M:$M,"G",$N:$N,"H*")*SUMIFS($J:$J,$E:$E,"VRAI",$F:$F,"F",$M:$M,"D")*SUMIFS($J:$J,$E:$E,"VRAI",$F:$F,"G",$M:$M,"E")*SUMIFS($J:$J,$E:$E,"VRAI",$F:$F,"H",$M:$M,"F")*SUMIFS($J:$J,$E:$E,"VRAI",$H:$H,"E",$I:$I,"D6")</f>
        <v>0</v>
      </c>
      <c r="BA46" s="43">
        <f>SUMIFS($D:$D,$E:$E,"FAUX",$G:$G,"H1",$M:$M,"G",$N:$N,"H*")*SUMIFS($J:$J,$E:$E,"VRAI",$F:$F,"G",$M:$M,"E")*SUMIFS($J:$J,$E:$E,"VRAI",$F:$F,"H",$M:$M,"F")*SUMIFS($J:$J,$E:$E,"VRAI",$I:$I,"E1",$F:$F,"F")</f>
        <v>0</v>
      </c>
      <c r="BB46" s="44">
        <f>SUMIFS($D:$D,$E:$E,"FAUX",$G:$G,"H1",$M:$M,"G",$N:$N,"H*")*SUMIFS($J:$J,$E:$E,"VRAI",$F:$F,"G",$M:$M,"E")*SUMIFS($J:$J,$E:$E,"VRAI",$F:$F,"H",$M:$M,"F")*SUMIFS($J:$J,$E:$E,"VRAI",$I:$I,"E2",$F:$F,"F")</f>
        <v>0</v>
      </c>
      <c r="BC46" s="44">
        <f>SUMIFS($D:$D,$E:$E,"FAUX",$G:$G,"H1",$M:$M,"G",$N:$N,"H*")*SUMIFS($J:$J,$E:$E,"VRAI",$F:$F,"G",$M:$M,"E")*SUMIFS($J:$J,$E:$E,"VRAI",$F:$F,"H",$M:$M,"F")*SUMIFS($J:$J,$E:$E,"VRAI",$I:$I,"E3",$F:$F,"F")</f>
        <v>0</v>
      </c>
      <c r="BD46" s="44">
        <f>SUMIFS($D:$D,$E:$E,"FAUX",$G:$G,"H1",$M:$M,"G",$N:$N,"H*")*SUMIFS($J:$J,$E:$E,"VRAI",$F:$F,"G",$M:$M,"E")*SUMIFS($J:$J,$E:$E,"VRAI",$F:$F,"H",$M:$M,"F")*SUMIFS($J:$J,$E:$E,"VRAI",$I:$I,"E4",$F:$F,"F")</f>
        <v>0</v>
      </c>
      <c r="BE46" s="44">
        <f>SUMIFS($D:$D,$E:$E,"FAUX",$G:$G,"H1",$M:$M,"G",$N:$N,"H*")*SUMIFS($J:$J,$E:$E,"VRAI",$F:$F,"G",$M:$M,"E")*SUMIFS($J:$J,$E:$E,"VRAI",$F:$F,"H",$M:$M,"F")*SUMIFS($J:$J,$E:$E,"VRAI",$I:$I,"E5",$F:$F,"F")</f>
        <v>0</v>
      </c>
      <c r="BF46" s="45">
        <f>SUMIFS($D:$D,$E:$E,"FAUX",$G:$G,"H1",$M:$M,"G",$N:$N,"H*")*SUMIFS($J:$J,$E:$E,"VRAI",$F:$F,"G",$M:$M,"E")*SUMIFS($J:$J,$E:$E,"VRAI",$F:$F,"H",$M:$M,"F")*SUMIFS($J:$J,$E:$E,"VRAI",$I:$I,"E6",$F:$F,"F")</f>
        <v>0</v>
      </c>
      <c r="BG46" s="43">
        <f>SUMIFS($D:$D,$E:$E,"FAUX",$G:$G,"H1",$M:$M,"G",$N:$N,"H*")*SUMIFS($J:$J,$E:$E,"VRAI",$F:$F,"H",$M:$M,"F")*SUMIFS($J:$J,$E:$E,"VRAI",$I:$I,"F1",$F:$F,"G")</f>
        <v>0</v>
      </c>
      <c r="BH46" s="44">
        <f>SUMIFS($D:$D,$E:$E,"FAUX",$G:$G,"H1",$M:$M,"G",$N:$N,"H*")*SUMIFS($J:$J,$E:$E,"VRAI",$F:$F,"H",$M:$M,"F")*SUMIFS($J:$J,$E:$E,"VRAI",$I:$I,"F2",$F:$F,"G")</f>
        <v>0</v>
      </c>
      <c r="BI46" s="44">
        <f>SUMIFS($D:$D,$E:$E,"FAUX",$G:$G,"H1",$M:$M,"G",$N:$N,"H*")*SUMIFS($J:$J,$E:$E,"VRAI",$F:$F,"H",$M:$M,"F")*SUMIFS($J:$J,$E:$E,"VRAI",$I:$I,"F3",$F:$F,"G")</f>
        <v>0</v>
      </c>
      <c r="BJ46" s="44">
        <f>SUMIFS($D:$D,$E:$E,"FAUX",$G:$G,"H1",$M:$M,"G",$N:$N,"H*")*SUMIFS($J:$J,$E:$E,"VRAI",$F:$F,"H",$M:$M,"F")*SUMIFS($J:$J,$E:$E,"VRAI",$I:$I,"F4",$F:$F,"G")</f>
        <v>0</v>
      </c>
      <c r="BK46" s="44">
        <f>SUMIFS($D:$D,$E:$E,"FAUX",$G:$G,"H1",$M:$M,"G",$N:$N,"H*")*SUMIFS($J:$J,$E:$E,"VRAI",$F:$F,"H",$M:$M,"F")*SUMIFS($J:$J,$E:$E,"VRAI",$I:$I,"F5",$F:$F,"G")</f>
        <v>0</v>
      </c>
      <c r="BL46" s="45">
        <f>SUMIFS($D:$D,$E:$E,"FAUX",$G:$G,"H1",$M:$M,"G",$N:$N,"H*")*SUMIFS($J:$J,$E:$E,"VRAI",$F:$F,"H",$M:$M,"F")*SUMIFS($J:$J,$E:$E,"VRAI",$I:$I,"F6",$F:$F,"G")</f>
        <v>0</v>
      </c>
      <c r="BM46" s="25">
        <f>SUMIFS($D:$D,$E:$E,"FAUX",$G:$G,"H1",$M:$M,"G",$N:$N,"H*")*SUMIFS($J:$J,$E:$E,"VRAI",$I:$I,"G1",$F:$F,"H")</f>
        <v>0</v>
      </c>
      <c r="BN46" s="25">
        <f>SUMIFS($D:$D,$E:$E,"FAUX",$G:$G,"H1",$M:$M,"G",$N:$N,"H*")*SUMIFS($J:$J,$E:$E,"VRAI",$I:$I,"G2",$F:$F,"H")</f>
        <v>0</v>
      </c>
      <c r="BO46" s="25">
        <f>SUMIFS($D:$D,$E:$E,"FAUX",$G:$G,"H1",$M:$M,"G",$N:$N,"H*")*SUMIFS($J:$J,$E:$E,"VRAI",$I:$I,"G3",$F:$F,"H")</f>
        <v>0</v>
      </c>
      <c r="BP46" s="25">
        <f>SUMIFS($D:$D,$E:$E,"FAUX",$G:$G,"H1",$M:$M,"G",$N:$N,"H*")*SUMIFS($J:$J,$E:$E,"VRAI",$I:$I,"G4",$F:$F,"H")</f>
        <v>0</v>
      </c>
      <c r="BQ46" s="25">
        <f>SUMIFS($D:$D,$E:$E,"FAUX",$G:$G,"H1",$M:$M,"G",$N:$N,"H*")*SUMIFS($J:$J,$E:$E,"VRAI",$I:$I,"G5",$F:$F,"H")</f>
        <v>0</v>
      </c>
      <c r="BR46" s="26">
        <f>SUMIFS($D:$D,$E:$E,"FAUX",$G:$G,"H1",$M:$M,"G",$N:$N,"H*")*SUMIFS($J:$J,$E:$E,"VRAI",$I:$I,"G6",$F:$F,"H")</f>
        <v>0</v>
      </c>
      <c r="BS46" s="38">
        <f>SUMIFS($D:$D,$O:$O,"H_1_1")</f>
        <v>0</v>
      </c>
      <c r="BT46" s="38">
        <f>SUMIFS($D:$D,$O:$O,"H_1_2")</f>
        <v>0</v>
      </c>
      <c r="BU46" s="38">
        <f>SUMIFS($D:$D,$O:$O,"H_1_3")</f>
        <v>1045</v>
      </c>
      <c r="BV46" s="38">
        <f>SUMIFS($D:$D,$O:$O,"H_1_4")</f>
        <v>103</v>
      </c>
      <c r="BW46" s="38">
        <f>SUMIFS($D:$D,$O:$O,"H_1_5")</f>
        <v>0</v>
      </c>
      <c r="BX46" s="37">
        <f>SUMIFS($D:$D,$O:$O,"H_1_6")</f>
        <v>0</v>
      </c>
      <c r="BY46" s="31">
        <f>SUMIFS($D:$D,$E:$E,"FAUX",$G:$G,"I1",$M:$M,"J",$N:$N,"I*")*SUMIFS($J:$J,$O:$O,"I_1_1")</f>
        <v>0</v>
      </c>
      <c r="BZ46" s="27">
        <f>SUMIFS($D:$D,$E:$E,"FAUX",$G:$G,"I1",$M:$M,"J",$N:$N,"I*")*SUMIFS($J:$J,$O:$O,"I_1_2")</f>
        <v>0</v>
      </c>
      <c r="CA46" s="27">
        <f>SUMIFS($D:$D,$E:$E,"FAUX",$G:$G,"I1",$M:$M,"J",$N:$N,"I*")*SUMIFS($J:$J,$O:$O,"I_1_3")</f>
        <v>0</v>
      </c>
      <c r="CB46" s="27">
        <f>SUMIFS($D:$D,$E:$E,"FAUX",$G:$G,"I1",$M:$M,"J",$N:$N,"I*")*SUMIFS($J:$J,$O:$O,"I_1_4")</f>
        <v>0</v>
      </c>
      <c r="CC46" s="27">
        <f>SUMIFS($D:$D,$E:$E,"FAUX",$G:$G,"I1",$M:$M,"J",$N:$N,"I*")*SUMIFS($J:$J,$O:$O,"I_1_5")</f>
        <v>0</v>
      </c>
      <c r="CD46" s="27">
        <f>SUMIFS($D:$D,$E:$E,"FAUX",$G:$G,"I1",$M:$M,"J",$N:$N,"I*")*SUMIFS($J:$J,$O:$O,"I_1_6")</f>
        <v>0</v>
      </c>
      <c r="CE46" s="43">
        <f>SUMIFS($D:$D,$E:$E,"FAUX",$G:$G,"E1",$M:$M,"F",$N:$N,"E*")*SUMIFS($J:$J,$E:$E,"VRAI",$F:$F,"H",$M:$M,"J")*SUMIFS($J:$J,$E:$E,"VRAI",$F:$F,"I",$I:$I,"J1")</f>
        <v>0</v>
      </c>
      <c r="CF46" s="44">
        <f>SUMIFS($D:$D,$E:$E,"FAUX",$G:$G,"E1",$M:$M,"F",$N:$N,"E*")*SUMIFS($J:$J,$E:$E,"VRAI",$F:$F,"H",$M:$M,"J")*SUMIFS($J:$J,$E:$E,"VRAI",$F:$F,"I",$I:$I,"J2")</f>
        <v>0</v>
      </c>
      <c r="CG46" s="44">
        <f>SUMIFS($D:$D,$E:$E,"FAUX",$G:$G,"E1",$M:$M,"F",$N:$N,"E*")*SUMIFS($J:$J,$E:$E,"VRAI",$F:$F,"H",$M:$M,"J")*SUMIFS($J:$J,$E:$E,"VRAI",$F:$F,"I",$I:$I,"J3")</f>
        <v>0</v>
      </c>
      <c r="CH46" s="44">
        <f>SUMIFS($D:$D,$E:$E,"FAUX",$G:$G,"E1",$M:$M,"F",$N:$N,"E*")*SUMIFS($J:$J,$E:$E,"VRAI",$F:$F,"H",$M:$M,"J")*SUMIFS($J:$J,$E:$E,"VRAI",$F:$F,"I",$I:$I,"J4")</f>
        <v>0</v>
      </c>
      <c r="CI46" s="44">
        <f>SUMIFS($D:$D,$E:$E,"FAUX",$G:$G,"E1",$M:$M,"F",$N:$N,"E*")*SUMIFS($J:$J,$E:$E,"VRAI",$F:$F,"H",$M:$M,"J")*SUMIFS($J:$J,$E:$E,"VRAI",$F:$F,"I",$I:$I,"J5")</f>
        <v>0</v>
      </c>
      <c r="CJ46" s="44">
        <f>SUMIFS($D:$D,$E:$E,"FAUX",$G:$G,"E1",$M:$M,"F",$N:$N,"E*")*SUMIFS($J:$J,$E:$E,"VRAI",$F:$F,"H",$M:$M,"J")*SUMIFS($J:$J,$E:$E,"VRAI",$F:$F,"I",$I:$I,"J6")</f>
        <v>0</v>
      </c>
      <c r="CK46" s="43">
        <f>SUMIFS($D:$D,$E:$E,"FAUX",$G:$G,"E1",$M:$M,"F",$N:$N,"E*")*SUMIFS($J:$J,$E:$E,"VRAI",$F:$F,"H",$M:$M,"J")*SUMIFS($J:$J,$E:$E,"VRAI",$F:$F,"I",$M:$M,"K")*SUMIFS($J:$J,$E:$E,"VRAI",$F:$F,"J",$I:$I,"K1")</f>
        <v>0</v>
      </c>
      <c r="CL46" s="44">
        <f>SUMIFS($D:$D,$E:$E,"FAUX",$G:$G,"E1",$M:$M,"F",$N:$N,"E*")*SUMIFS($J:$J,$E:$E,"VRAI",$F:$F,"H",$M:$M,"J")*SUMIFS($J:$J,$E:$E,"VRAI",$F:$F,"I",$M:$M,"K")*SUMIFS($J:$J,$E:$E,"VRAI",$F:$F,"J",$I:$I,"K2")</f>
        <v>0</v>
      </c>
      <c r="CM46" s="44">
        <f>SUMIFS($D:$D,$E:$E,"FAUX",$G:$G,"E1",$M:$M,"F",$N:$N,"E*")*SUMIFS($J:$J,$E:$E,"VRAI",$F:$F,"H",$M:$M,"J")*SUMIFS($J:$J,$E:$E,"VRAI",$F:$F,"I",$M:$M,"K")*SUMIFS($J:$J,$E:$E,"VRAI",$F:$F,"J",$I:$I,"K3")</f>
        <v>0</v>
      </c>
      <c r="CN46" s="44">
        <f>SUMIFS($D:$D,$E:$E,"FAUX",$G:$G,"E1",$M:$M,"F",$N:$N,"E*")*SUMIFS($J:$J,$E:$E,"VRAI",$F:$F,"H",$M:$M,"J")*SUMIFS($J:$J,$E:$E,"VRAI",$F:$F,"I",$M:$M,"K")*SUMIFS($J:$J,$E:$E,"VRAI",$F:$F,"J",$I:$I,"K4")</f>
        <v>0</v>
      </c>
      <c r="CO46" s="44">
        <f>SUMIFS($D:$D,$E:$E,"FAUX",$G:$G,"E1",$M:$M,"F",$N:$N,"E*")*SUMIFS($J:$J,$E:$E,"VRAI",$F:$F,"H",$M:$M,"J")*SUMIFS($J:$J,$E:$E,"VRAI",$F:$F,"I",$M:$M,"K")*SUMIFS($J:$J,$E:$E,"VRAI",$F:$F,"J",$I:$I,"K5")</f>
        <v>0</v>
      </c>
      <c r="CP46" s="45">
        <f>SUMIFS($D:$D,$E:$E,"FAUX",$G:$G,"E1",$M:$M,"F",$N:$N,"E*")*SUMIFS($J:$J,$E:$E,"VRAI",$F:$F,"H",$M:$M,"J")*SUMIFS($J:$J,$E:$E,"VRAI",$F:$F,"I",$M:$M,"K")*SUMIFS($J:$J,$E:$E,"VRAI",$F:$F,"J",$I:$I,"K6")</f>
        <v>0</v>
      </c>
    </row>
    <row r="47" spans="1:94">
      <c r="A47" s="35" t="s">
        <v>10</v>
      </c>
      <c r="B47" s="35">
        <v>1</v>
      </c>
      <c r="C47" s="35">
        <v>1</v>
      </c>
      <c r="D47" s="35">
        <v>0</v>
      </c>
      <c r="E47" s="35" t="b">
        <v>1</v>
      </c>
      <c r="F47" s="35" t="s">
        <v>9</v>
      </c>
      <c r="G47" s="53" t="str">
        <f t="shared" si="0"/>
        <v>C1</v>
      </c>
      <c r="H47" s="52" t="str">
        <f t="shared" si="5"/>
        <v>B</v>
      </c>
      <c r="I47" s="41" t="str">
        <f t="shared" si="1"/>
        <v>C1</v>
      </c>
      <c r="J47" s="42">
        <f t="shared" si="2"/>
        <v>0</v>
      </c>
      <c r="K47" s="41">
        <f t="shared" si="6"/>
        <v>777</v>
      </c>
      <c r="L47" s="41" t="str">
        <f t="shared" si="3"/>
        <v>C1</v>
      </c>
      <c r="M47" s="41" t="str">
        <f t="shared" si="7"/>
        <v>B</v>
      </c>
      <c r="N47" s="41" t="str">
        <f>IFERROR(VLOOKUP(I47,L47:L:L,1,FALSE),"")</f>
        <v>C1</v>
      </c>
      <c r="O47" s="56" t="str">
        <f t="shared" si="8"/>
        <v>C_1_1</v>
      </c>
      <c r="U47" t="s">
        <v>54</v>
      </c>
      <c r="V47">
        <f>SUMIFS(D:D,A:A,"F",B:B,"4")</f>
        <v>423</v>
      </c>
      <c r="Z47" t="e">
        <f t="shared" si="9"/>
        <v>#N/A</v>
      </c>
      <c r="AA47" t="str">
        <f t="shared" si="10"/>
        <v>H2</v>
      </c>
      <c r="AB47" t="s">
        <v>64</v>
      </c>
      <c r="AC47" s="46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29.810327370378587</v>
      </c>
      <c r="AD47" s="47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47" s="47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18.899135710297028</v>
      </c>
      <c r="AF47" s="47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47" s="47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47" s="47">
        <f>SUMIFS($D:$D,$E:$E,"FAUX",$G:$G,"H2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47" s="16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48.709463080675611</v>
      </c>
      <c r="AJ47" s="17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47" s="17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47" s="17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3.9272370955538705</v>
      </c>
      <c r="AM47" s="17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47" s="17">
        <f>SUMIFS($D:$D,$E:$E,"FAUX",$G:$G,"H2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47" s="46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1")</f>
        <v>52.636700176229482</v>
      </c>
      <c r="AP47" s="47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47" s="47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47" s="47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47" s="47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47" s="48">
        <f>SUMIFS($D:$D,$E:$E,"FAUX",$G:$G,"H2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47" s="46">
        <f>SUMIFS($D:$D,$E:$E,"FAUX",$G:$G,"H2",$M:$M,"G",$N:$N,"H*")*SUMIFS($J:$J,$E:$E,"VRAI",$F:$F,"F",$M:$M,"D")*SUMIFS($J:$J,$E:$E,"VRAI",$F:$F,"G",$M:$M,"E")*SUMIFS($J:$J,$E:$E,"VRAI",$F:$F,"H",$M:$M,"F")*SUMIFS($J:$J,$E:$E,"VRAI",$H:$H,"E",$I:$I,"D1")</f>
        <v>52.636700176229489</v>
      </c>
      <c r="AV47" s="47">
        <f>SUMIFS($D:$D,$E:$E,"FAUX",$G:$G,"H2",$M:$M,"G",$N:$N,"H*")*SUMIFS($J:$J,$E:$E,"VRAI",$F:$F,"F",$M:$M,"D")*SUMIFS($J:$J,$E:$E,"VRAI",$F:$F,"G",$M:$M,"E")*SUMIFS($J:$J,$E:$E,"VRAI",$F:$F,"H",$M:$M,"F")*SUMIFS($J:$J,$E:$E,"VRAI",$H:$H,"E",$I:$I,"D2")</f>
        <v>22.906086469501666</v>
      </c>
      <c r="AW47" s="47">
        <f>SUMIFS($D:$D,$E:$E,"FAUX",$G:$G,"H2",$M:$M,"G",$N:$N,"H*")*SUMIFS($J:$J,$E:$E,"VRAI",$F:$F,"F",$M:$M,"D")*SUMIFS($J:$J,$E:$E,"VRAI",$F:$F,"G",$M:$M,"E")*SUMIFS($J:$J,$E:$E,"VRAI",$F:$F,"H",$M:$M,"F")*SUMIFS($J:$J,$E:$E,"VRAI",$H:$H,"E",$I:$I,"D3")</f>
        <v>0</v>
      </c>
      <c r="AX47" s="47">
        <f>SUMIFS($D:$D,$E:$E,"FAUX",$G:$G,"H2",$M:$M,"G",$N:$N,"H*")*SUMIFS($J:$J,$E:$E,"VRAI",$F:$F,"F",$M:$M,"D")*SUMIFS($J:$J,$E:$E,"VRAI",$F:$F,"G",$M:$M,"E")*SUMIFS($J:$J,$E:$E,"VRAI",$F:$F,"H",$M:$M,"F")*SUMIFS($J:$J,$E:$E,"VRAI",$H:$H,"E",$I:$I,"D4")</f>
        <v>8.3110579225625507</v>
      </c>
      <c r="AY47" s="47">
        <f>SUMIFS($D:$D,$E:$E,"FAUX",$G:$G,"H2",$M:$M,"G",$N:$N,"H*")*SUMIFS($J:$J,$E:$E,"VRAI",$F:$F,"F",$M:$M,"D")*SUMIFS($J:$J,$E:$E,"VRAI",$F:$F,"G",$M:$M,"E")*SUMIFS($J:$J,$E:$E,"VRAI",$F:$F,"H",$M:$M,"F")*SUMIFS($J:$J,$E:$E,"VRAI",$H:$H,"E",$I:$I,"D5")</f>
        <v>0</v>
      </c>
      <c r="AZ47" s="48">
        <f>SUMIFS($D:$D,$E:$E,"FAUX",$G:$G,"H2",$M:$M,"G",$N:$N,"H*")*SUMIFS($J:$J,$E:$E,"VRAI",$F:$F,"F",$M:$M,"D")*SUMIFS($J:$J,$E:$E,"VRAI",$F:$F,"G",$M:$M,"E")*SUMIFS($J:$J,$E:$E,"VRAI",$F:$F,"H",$M:$M,"F")*SUMIFS($J:$J,$E:$E,"VRAI",$H:$H,"E",$I:$I,"D6")</f>
        <v>0</v>
      </c>
      <c r="BA47" s="46">
        <f>SUMIFS($D:$D,$E:$E,"FAUX",$G:$G,"H2",$M:$M,"G",$N:$N,"H*")*SUMIFS($J:$J,$E:$E,"VRAI",$F:$F,"G",$M:$M,"E")*SUMIFS($J:$J,$E:$E,"VRAI",$F:$F,"H",$M:$M,"F")*SUMIFS($J:$J,$E:$E,"VRAI",$I:$I,"E1",$F:$F,"F")</f>
        <v>83.853844568293695</v>
      </c>
      <c r="BB47" s="47">
        <f>SUMIFS($D:$D,$E:$E,"FAUX",$G:$G,"H2",$M:$M,"G",$N:$N,"H*")*SUMIFS($J:$J,$E:$E,"VRAI",$F:$F,"G",$M:$M,"E")*SUMIFS($J:$J,$E:$E,"VRAI",$F:$F,"H",$M:$M,"F")*SUMIFS($J:$J,$E:$E,"VRAI",$I:$I,"E2",$F:$F,"F")</f>
        <v>0</v>
      </c>
      <c r="BC47" s="47">
        <f>SUMIFS($D:$D,$E:$E,"FAUX",$G:$G,"H2",$M:$M,"G",$N:$N,"H*")*SUMIFS($J:$J,$E:$E,"VRAI",$F:$F,"G",$M:$M,"E")*SUMIFS($J:$J,$E:$E,"VRAI",$F:$F,"H",$M:$M,"F")*SUMIFS($J:$J,$E:$E,"VRAI",$I:$I,"E3",$F:$F,"F")</f>
        <v>12.022879997463114</v>
      </c>
      <c r="BD47" s="47">
        <f>SUMIFS($D:$D,$E:$E,"FAUX",$G:$G,"H2",$M:$M,"G",$N:$N,"H*")*SUMIFS($J:$J,$E:$E,"VRAI",$F:$F,"G",$M:$M,"E")*SUMIFS($J:$J,$E:$E,"VRAI",$F:$F,"H",$M:$M,"F")*SUMIFS($J:$J,$E:$E,"VRAI",$I:$I,"E4",$F:$F,"F")</f>
        <v>0</v>
      </c>
      <c r="BE47" s="47">
        <f>SUMIFS($D:$D,$E:$E,"FAUX",$G:$G,"H2",$M:$M,"G",$N:$N,"H*")*SUMIFS($J:$J,$E:$E,"VRAI",$F:$F,"G",$M:$M,"E")*SUMIFS($J:$J,$E:$E,"VRAI",$F:$F,"H",$M:$M,"F")*SUMIFS($J:$J,$E:$E,"VRAI",$I:$I,"E5",$F:$F,"F")</f>
        <v>0</v>
      </c>
      <c r="BF47" s="48">
        <f>SUMIFS($D:$D,$E:$E,"FAUX",$G:$G,"H2",$M:$M,"G",$N:$N,"H*")*SUMIFS($J:$J,$E:$E,"VRAI",$F:$F,"G",$M:$M,"E")*SUMIFS($J:$J,$E:$E,"VRAI",$F:$F,"H",$M:$M,"F")*SUMIFS($J:$J,$E:$E,"VRAI",$I:$I,"E6",$F:$F,"F")</f>
        <v>0</v>
      </c>
      <c r="BG47" s="46">
        <f>SUMIFS($D:$D,$E:$E,"FAUX",$G:$G,"H2",$M:$M,"G",$N:$N,"H*")*SUMIFS($J:$J,$E:$E,"VRAI",$F:$F,"H",$M:$M,"F")*SUMIFS($J:$J,$E:$E,"VRAI",$I:$I,"F1",$F:$F,"G")</f>
        <v>95.876724565756831</v>
      </c>
      <c r="BH47" s="47">
        <f>SUMIFS($D:$D,$E:$E,"FAUX",$G:$G,"H2",$M:$M,"G",$N:$N,"H*")*SUMIFS($J:$J,$E:$E,"VRAI",$F:$F,"H",$M:$M,"F")*SUMIFS($J:$J,$E:$E,"VRAI",$I:$I,"F2",$F:$F,"G")</f>
        <v>24.892764267990074</v>
      </c>
      <c r="BI47" s="47">
        <f>SUMIFS($D:$D,$E:$E,"FAUX",$G:$G,"H2",$M:$M,"G",$N:$N,"H*")*SUMIFS($J:$J,$E:$E,"VRAI",$F:$F,"H",$M:$M,"F")*SUMIFS($J:$J,$E:$E,"VRAI",$I:$I,"F3",$F:$F,"G")</f>
        <v>0</v>
      </c>
      <c r="BJ47" s="47">
        <f>SUMIFS($D:$D,$E:$E,"FAUX",$G:$G,"H2",$M:$M,"G",$N:$N,"H*")*SUMIFS($J:$J,$E:$E,"VRAI",$F:$F,"H",$M:$M,"F")*SUMIFS($J:$J,$E:$E,"VRAI",$I:$I,"F4",$F:$F,"G")</f>
        <v>21.022511166253103</v>
      </c>
      <c r="BK47" s="47">
        <f>SUMIFS($D:$D,$E:$E,"FAUX",$G:$G,"H2",$M:$M,"G",$N:$N,"H*")*SUMIFS($J:$J,$E:$E,"VRAI",$F:$F,"H",$M:$M,"F")*SUMIFS($J:$J,$E:$E,"VRAI",$I:$I,"F5",$F:$F,"G")</f>
        <v>0</v>
      </c>
      <c r="BL47" s="48">
        <f>SUMIFS($D:$D,$E:$E,"FAUX",$G:$G,"H2",$M:$M,"G",$N:$N,"H*")*SUMIFS($J:$J,$E:$E,"VRAI",$F:$F,"H",$M:$M,"F")*SUMIFS($J:$J,$E:$E,"VRAI",$I:$I,"F6",$F:$F,"G")</f>
        <v>0</v>
      </c>
      <c r="BM47" s="27">
        <f>SUMIFS($D:$D,$E:$E,"FAUX",$G:$G,"H2",$M:$M,"G",$N:$N,"H*")*SUMIFS($J:$J,$E:$E,"VRAI",$I:$I,"G1",$F:$F,"H")</f>
        <v>141.792</v>
      </c>
      <c r="BN47" s="27">
        <f>SUMIFS($D:$D,$E:$E,"FAUX",$G:$G,"H2",$M:$M,"G",$N:$N,"H*")*SUMIFS($J:$J,$E:$E,"VRAI",$I:$I,"G2",$F:$F,"H")</f>
        <v>0</v>
      </c>
      <c r="BO47" s="27">
        <f>SUMIFS($D:$D,$E:$E,"FAUX",$G:$G,"H2",$M:$M,"G",$N:$N,"H*")*SUMIFS($J:$J,$E:$E,"VRAI",$I:$I,"G3",$F:$F,"H")</f>
        <v>2.2079999999999997</v>
      </c>
      <c r="BP47" s="27">
        <f>SUMIFS($D:$D,$E:$E,"FAUX",$G:$G,"H2",$M:$M,"G",$N:$N,"H*")*SUMIFS($J:$J,$E:$E,"VRAI",$I:$I,"G4",$F:$F,"H")</f>
        <v>0</v>
      </c>
      <c r="BQ47" s="27">
        <f>SUMIFS($D:$D,$E:$E,"FAUX",$G:$G,"H2",$M:$M,"G",$N:$N,"H*")*SUMIFS($J:$J,$E:$E,"VRAI",$I:$I,"G5",$F:$F,"H")</f>
        <v>0</v>
      </c>
      <c r="BR47" s="28">
        <f>SUMIFS($D:$D,$E:$E,"FAUX",$G:$G,"H2",$M:$M,"G",$N:$N,"H*")*SUMIFS($J:$J,$E:$E,"VRAI",$I:$I,"G6",$F:$F,"H")</f>
        <v>0</v>
      </c>
      <c r="BS47" s="54">
        <f>SUMIFS($D:$D,$O:$O,"H_2_1")</f>
        <v>144</v>
      </c>
      <c r="BT47" s="54">
        <f>SUMIFS($D:$D,$O:$O,"H_2_2")</f>
        <v>0</v>
      </c>
      <c r="BU47" s="54">
        <f>SUMIFS($D:$D,$O:$O,"H_2_3")</f>
        <v>215</v>
      </c>
      <c r="BV47" s="54">
        <f>SUMIFS($D:$D,$O:$O,"H_2_4")</f>
        <v>120</v>
      </c>
      <c r="BW47" s="54">
        <f>SUMIFS($D:$D,$O:$O,"H_2_5")</f>
        <v>0</v>
      </c>
      <c r="BX47" s="55">
        <f>SUMIFS($D:$D,$O:$O,"H_2_6")</f>
        <v>0</v>
      </c>
      <c r="BY47" s="31">
        <f>SUMIFS($D:$D,$E:$E,"FAUX",$G:$G,"I2",$M:$M,"J",$N:$N,"I*")*SUMIFS($J:$J,$O:$O,"I_1_1")</f>
        <v>0</v>
      </c>
      <c r="BZ47" s="27">
        <f>SUMIFS($D:$D,$E:$E,"FAUX",$G:$G,"I2",$M:$M,"J",$N:$N,"I*")*SUMIFS($J:$J,$O:$O,"I_1_2")</f>
        <v>0</v>
      </c>
      <c r="CA47" s="27">
        <f>SUMIFS($D:$D,$E:$E,"FAUX",$G:$G,"I2",$M:$M,"J",$N:$N,"I*")*SUMIFS($J:$J,$O:$O,"I_1_3")</f>
        <v>0</v>
      </c>
      <c r="CB47" s="27">
        <f>SUMIFS($D:$D,$E:$E,"FAUX",$G:$G,"I2",$M:$M,"J",$N:$N,"I*")*SUMIFS($J:$J,$O:$O,"I_1_4")</f>
        <v>0</v>
      </c>
      <c r="CC47" s="27">
        <f>SUMIFS($D:$D,$E:$E,"FAUX",$G:$G,"I2",$M:$M,"J",$N:$N,"I*")*SUMIFS($J:$J,$O:$O,"I_1_5")</f>
        <v>0</v>
      </c>
      <c r="CD47" s="27">
        <f>SUMIFS($D:$D,$E:$E,"FAUX",$G:$G,"I2",$M:$M,"J",$N:$N,"I*")*SUMIFS($J:$J,$O:$O,"I_1_6")</f>
        <v>0</v>
      </c>
      <c r="CE47" s="46">
        <f>SUMIFS($D:$D,$E:$E,"FAUX",$G:$G,"H2",$M:$M,"F",$N:$N,"E*")*SUMIFS($J:$J,$E:$E,"VRAI",$F:$F,"H",$M:$M,"J")*SUMIFS($J:$J,$E:$E,"VRAI",$F:$F,"I",$I:$I,"J1")</f>
        <v>0</v>
      </c>
      <c r="CF47" s="47">
        <f>SUMIFS($D:$D,$E:$E,"FAUX",$G:$G,"H2",$M:$M,"F",$N:$N,"E*")*SUMIFS($J:$J,$E:$E,"VRAI",$F:$F,"H",$M:$M,"J")*SUMIFS($J:$J,$E:$E,"VRAI",$F:$F,"I",$I:$I,"J2")</f>
        <v>0</v>
      </c>
      <c r="CG47" s="47">
        <f>SUMIFS($D:$D,$E:$E,"FAUX",$G:$G,"H2",$M:$M,"F",$N:$N,"E*")*SUMIFS($J:$J,$E:$E,"VRAI",$F:$F,"H",$M:$M,"J")*SUMIFS($J:$J,$E:$E,"VRAI",$F:$F,"I",$I:$I,"J3")</f>
        <v>0</v>
      </c>
      <c r="CH47" s="47">
        <f>SUMIFS($D:$D,$E:$E,"FAUX",$G:$G,"H2",$M:$M,"F",$N:$N,"E*")*SUMIFS($J:$J,$E:$E,"VRAI",$F:$F,"H",$M:$M,"J")*SUMIFS($J:$J,$E:$E,"VRAI",$F:$F,"I",$I:$I,"J4")</f>
        <v>0</v>
      </c>
      <c r="CI47" s="47">
        <f>SUMIFS($D:$D,$E:$E,"FAUX",$G:$G,"H2",$M:$M,"F",$N:$N,"E*")*SUMIFS($J:$J,$E:$E,"VRAI",$F:$F,"H",$M:$M,"J")*SUMIFS($J:$J,$E:$E,"VRAI",$F:$F,"I",$I:$I,"J5")</f>
        <v>0</v>
      </c>
      <c r="CJ47" s="47">
        <f>SUMIFS($D:$D,$E:$E,"FAUX",$G:$G,"H2",$M:$M,"F",$N:$N,"E*")*SUMIFS($J:$J,$E:$E,"VRAI",$F:$F,"H",$M:$M,"J")*SUMIFS($J:$J,$E:$E,"VRAI",$F:$F,"I",$I:$I,"J6")</f>
        <v>0</v>
      </c>
      <c r="CK47" s="46">
        <f>SUMIFS($D:$D,$E:$E,"FAUX",$G:$G,"H2",$M:$M,"F",$N:$N,"E*")*SUMIFS($J:$J,$E:$E,"VRAI",$F:$F,"H",$M:$M,"J")*SUMIFS($J:$J,$E:$E,"VRAI",$F:$F,"I",$M:$M,"K")*SUMIFS($J:$J,$E:$E,"VRAI",$F:$F,"J",$I:$I,"K1")</f>
        <v>0</v>
      </c>
      <c r="CL47" s="47">
        <f>SUMIFS($D:$D,$E:$E,"FAUX",$G:$G,"H2",$M:$M,"F",$N:$N,"E*")*SUMIFS($J:$J,$E:$E,"VRAI",$F:$F,"H",$M:$M,"J")*SUMIFS($J:$J,$E:$E,"VRAI",$F:$F,"I",$M:$M,"K")*SUMIFS($J:$J,$E:$E,"VRAI",$F:$F,"J",$I:$I,"K2")</f>
        <v>0</v>
      </c>
      <c r="CM47" s="47">
        <f>SUMIFS($D:$D,$E:$E,"FAUX",$G:$G,"H2",$M:$M,"F",$N:$N,"E*")*SUMIFS($J:$J,$E:$E,"VRAI",$F:$F,"H",$M:$M,"J")*SUMIFS($J:$J,$E:$E,"VRAI",$F:$F,"I",$M:$M,"K")*SUMIFS($J:$J,$E:$E,"VRAI",$F:$F,"J",$I:$I,"K3")</f>
        <v>0</v>
      </c>
      <c r="CN47" s="47">
        <f>SUMIFS($D:$D,$E:$E,"FAUX",$G:$G,"H2",$M:$M,"F",$N:$N,"E*")*SUMIFS($J:$J,$E:$E,"VRAI",$F:$F,"H",$M:$M,"J")*SUMIFS($J:$J,$E:$E,"VRAI",$F:$F,"I",$M:$M,"K")*SUMIFS($J:$J,$E:$E,"VRAI",$F:$F,"J",$I:$I,"K4")</f>
        <v>0</v>
      </c>
      <c r="CO47" s="47">
        <f>SUMIFS($D:$D,$E:$E,"FAUX",$G:$G,"H2",$M:$M,"F",$N:$N,"E*")*SUMIFS($J:$J,$E:$E,"VRAI",$F:$F,"H",$M:$M,"J")*SUMIFS($J:$J,$E:$E,"VRAI",$F:$F,"I",$M:$M,"K")*SUMIFS($J:$J,$E:$E,"VRAI",$F:$F,"J",$I:$I,"K5")</f>
        <v>0</v>
      </c>
      <c r="CP47" s="48">
        <f>SUMIFS($D:$D,$E:$E,"FAUX",$G:$G,"H2",$M:$M,"F",$N:$N,"E*")*SUMIFS($J:$J,$E:$E,"VRAI",$F:$F,"H",$M:$M,"J")*SUMIFS($J:$J,$E:$E,"VRAI",$F:$F,"I",$M:$M,"K")*SUMIFS($J:$J,$E:$E,"VRAI",$F:$F,"J",$I:$I,"K6")</f>
        <v>0</v>
      </c>
    </row>
    <row r="48" spans="1:94">
      <c r="A48" s="35" t="s">
        <v>10</v>
      </c>
      <c r="B48" s="35">
        <v>2</v>
      </c>
      <c r="C48" s="35">
        <v>3</v>
      </c>
      <c r="D48" s="35">
        <v>367</v>
      </c>
      <c r="E48" s="35" t="b">
        <v>0</v>
      </c>
      <c r="F48" s="35"/>
      <c r="G48" s="53" t="str">
        <f t="shared" si="0"/>
        <v>C2</v>
      </c>
      <c r="H48" s="52" t="str">
        <f t="shared" si="5"/>
        <v/>
      </c>
      <c r="I48" s="41" t="str">
        <f t="shared" si="1"/>
        <v>C3</v>
      </c>
      <c r="J48" s="42">
        <f t="shared" si="2"/>
        <v>0.66970802919708028</v>
      </c>
      <c r="K48" s="41">
        <f t="shared" si="6"/>
        <v>548</v>
      </c>
      <c r="L48" s="41" t="str">
        <f t="shared" si="3"/>
        <v/>
      </c>
      <c r="M48" s="41" t="str">
        <f t="shared" si="7"/>
        <v>D</v>
      </c>
      <c r="N48" s="41" t="str">
        <f>IFERROR(VLOOKUP(I48,L48:L:L,1,FALSE),"")</f>
        <v>C3</v>
      </c>
      <c r="O48" s="56" t="str">
        <f t="shared" si="8"/>
        <v>C_2_3</v>
      </c>
      <c r="U48" t="s">
        <v>55</v>
      </c>
      <c r="V48">
        <f>SUMIFS(D:D,A:A,"F",B:B,"5")</f>
        <v>0</v>
      </c>
      <c r="Z48" t="str">
        <f t="shared" si="9"/>
        <v>H3</v>
      </c>
      <c r="AA48" t="str">
        <f t="shared" si="10"/>
        <v>H3</v>
      </c>
      <c r="AB48" t="s">
        <v>65</v>
      </c>
      <c r="AC48" s="46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0</v>
      </c>
      <c r="AD48" s="47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48" s="47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0</v>
      </c>
      <c r="AF48" s="47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48" s="47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48" s="47">
        <f>SUMIFS($D:$D,$E:$E,"FAUX",$G:$G,"H3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48" s="16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0</v>
      </c>
      <c r="AJ48" s="17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48" s="17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48" s="17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0</v>
      </c>
      <c r="AM48" s="17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48" s="17">
        <f>SUMIFS($D:$D,$E:$E,"FAUX",$G:$G,"H3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48" s="46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1")</f>
        <v>0</v>
      </c>
      <c r="AP48" s="47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48" s="47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48" s="47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48" s="47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48" s="48">
        <f>SUMIFS($D:$D,$E:$E,"FAUX",$G:$G,"H3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48" s="46">
        <f>SUMIFS($D:$D,$E:$E,"FAUX",$G:$G,"H3",$M:$M,"G",$N:$N,"H*")*SUMIFS($J:$J,$E:$E,"VRAI",$F:$F,"F",$M:$M,"D")*SUMIFS($J:$J,$E:$E,"VRAI",$F:$F,"G",$M:$M,"E")*SUMIFS($J:$J,$E:$E,"VRAI",$F:$F,"H",$M:$M,"F")*SUMIFS($J:$J,$E:$E,"VRAI",$H:$H,"E",$I:$I,"D1")</f>
        <v>0</v>
      </c>
      <c r="AV48" s="47">
        <f>SUMIFS($D:$D,$E:$E,"FAUX",$G:$G,"H3",$M:$M,"G",$N:$N,"H*")*SUMIFS($J:$J,$E:$E,"VRAI",$F:$F,"F",$M:$M,"D")*SUMIFS($J:$J,$E:$E,"VRAI",$F:$F,"G",$M:$M,"E")*SUMIFS($J:$J,$E:$E,"VRAI",$F:$F,"H",$M:$M,"F")*SUMIFS($J:$J,$E:$E,"VRAI",$H:$H,"E",$I:$I,"D2")</f>
        <v>0</v>
      </c>
      <c r="AW48" s="47">
        <f>SUMIFS($D:$D,$E:$E,"FAUX",$G:$G,"H3",$M:$M,"G",$N:$N,"H*")*SUMIFS($J:$J,$E:$E,"VRAI",$F:$F,"F",$M:$M,"D")*SUMIFS($J:$J,$E:$E,"VRAI",$F:$F,"G",$M:$M,"E")*SUMIFS($J:$J,$E:$E,"VRAI",$F:$F,"H",$M:$M,"F")*SUMIFS($J:$J,$E:$E,"VRAI",$H:$H,"E",$I:$I,"D3")</f>
        <v>0</v>
      </c>
      <c r="AX48" s="47">
        <f>SUMIFS($D:$D,$E:$E,"FAUX",$G:$G,"H3",$M:$M,"G",$N:$N,"H*")*SUMIFS($J:$J,$E:$E,"VRAI",$F:$F,"F",$M:$M,"D")*SUMIFS($J:$J,$E:$E,"VRAI",$F:$F,"G",$M:$M,"E")*SUMIFS($J:$J,$E:$E,"VRAI",$F:$F,"H",$M:$M,"F")*SUMIFS($J:$J,$E:$E,"VRAI",$H:$H,"E",$I:$I,"D4")</f>
        <v>0</v>
      </c>
      <c r="AY48" s="47">
        <f>SUMIFS($D:$D,$E:$E,"FAUX",$G:$G,"H3",$M:$M,"G",$N:$N,"H*")*SUMIFS($J:$J,$E:$E,"VRAI",$F:$F,"F",$M:$M,"D")*SUMIFS($J:$J,$E:$E,"VRAI",$F:$F,"G",$M:$M,"E")*SUMIFS($J:$J,$E:$E,"VRAI",$F:$F,"H",$M:$M,"F")*SUMIFS($J:$J,$E:$E,"VRAI",$H:$H,"E",$I:$I,"D5")</f>
        <v>0</v>
      </c>
      <c r="AZ48" s="48">
        <f>SUMIFS($D:$D,$E:$E,"FAUX",$G:$G,"H3",$M:$M,"G",$N:$N,"H*")*SUMIFS($J:$J,$E:$E,"VRAI",$F:$F,"F",$M:$M,"D")*SUMIFS($J:$J,$E:$E,"VRAI",$F:$F,"G",$M:$M,"E")*SUMIFS($J:$J,$E:$E,"VRAI",$F:$F,"H",$M:$M,"F")*SUMIFS($J:$J,$E:$E,"VRAI",$H:$H,"E",$I:$I,"D6")</f>
        <v>0</v>
      </c>
      <c r="BA48" s="46">
        <f>SUMIFS($D:$D,$E:$E,"FAUX",$G:$G,"H3",$M:$M,"G",$N:$N,"H*")*SUMIFS($J:$J,$E:$E,"VRAI",$F:$F,"G",$M:$M,"E")*SUMIFS($J:$J,$E:$E,"VRAI",$F:$F,"H",$M:$M,"F")*SUMIFS($J:$J,$E:$E,"VRAI",$I:$I,"E1",$F:$F,"F")</f>
        <v>0</v>
      </c>
      <c r="BB48" s="47">
        <f>SUMIFS($D:$D,$E:$E,"FAUX",$G:$G,"H3",$M:$M,"G",$N:$N,"H*")*SUMIFS($J:$J,$E:$E,"VRAI",$F:$F,"G",$M:$M,"E")*SUMIFS($J:$J,$E:$E,"VRAI",$F:$F,"H",$M:$M,"F")*SUMIFS($J:$J,$E:$E,"VRAI",$I:$I,"E2",$F:$F,"F")</f>
        <v>0</v>
      </c>
      <c r="BC48" s="47">
        <f>SUMIFS($D:$D,$E:$E,"FAUX",$G:$G,"H3",$M:$M,"G",$N:$N,"H*")*SUMIFS($J:$J,$E:$E,"VRAI",$F:$F,"G",$M:$M,"E")*SUMIFS($J:$J,$E:$E,"VRAI",$F:$F,"H",$M:$M,"F")*SUMIFS($J:$J,$E:$E,"VRAI",$I:$I,"E3",$F:$F,"F")</f>
        <v>0</v>
      </c>
      <c r="BD48" s="47">
        <f>SUMIFS($D:$D,$E:$E,"FAUX",$G:$G,"H3",$M:$M,"G",$N:$N,"H*")*SUMIFS($J:$J,$E:$E,"VRAI",$F:$F,"G",$M:$M,"E")*SUMIFS($J:$J,$E:$E,"VRAI",$F:$F,"H",$M:$M,"F")*SUMIFS($J:$J,$E:$E,"VRAI",$I:$I,"E4",$F:$F,"F")</f>
        <v>0</v>
      </c>
      <c r="BE48" s="47">
        <f>SUMIFS($D:$D,$E:$E,"FAUX",$G:$G,"H3",$M:$M,"G",$N:$N,"H*")*SUMIFS($J:$J,$E:$E,"VRAI",$F:$F,"G",$M:$M,"E")*SUMIFS($J:$J,$E:$E,"VRAI",$F:$F,"H",$M:$M,"F")*SUMIFS($J:$J,$E:$E,"VRAI",$I:$I,"E5",$F:$F,"F")</f>
        <v>0</v>
      </c>
      <c r="BF48" s="48">
        <f>SUMIFS($D:$D,$E:$E,"FAUX",$G:$G,"H3",$M:$M,"G",$N:$N,"H*")*SUMIFS($J:$J,$E:$E,"VRAI",$F:$F,"G",$M:$M,"E")*SUMIFS($J:$J,$E:$E,"VRAI",$F:$F,"H",$M:$M,"F")*SUMIFS($J:$J,$E:$E,"VRAI",$I:$I,"E6",$F:$F,"F")</f>
        <v>0</v>
      </c>
      <c r="BG48" s="46">
        <f>SUMIFS($D:$D,$E:$E,"FAUX",$G:$G,"H3",$M:$M,"G",$N:$N,"H*")*SUMIFS($J:$J,$E:$E,"VRAI",$F:$F,"H",$M:$M,"F")*SUMIFS($J:$J,$E:$E,"VRAI",$I:$I,"F1",$F:$F,"G")</f>
        <v>0</v>
      </c>
      <c r="BH48" s="47">
        <f>SUMIFS($D:$D,$E:$E,"FAUX",$G:$G,"H3",$M:$M,"G",$N:$N,"H*")*SUMIFS($J:$J,$E:$E,"VRAI",$F:$F,"H",$M:$M,"F")*SUMIFS($J:$J,$E:$E,"VRAI",$I:$I,"F2",$F:$F,"G")</f>
        <v>0</v>
      </c>
      <c r="BI48" s="47">
        <f>SUMIFS($D:$D,$E:$E,"FAUX",$G:$G,"H3",$M:$M,"G",$N:$N,"H*")*SUMIFS($J:$J,$E:$E,"VRAI",$F:$F,"H",$M:$M,"F")*SUMIFS($J:$J,$E:$E,"VRAI",$I:$I,"F3",$F:$F,"G")</f>
        <v>0</v>
      </c>
      <c r="BJ48" s="47">
        <f>SUMIFS($D:$D,$E:$E,"FAUX",$G:$G,"H3",$M:$M,"G",$N:$N,"H*")*SUMIFS($J:$J,$E:$E,"VRAI",$F:$F,"H",$M:$M,"F")*SUMIFS($J:$J,$E:$E,"VRAI",$I:$I,"F4",$F:$F,"G")</f>
        <v>0</v>
      </c>
      <c r="BK48" s="47">
        <f>SUMIFS($D:$D,$E:$E,"FAUX",$G:$G,"H3",$M:$M,"G",$N:$N,"H*")*SUMIFS($J:$J,$E:$E,"VRAI",$F:$F,"H",$M:$M,"F")*SUMIFS($J:$J,$E:$E,"VRAI",$I:$I,"F5",$F:$F,"G")</f>
        <v>0</v>
      </c>
      <c r="BL48" s="48">
        <f>SUMIFS($D:$D,$E:$E,"FAUX",$G:$G,"H3",$M:$M,"G",$N:$N,"H*")*SUMIFS($J:$J,$E:$E,"VRAI",$F:$F,"H",$M:$M,"F")*SUMIFS($J:$J,$E:$E,"VRAI",$I:$I,"F6",$F:$F,"G")</f>
        <v>0</v>
      </c>
      <c r="BM48" s="27">
        <f>SUMIFS($D:$D,$E:$E,"FAUX",$G:$G,"H3",$M:$M,"G",$N:$N,"H*")*SUMIFS($J:$J,$E:$E,"VRAI",$I:$I,"G1",$F:$F,"H")</f>
        <v>0</v>
      </c>
      <c r="BN48" s="27">
        <f>SUMIFS($D:$D,$E:$E,"FAUX",$G:$G,"H3",$M:$M,"G",$N:$N,"H*")*SUMIFS($J:$J,$E:$E,"VRAI",$I:$I,"G2",$F:$F,"H")</f>
        <v>0</v>
      </c>
      <c r="BO48" s="27">
        <f>SUMIFS($D:$D,$E:$E,"FAUX",$G:$G,"H3",$M:$M,"G",$N:$N,"H*")*SUMIFS($J:$J,$E:$E,"VRAI",$I:$I,"G3",$F:$F,"H")</f>
        <v>0</v>
      </c>
      <c r="BP48" s="27">
        <f>SUMIFS($D:$D,$E:$E,"FAUX",$G:$G,"H3",$M:$M,"G",$N:$N,"H*")*SUMIFS($J:$J,$E:$E,"VRAI",$I:$I,"G4",$F:$F,"H")</f>
        <v>0</v>
      </c>
      <c r="BQ48" s="27">
        <f>SUMIFS($D:$D,$E:$E,"FAUX",$G:$G,"H3",$M:$M,"G",$N:$N,"H*")*SUMIFS($J:$J,$E:$E,"VRAI",$I:$I,"G5",$F:$F,"H")</f>
        <v>0</v>
      </c>
      <c r="BR48" s="28">
        <f>SUMIFS($D:$D,$E:$E,"FAUX",$G:$G,"H3",$M:$M,"G",$N:$N,"H*")*SUMIFS($J:$J,$E:$E,"VRAI",$I:$I,"G6",$F:$F,"H")</f>
        <v>0</v>
      </c>
      <c r="BS48" s="54">
        <f>SUMIFS($D:$D,$O:$O,"H_3_1")</f>
        <v>1342</v>
      </c>
      <c r="BT48" s="54">
        <f>SUMIFS($D:$D,$O:$O,"H_3_2")</f>
        <v>0</v>
      </c>
      <c r="BU48" s="54">
        <f>SUMIFS($D:$D,$O:$O,"H_3_3")</f>
        <v>0</v>
      </c>
      <c r="BV48" s="54">
        <f>SUMIFS($D:$D,$O:$O,"H_3_4")</f>
        <v>133</v>
      </c>
      <c r="BW48" s="54">
        <f>SUMIFS($D:$D,$O:$O,"H_3_5")</f>
        <v>0</v>
      </c>
      <c r="BX48" s="55">
        <f>SUMIFS($D:$D,$O:$O,"H_3_6")</f>
        <v>0</v>
      </c>
      <c r="BY48" s="31">
        <f>SUMIFS($D:$D,$E:$E,"FAUX",$G:$G,"I3",$M:$M,"J",$N:$N,"I*")*SUMIFS($J:$J,$O:$O,"I_1_1")</f>
        <v>0</v>
      </c>
      <c r="BZ48" s="27">
        <f>SUMIFS($D:$D,$E:$E,"FAUX",$G:$G,"I3",$M:$M,"J",$N:$N,"I*")*SUMIFS($J:$J,$O:$O,"I_1_2")</f>
        <v>135</v>
      </c>
      <c r="CA48" s="27">
        <f>SUMIFS($D:$D,$E:$E,"FAUX",$G:$G,"I3",$M:$M,"J",$N:$N,"I*")*SUMIFS($J:$J,$O:$O,"I_1_3")</f>
        <v>0</v>
      </c>
      <c r="CB48" s="27">
        <f>SUMIFS($D:$D,$E:$E,"FAUX",$G:$G,"I3",$M:$M,"J",$N:$N,"I*")*SUMIFS($J:$J,$O:$O,"I_1_4")</f>
        <v>0</v>
      </c>
      <c r="CC48" s="27">
        <f>SUMIFS($D:$D,$E:$E,"FAUX",$G:$G,"I3",$M:$M,"J",$N:$N,"I*")*SUMIFS($J:$J,$O:$O,"I_1_5")</f>
        <v>0</v>
      </c>
      <c r="CD48" s="27">
        <f>SUMIFS($D:$D,$E:$E,"FAUX",$G:$G,"I3",$M:$M,"J",$N:$N,"I*")*SUMIFS($J:$J,$O:$O,"I_1_6")</f>
        <v>0</v>
      </c>
      <c r="CE48" s="46">
        <f>SUMIFS($D:$D,$E:$E,"FAUX",$G:$G,"H3",$M:$M,"F",$N:$N,"E*")*SUMIFS($J:$J,$E:$E,"VRAI",$F:$F,"H",$M:$M,"J")*SUMIFS($J:$J,$E:$E,"VRAI",$F:$F,"I",$I:$I,"J1")</f>
        <v>0</v>
      </c>
      <c r="CF48" s="47">
        <f>SUMIFS($D:$D,$E:$E,"FAUX",$G:$G,"H3",$M:$M,"F",$N:$N,"E*")*SUMIFS($J:$J,$E:$E,"VRAI",$F:$F,"H",$M:$M,"J")*SUMIFS($J:$J,$E:$E,"VRAI",$F:$F,"I",$I:$I,"J2")</f>
        <v>0</v>
      </c>
      <c r="CG48" s="47">
        <f>SUMIFS($D:$D,$E:$E,"FAUX",$G:$G,"H3",$M:$M,"F",$N:$N,"E*")*SUMIFS($J:$J,$E:$E,"VRAI",$F:$F,"H",$M:$M,"J")*SUMIFS($J:$J,$E:$E,"VRAI",$F:$F,"I",$I:$I,"J3")</f>
        <v>0</v>
      </c>
      <c r="CH48" s="47">
        <f>SUMIFS($D:$D,$E:$E,"FAUX",$G:$G,"H3",$M:$M,"F",$N:$N,"E*")*SUMIFS($J:$J,$E:$E,"VRAI",$F:$F,"H",$M:$M,"J")*SUMIFS($J:$J,$E:$E,"VRAI",$F:$F,"I",$I:$I,"J4")</f>
        <v>0</v>
      </c>
      <c r="CI48" s="47">
        <f>SUMIFS($D:$D,$E:$E,"FAUX",$G:$G,"H3",$M:$M,"F",$N:$N,"E*")*SUMIFS($J:$J,$E:$E,"VRAI",$F:$F,"H",$M:$M,"J")*SUMIFS($J:$J,$E:$E,"VRAI",$F:$F,"I",$I:$I,"J5")</f>
        <v>0</v>
      </c>
      <c r="CJ48" s="47">
        <f>SUMIFS($D:$D,$E:$E,"FAUX",$G:$G,"H3",$M:$M,"F",$N:$N,"E*")*SUMIFS($J:$J,$E:$E,"VRAI",$F:$F,"H",$M:$M,"J")*SUMIFS($J:$J,$E:$E,"VRAI",$F:$F,"I",$I:$I,"J6")</f>
        <v>0</v>
      </c>
      <c r="CK48" s="46">
        <f>SUMIFS($D:$D,$E:$E,"FAUX",$G:$G,"H3",$M:$M,"F",$N:$N,"E*")*SUMIFS($J:$J,$E:$E,"VRAI",$F:$F,"H",$M:$M,"J")*SUMIFS($J:$J,$E:$E,"VRAI",$F:$F,"I",$M:$M,"K")*SUMIFS($J:$J,$E:$E,"VRAI",$F:$F,"J",$I:$I,"K1")</f>
        <v>0</v>
      </c>
      <c r="CL48" s="47">
        <f>SUMIFS($D:$D,$E:$E,"FAUX",$G:$G,"H3",$M:$M,"F",$N:$N,"E*")*SUMIFS($J:$J,$E:$E,"VRAI",$F:$F,"H",$M:$M,"J")*SUMIFS($J:$J,$E:$E,"VRAI",$F:$F,"I",$M:$M,"K")*SUMIFS($J:$J,$E:$E,"VRAI",$F:$F,"J",$I:$I,"K2")</f>
        <v>0</v>
      </c>
      <c r="CM48" s="47">
        <f>SUMIFS($D:$D,$E:$E,"FAUX",$G:$G,"H3",$M:$M,"F",$N:$N,"E*")*SUMIFS($J:$J,$E:$E,"VRAI",$F:$F,"H",$M:$M,"J")*SUMIFS($J:$J,$E:$E,"VRAI",$F:$F,"I",$M:$M,"K")*SUMIFS($J:$J,$E:$E,"VRAI",$F:$F,"J",$I:$I,"K3")</f>
        <v>0</v>
      </c>
      <c r="CN48" s="47">
        <f>SUMIFS($D:$D,$E:$E,"FAUX",$G:$G,"H3",$M:$M,"F",$N:$N,"E*")*SUMIFS($J:$J,$E:$E,"VRAI",$F:$F,"H",$M:$M,"J")*SUMIFS($J:$J,$E:$E,"VRAI",$F:$F,"I",$M:$M,"K")*SUMIFS($J:$J,$E:$E,"VRAI",$F:$F,"J",$I:$I,"K4")</f>
        <v>0</v>
      </c>
      <c r="CO48" s="47">
        <f>SUMIFS($D:$D,$E:$E,"FAUX",$G:$G,"H3",$M:$M,"F",$N:$N,"E*")*SUMIFS($J:$J,$E:$E,"VRAI",$F:$F,"H",$M:$M,"J")*SUMIFS($J:$J,$E:$E,"VRAI",$F:$F,"I",$M:$M,"K")*SUMIFS($J:$J,$E:$E,"VRAI",$F:$F,"J",$I:$I,"K5")</f>
        <v>0</v>
      </c>
      <c r="CP48" s="48">
        <f>SUMIFS($D:$D,$E:$E,"FAUX",$G:$G,"H3",$M:$M,"F",$N:$N,"E*")*SUMIFS($J:$J,$E:$E,"VRAI",$F:$F,"H",$M:$M,"J")*SUMIFS($J:$J,$E:$E,"VRAI",$F:$F,"I",$M:$M,"K")*SUMIFS($J:$J,$E:$E,"VRAI",$F:$F,"J",$I:$I,"K6")</f>
        <v>0</v>
      </c>
    </row>
    <row r="49" spans="1:94">
      <c r="A49" s="35" t="s">
        <v>10</v>
      </c>
      <c r="B49" s="35">
        <v>2</v>
      </c>
      <c r="C49" s="35">
        <v>1</v>
      </c>
      <c r="D49" s="35">
        <v>181</v>
      </c>
      <c r="E49" s="35" t="b">
        <v>0</v>
      </c>
      <c r="F49" s="35"/>
      <c r="G49" s="53" t="str">
        <f t="shared" si="0"/>
        <v>C2</v>
      </c>
      <c r="H49" s="52" t="str">
        <f t="shared" si="5"/>
        <v/>
      </c>
      <c r="I49" s="41" t="str">
        <f t="shared" si="1"/>
        <v>C1</v>
      </c>
      <c r="J49" s="42">
        <f t="shared" si="2"/>
        <v>0.33029197080291972</v>
      </c>
      <c r="K49" s="41">
        <f t="shared" si="6"/>
        <v>548</v>
      </c>
      <c r="L49" s="41" t="str">
        <f t="shared" si="3"/>
        <v/>
      </c>
      <c r="M49" s="41" t="str">
        <f t="shared" si="7"/>
        <v>B</v>
      </c>
      <c r="N49" s="41" t="str">
        <f>IFERROR(VLOOKUP(I49,L49:L:L,1,FALSE),"")</f>
        <v>C1</v>
      </c>
      <c r="O49" s="56" t="str">
        <f t="shared" si="8"/>
        <v>C_2_1</v>
      </c>
      <c r="U49" t="s">
        <v>56</v>
      </c>
      <c r="V49">
        <f>SUMIFS(D:D,A:A,"F",B:B,"6")</f>
        <v>0</v>
      </c>
      <c r="Z49" t="e">
        <f t="shared" si="9"/>
        <v>#N/A</v>
      </c>
      <c r="AA49" t="str">
        <f t="shared" si="10"/>
        <v>H4</v>
      </c>
      <c r="AB49" t="s">
        <v>66</v>
      </c>
      <c r="AC49" s="46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0</v>
      </c>
      <c r="AD49" s="47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49" s="47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0</v>
      </c>
      <c r="AF49" s="47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49" s="47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49" s="47">
        <f>SUMIFS($D:$D,$E:$E,"FAUX",$G:$G,"H4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49" s="16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0</v>
      </c>
      <c r="AJ49" s="17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49" s="17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49" s="17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0</v>
      </c>
      <c r="AM49" s="17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49" s="17">
        <f>SUMIFS($D:$D,$E:$E,"FAUX",$G:$G,"H4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49" s="46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1")</f>
        <v>0</v>
      </c>
      <c r="AP49" s="47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49" s="47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49" s="47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49" s="47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49" s="48">
        <f>SUMIFS($D:$D,$E:$E,"FAUX",$G:$G,"H4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49" s="46">
        <f>SUMIFS($D:$D,$E:$E,"FAUX",$G:$G,"H4",$M:$M,"G",$N:$N,"H*")*SUMIFS($J:$J,$E:$E,"VRAI",$F:$F,"F",$M:$M,"D")*SUMIFS($J:$J,$E:$E,"VRAI",$F:$F,"G",$M:$M,"E")*SUMIFS($J:$J,$E:$E,"VRAI",$F:$F,"H",$M:$M,"F")*SUMIFS($J:$J,$E:$E,"VRAI",$H:$H,"E",$I:$I,"D1")</f>
        <v>0</v>
      </c>
      <c r="AV49" s="47">
        <f>SUMIFS($D:$D,$E:$E,"FAUX",$G:$G,"H4",$M:$M,"G",$N:$N,"H*")*SUMIFS($J:$J,$E:$E,"VRAI",$F:$F,"F",$M:$M,"D")*SUMIFS($J:$J,$E:$E,"VRAI",$F:$F,"G",$M:$M,"E")*SUMIFS($J:$J,$E:$E,"VRAI",$F:$F,"H",$M:$M,"F")*SUMIFS($J:$J,$E:$E,"VRAI",$H:$H,"E",$I:$I,"D2")</f>
        <v>0</v>
      </c>
      <c r="AW49" s="47">
        <f>SUMIFS($D:$D,$E:$E,"FAUX",$G:$G,"H4",$M:$M,"G",$N:$N,"H*")*SUMIFS($J:$J,$E:$E,"VRAI",$F:$F,"F",$M:$M,"D")*SUMIFS($J:$J,$E:$E,"VRAI",$F:$F,"G",$M:$M,"E")*SUMIFS($J:$J,$E:$E,"VRAI",$F:$F,"H",$M:$M,"F")*SUMIFS($J:$J,$E:$E,"VRAI",$H:$H,"E",$I:$I,"D3")</f>
        <v>0</v>
      </c>
      <c r="AX49" s="47">
        <f>SUMIFS($D:$D,$E:$E,"FAUX",$G:$G,"H4",$M:$M,"G",$N:$N,"H*")*SUMIFS($J:$J,$E:$E,"VRAI",$F:$F,"F",$M:$M,"D")*SUMIFS($J:$J,$E:$E,"VRAI",$F:$F,"G",$M:$M,"E")*SUMIFS($J:$J,$E:$E,"VRAI",$F:$F,"H",$M:$M,"F")*SUMIFS($J:$J,$E:$E,"VRAI",$H:$H,"E",$I:$I,"D4")</f>
        <v>0</v>
      </c>
      <c r="AY49" s="47">
        <f>SUMIFS($D:$D,$E:$E,"FAUX",$G:$G,"H4",$M:$M,"G",$N:$N,"H*")*SUMIFS($J:$J,$E:$E,"VRAI",$F:$F,"F",$M:$M,"D")*SUMIFS($J:$J,$E:$E,"VRAI",$F:$F,"G",$M:$M,"E")*SUMIFS($J:$J,$E:$E,"VRAI",$F:$F,"H",$M:$M,"F")*SUMIFS($J:$J,$E:$E,"VRAI",$H:$H,"E",$I:$I,"D5")</f>
        <v>0</v>
      </c>
      <c r="AZ49" s="48">
        <f>SUMIFS($D:$D,$E:$E,"FAUX",$G:$G,"H4",$M:$M,"G",$N:$N,"H*")*SUMIFS($J:$J,$E:$E,"VRAI",$F:$F,"F",$M:$M,"D")*SUMIFS($J:$J,$E:$E,"VRAI",$F:$F,"G",$M:$M,"E")*SUMIFS($J:$J,$E:$E,"VRAI",$F:$F,"H",$M:$M,"F")*SUMIFS($J:$J,$E:$E,"VRAI",$H:$H,"E",$I:$I,"D6")</f>
        <v>0</v>
      </c>
      <c r="BA49" s="46">
        <f>SUMIFS($D:$D,$E:$E,"FAUX",$G:$G,"H4",$M:$M,"G",$N:$N,"H*")*SUMIFS($J:$J,$E:$E,"VRAI",$F:$F,"G",$M:$M,"E")*SUMIFS($J:$J,$E:$E,"VRAI",$F:$F,"H",$M:$M,"F")*SUMIFS($J:$J,$E:$E,"VRAI",$I:$I,"E1",$F:$F,"F")</f>
        <v>0</v>
      </c>
      <c r="BB49" s="47">
        <f>SUMIFS($D:$D,$E:$E,"FAUX",$G:$G,"H4",$M:$M,"G",$N:$N,"H*")*SUMIFS($J:$J,$E:$E,"VRAI",$F:$F,"G",$M:$M,"E")*SUMIFS($J:$J,$E:$E,"VRAI",$F:$F,"H",$M:$M,"F")*SUMIFS($J:$J,$E:$E,"VRAI",$I:$I,"E2",$F:$F,"F")</f>
        <v>0</v>
      </c>
      <c r="BC49" s="47">
        <f>SUMIFS($D:$D,$E:$E,"FAUX",$G:$G,"H4",$M:$M,"G",$N:$N,"H*")*SUMIFS($J:$J,$E:$E,"VRAI",$F:$F,"G",$M:$M,"E")*SUMIFS($J:$J,$E:$E,"VRAI",$F:$F,"H",$M:$M,"F")*SUMIFS($J:$J,$E:$E,"VRAI",$I:$I,"E3",$F:$F,"F")</f>
        <v>0</v>
      </c>
      <c r="BD49" s="47">
        <f>SUMIFS($D:$D,$E:$E,"FAUX",$G:$G,"H4",$M:$M,"G",$N:$N,"H*")*SUMIFS($J:$J,$E:$E,"VRAI",$F:$F,"G",$M:$M,"E")*SUMIFS($J:$J,$E:$E,"VRAI",$F:$F,"H",$M:$M,"F")*SUMIFS($J:$J,$E:$E,"VRAI",$I:$I,"E4",$F:$F,"F")</f>
        <v>0</v>
      </c>
      <c r="BE49" s="47">
        <f>SUMIFS($D:$D,$E:$E,"FAUX",$G:$G,"H4",$M:$M,"G",$N:$N,"H*")*SUMIFS($J:$J,$E:$E,"VRAI",$F:$F,"G",$M:$M,"E")*SUMIFS($J:$J,$E:$E,"VRAI",$F:$F,"H",$M:$M,"F")*SUMIFS($J:$J,$E:$E,"VRAI",$I:$I,"E5",$F:$F,"F")</f>
        <v>0</v>
      </c>
      <c r="BF49" s="48">
        <f>SUMIFS($D:$D,$E:$E,"FAUX",$G:$G,"H4",$M:$M,"G",$N:$N,"H*")*SUMIFS($J:$J,$E:$E,"VRAI",$F:$F,"G",$M:$M,"E")*SUMIFS($J:$J,$E:$E,"VRAI",$F:$F,"H",$M:$M,"F")*SUMIFS($J:$J,$E:$E,"VRAI",$I:$I,"E6",$F:$F,"F")</f>
        <v>0</v>
      </c>
      <c r="BG49" s="46">
        <f>SUMIFS($D:$D,$E:$E,"FAUX",$G:$G,"H4",$M:$M,"G",$N:$N,"H*")*SUMIFS($J:$J,$E:$E,"VRAI",$F:$F,"H",$M:$M,"F")*SUMIFS($J:$J,$E:$E,"VRAI",$I:$I,"F1",$F:$F,"G")</f>
        <v>0</v>
      </c>
      <c r="BH49" s="47">
        <f>SUMIFS($D:$D,$E:$E,"FAUX",$G:$G,"H4",$M:$M,"G",$N:$N,"H*")*SUMIFS($J:$J,$E:$E,"VRAI",$F:$F,"H",$M:$M,"F")*SUMIFS($J:$J,$E:$E,"VRAI",$I:$I,"F2",$F:$F,"G")</f>
        <v>0</v>
      </c>
      <c r="BI49" s="47">
        <f>SUMIFS($D:$D,$E:$E,"FAUX",$G:$G,"H4",$M:$M,"G",$N:$N,"H*")*SUMIFS($J:$J,$E:$E,"VRAI",$F:$F,"H",$M:$M,"F")*SUMIFS($J:$J,$E:$E,"VRAI",$I:$I,"F3",$F:$F,"G")</f>
        <v>0</v>
      </c>
      <c r="BJ49" s="47">
        <f>SUMIFS($D:$D,$E:$E,"FAUX",$G:$G,"H4",$M:$M,"G",$N:$N,"H*")*SUMIFS($J:$J,$E:$E,"VRAI",$F:$F,"H",$M:$M,"F")*SUMIFS($J:$J,$E:$E,"VRAI",$I:$I,"F4",$F:$F,"G")</f>
        <v>0</v>
      </c>
      <c r="BK49" s="47">
        <f>SUMIFS($D:$D,$E:$E,"FAUX",$G:$G,"H4",$M:$M,"G",$N:$N,"H*")*SUMIFS($J:$J,$E:$E,"VRAI",$F:$F,"H",$M:$M,"F")*SUMIFS($J:$J,$E:$E,"VRAI",$I:$I,"F5",$F:$F,"G")</f>
        <v>0</v>
      </c>
      <c r="BL49" s="48">
        <f>SUMIFS($D:$D,$E:$E,"FAUX",$G:$G,"H4",$M:$M,"G",$N:$N,"H*")*SUMIFS($J:$J,$E:$E,"VRAI",$F:$F,"H",$M:$M,"F")*SUMIFS($J:$J,$E:$E,"VRAI",$I:$I,"F6",$F:$F,"G")</f>
        <v>0</v>
      </c>
      <c r="BM49" s="27">
        <f>SUMIFS($D:$D,$E:$E,"FAUX",$G:$G,"H4",$M:$M,"G",$N:$N,"H*")*SUMIFS($J:$J,$E:$E,"VRAI",$I:$I,"G1",$F:$F,"H")</f>
        <v>0</v>
      </c>
      <c r="BN49" s="27">
        <f>SUMIFS($D:$D,$E:$E,"FAUX",$G:$G,"H4",$M:$M,"G",$N:$N,"H*")*SUMIFS($J:$J,$E:$E,"VRAI",$I:$I,"G2",$F:$F,"H")</f>
        <v>0</v>
      </c>
      <c r="BO49" s="27">
        <f>SUMIFS($D:$D,$E:$E,"FAUX",$G:$G,"H4",$M:$M,"G",$N:$N,"H*")*SUMIFS($J:$J,$E:$E,"VRAI",$I:$I,"G3",$F:$F,"H")</f>
        <v>0</v>
      </c>
      <c r="BP49" s="27">
        <f>SUMIFS($D:$D,$E:$E,"FAUX",$G:$G,"H4",$M:$M,"G",$N:$N,"H*")*SUMIFS($J:$J,$E:$E,"VRAI",$I:$I,"G4",$F:$F,"H")</f>
        <v>0</v>
      </c>
      <c r="BQ49" s="27">
        <f>SUMIFS($D:$D,$E:$E,"FAUX",$G:$G,"H4",$M:$M,"G",$N:$N,"H*")*SUMIFS($J:$J,$E:$E,"VRAI",$I:$I,"G5",$F:$F,"H")</f>
        <v>0</v>
      </c>
      <c r="BR49" s="28">
        <f>SUMIFS($D:$D,$E:$E,"FAUX",$G:$G,"H4",$M:$M,"G",$N:$N,"H*")*SUMIFS($J:$J,$E:$E,"VRAI",$I:$I,"G6",$F:$F,"H")</f>
        <v>0</v>
      </c>
      <c r="BS49" s="54">
        <f>SUMIFS($D:$D,$O:$O,"H_4_1")</f>
        <v>0</v>
      </c>
      <c r="BT49" s="54">
        <f>SUMIFS($D:$D,$O:$O,"H_4_2")</f>
        <v>0</v>
      </c>
      <c r="BU49" s="54">
        <f>SUMIFS($D:$D,$O:$O,"H_4_3")</f>
        <v>0</v>
      </c>
      <c r="BV49" s="54">
        <f>SUMIFS($D:$D,$O:$O,"H_4_4")</f>
        <v>0</v>
      </c>
      <c r="BW49" s="54">
        <f>SUMIFS($D:$D,$O:$O,"H_4_5")</f>
        <v>0</v>
      </c>
      <c r="BX49" s="55">
        <f>SUMIFS($D:$D,$O:$O,"H_4_6")</f>
        <v>0</v>
      </c>
      <c r="BY49" s="31">
        <f>SUMIFS($D:$D,$E:$E,"FAUX",$G:$G,"I4",$M:$M,"J",$N:$N,"I*")*SUMIFS($J:$J,$O:$O,"I_1_1")</f>
        <v>0</v>
      </c>
      <c r="BZ49" s="27">
        <f>SUMIFS($D:$D,$E:$E,"FAUX",$G:$G,"I4",$M:$M,"J",$N:$N,"I*")*SUMIFS($J:$J,$O:$O,"I_1_2")</f>
        <v>0</v>
      </c>
      <c r="CA49" s="27">
        <f>SUMIFS($D:$D,$E:$E,"FAUX",$G:$G,"I4",$M:$M,"J",$N:$N,"I*")*SUMIFS($J:$J,$O:$O,"I_1_3")</f>
        <v>0</v>
      </c>
      <c r="CB49" s="27">
        <f>SUMIFS($D:$D,$E:$E,"FAUX",$G:$G,"I4",$M:$M,"J",$N:$N,"I*")*SUMIFS($J:$J,$O:$O,"I_1_4")</f>
        <v>0</v>
      </c>
      <c r="CC49" s="27">
        <f>SUMIFS($D:$D,$E:$E,"FAUX",$G:$G,"I4",$M:$M,"J",$N:$N,"I*")*SUMIFS($J:$J,$O:$O,"I_1_5")</f>
        <v>0</v>
      </c>
      <c r="CD49" s="27">
        <f>SUMIFS($D:$D,$E:$E,"FAUX",$G:$G,"I4",$M:$M,"J",$N:$N,"I*")*SUMIFS($J:$J,$O:$O,"I_1_6")</f>
        <v>0</v>
      </c>
      <c r="CE49" s="46">
        <f>SUMIFS($D:$D,$E:$E,"FAUX",$G:$G,"H4",$M:$M,"F",$N:$N,"E*")*SUMIFS($J:$J,$E:$E,"VRAI",$F:$F,"H",$M:$M,"J")*SUMIFS($J:$J,$E:$E,"VRAI",$F:$F,"I",$I:$I,"J1")</f>
        <v>0</v>
      </c>
      <c r="CF49" s="47">
        <f>SUMIFS($D:$D,$E:$E,"FAUX",$G:$G,"H4",$M:$M,"F",$N:$N,"E*")*SUMIFS($J:$J,$E:$E,"VRAI",$F:$F,"H",$M:$M,"J")*SUMIFS($J:$J,$E:$E,"VRAI",$F:$F,"I",$I:$I,"J2")</f>
        <v>0</v>
      </c>
      <c r="CG49" s="47">
        <f>SUMIFS($D:$D,$E:$E,"FAUX",$G:$G,"H4",$M:$M,"F",$N:$N,"E*")*SUMIFS($J:$J,$E:$E,"VRAI",$F:$F,"H",$M:$M,"J")*SUMIFS($J:$J,$E:$E,"VRAI",$F:$F,"I",$I:$I,"J3")</f>
        <v>0</v>
      </c>
      <c r="CH49" s="47">
        <f>SUMIFS($D:$D,$E:$E,"FAUX",$G:$G,"H4",$M:$M,"F",$N:$N,"E*")*SUMIFS($J:$J,$E:$E,"VRAI",$F:$F,"H",$M:$M,"J")*SUMIFS($J:$J,$E:$E,"VRAI",$F:$F,"I",$I:$I,"J4")</f>
        <v>0</v>
      </c>
      <c r="CI49" s="47">
        <f>SUMIFS($D:$D,$E:$E,"FAUX",$G:$G,"H4",$M:$M,"F",$N:$N,"E*")*SUMIFS($J:$J,$E:$E,"VRAI",$F:$F,"H",$M:$M,"J")*SUMIFS($J:$J,$E:$E,"VRAI",$F:$F,"I",$I:$I,"J5")</f>
        <v>0</v>
      </c>
      <c r="CJ49" s="47">
        <f>SUMIFS($D:$D,$E:$E,"FAUX",$G:$G,"H4",$M:$M,"F",$N:$N,"E*")*SUMIFS($J:$J,$E:$E,"VRAI",$F:$F,"H",$M:$M,"J")*SUMIFS($J:$J,$E:$E,"VRAI",$F:$F,"I",$I:$I,"J6")</f>
        <v>0</v>
      </c>
      <c r="CK49" s="46">
        <f>SUMIFS($D:$D,$E:$E,"FAUX",$G:$G,"H4",$M:$M,"F",$N:$N,"E*")*SUMIFS($J:$J,$E:$E,"VRAI",$F:$F,"H",$M:$M,"J")*SUMIFS($J:$J,$E:$E,"VRAI",$F:$F,"I",$M:$M,"K")*SUMIFS($J:$J,$E:$E,"VRAI",$F:$F,"J",$I:$I,"K1")</f>
        <v>0</v>
      </c>
      <c r="CL49" s="47">
        <f>SUMIFS($D:$D,$E:$E,"FAUX",$G:$G,"H4",$M:$M,"F",$N:$N,"E*")*SUMIFS($J:$J,$E:$E,"VRAI",$F:$F,"H",$M:$M,"J")*SUMIFS($J:$J,$E:$E,"VRAI",$F:$F,"I",$M:$M,"K")*SUMIFS($J:$J,$E:$E,"VRAI",$F:$F,"J",$I:$I,"K2")</f>
        <v>0</v>
      </c>
      <c r="CM49" s="47">
        <f>SUMIFS($D:$D,$E:$E,"FAUX",$G:$G,"H4",$M:$M,"F",$N:$N,"E*")*SUMIFS($J:$J,$E:$E,"VRAI",$F:$F,"H",$M:$M,"J")*SUMIFS($J:$J,$E:$E,"VRAI",$F:$F,"I",$M:$M,"K")*SUMIFS($J:$J,$E:$E,"VRAI",$F:$F,"J",$I:$I,"K3")</f>
        <v>0</v>
      </c>
      <c r="CN49" s="47">
        <f>SUMIFS($D:$D,$E:$E,"FAUX",$G:$G,"H4",$M:$M,"F",$N:$N,"E*")*SUMIFS($J:$J,$E:$E,"VRAI",$F:$F,"H",$M:$M,"J")*SUMIFS($J:$J,$E:$E,"VRAI",$F:$F,"I",$M:$M,"K")*SUMIFS($J:$J,$E:$E,"VRAI",$F:$F,"J",$I:$I,"K4")</f>
        <v>0</v>
      </c>
      <c r="CO49" s="47">
        <f>SUMIFS($D:$D,$E:$E,"FAUX",$G:$G,"H4",$M:$M,"F",$N:$N,"E*")*SUMIFS($J:$J,$E:$E,"VRAI",$F:$F,"H",$M:$M,"J")*SUMIFS($J:$J,$E:$E,"VRAI",$F:$F,"I",$M:$M,"K")*SUMIFS($J:$J,$E:$E,"VRAI",$F:$F,"J",$I:$I,"K5")</f>
        <v>0</v>
      </c>
      <c r="CP49" s="48">
        <f>SUMIFS($D:$D,$E:$E,"FAUX",$G:$G,"H4",$M:$M,"F",$N:$N,"E*")*SUMIFS($J:$J,$E:$E,"VRAI",$F:$F,"H",$M:$M,"J")*SUMIFS($J:$J,$E:$E,"VRAI",$F:$F,"I",$M:$M,"K")*SUMIFS($J:$J,$E:$E,"VRAI",$F:$F,"J",$I:$I,"K6")</f>
        <v>0</v>
      </c>
    </row>
    <row r="50" spans="1:94">
      <c r="A50" s="35" t="s">
        <v>10</v>
      </c>
      <c r="B50" s="35">
        <v>2</v>
      </c>
      <c r="C50" s="35">
        <v>2</v>
      </c>
      <c r="D50" s="35">
        <v>0</v>
      </c>
      <c r="E50" s="35" t="b">
        <v>0</v>
      </c>
      <c r="F50" s="35"/>
      <c r="G50" s="53" t="str">
        <f t="shared" si="0"/>
        <v>C2</v>
      </c>
      <c r="H50" s="52" t="str">
        <f t="shared" si="5"/>
        <v/>
      </c>
      <c r="I50" s="41" t="str">
        <f t="shared" si="1"/>
        <v>C2</v>
      </c>
      <c r="J50" s="42">
        <f t="shared" si="2"/>
        <v>0</v>
      </c>
      <c r="K50" s="41">
        <f t="shared" si="6"/>
        <v>548</v>
      </c>
      <c r="L50" s="41" t="str">
        <f t="shared" si="3"/>
        <v/>
      </c>
      <c r="M50" s="41" t="str">
        <f t="shared" si="7"/>
        <v/>
      </c>
      <c r="N50" s="41" t="str">
        <f>IFERROR(VLOOKUP(I50,L50:L:L,1,FALSE),"")</f>
        <v/>
      </c>
      <c r="O50" s="56" t="str">
        <f t="shared" si="8"/>
        <v>C_2_2</v>
      </c>
      <c r="Z50" t="e">
        <f t="shared" si="9"/>
        <v>#N/A</v>
      </c>
      <c r="AA50" t="e">
        <f t="shared" si="10"/>
        <v>#N/A</v>
      </c>
      <c r="AB50" t="s">
        <v>67</v>
      </c>
      <c r="AC50" s="46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0</v>
      </c>
      <c r="AD50" s="47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50" s="47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0</v>
      </c>
      <c r="AF50" s="47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50" s="47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50" s="47">
        <f>SUMIFS($D:$D,$E:$E,"FAUX",$G:$G,"H5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50" s="16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0</v>
      </c>
      <c r="AJ50" s="17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50" s="17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50" s="17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0</v>
      </c>
      <c r="AM50" s="17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50" s="17">
        <f>SUMIFS($D:$D,$E:$E,"FAUX",$G:$G,"H5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50" s="46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1")</f>
        <v>0</v>
      </c>
      <c r="AP50" s="47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50" s="47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50" s="47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50" s="47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50" s="48">
        <f>SUMIFS($D:$D,$E:$E,"FAUX",$G:$G,"H5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50" s="46">
        <f>SUMIFS($D:$D,$E:$E,"FAUX",$G:$G,"H5",$M:$M,"G",$N:$N,"H*")*SUMIFS($J:$J,$E:$E,"VRAI",$F:$F,"F",$M:$M,"D")*SUMIFS($J:$J,$E:$E,"VRAI",$F:$F,"G",$M:$M,"E")*SUMIFS($J:$J,$E:$E,"VRAI",$F:$F,"H",$M:$M,"F")*SUMIFS($J:$J,$E:$E,"VRAI",$H:$H,"E",$I:$I,"D1")</f>
        <v>0</v>
      </c>
      <c r="AV50" s="47">
        <f>SUMIFS($D:$D,$E:$E,"FAUX",$G:$G,"H5",$M:$M,"G",$N:$N,"H*")*SUMIFS($J:$J,$E:$E,"VRAI",$F:$F,"F",$M:$M,"D")*SUMIFS($J:$J,$E:$E,"VRAI",$F:$F,"G",$M:$M,"E")*SUMIFS($J:$J,$E:$E,"VRAI",$F:$F,"H",$M:$M,"F")*SUMIFS($J:$J,$E:$E,"VRAI",$H:$H,"E",$I:$I,"D2")</f>
        <v>0</v>
      </c>
      <c r="AW50" s="47">
        <f>SUMIFS($D:$D,$E:$E,"FAUX",$G:$G,"H5",$M:$M,"G",$N:$N,"H*")*SUMIFS($J:$J,$E:$E,"VRAI",$F:$F,"F",$M:$M,"D")*SUMIFS($J:$J,$E:$E,"VRAI",$F:$F,"G",$M:$M,"E")*SUMIFS($J:$J,$E:$E,"VRAI",$F:$F,"H",$M:$M,"F")*SUMIFS($J:$J,$E:$E,"VRAI",$H:$H,"E",$I:$I,"D3")</f>
        <v>0</v>
      </c>
      <c r="AX50" s="47">
        <f>SUMIFS($D:$D,$E:$E,"FAUX",$G:$G,"H5",$M:$M,"G",$N:$N,"H*")*SUMIFS($J:$J,$E:$E,"VRAI",$F:$F,"F",$M:$M,"D")*SUMIFS($J:$J,$E:$E,"VRAI",$F:$F,"G",$M:$M,"E")*SUMIFS($J:$J,$E:$E,"VRAI",$F:$F,"H",$M:$M,"F")*SUMIFS($J:$J,$E:$E,"VRAI",$H:$H,"E",$I:$I,"D4")</f>
        <v>0</v>
      </c>
      <c r="AY50" s="47">
        <f>SUMIFS($D:$D,$E:$E,"FAUX",$G:$G,"H5",$M:$M,"G",$N:$N,"H*")*SUMIFS($J:$J,$E:$E,"VRAI",$F:$F,"F",$M:$M,"D")*SUMIFS($J:$J,$E:$E,"VRAI",$F:$F,"G",$M:$M,"E")*SUMIFS($J:$J,$E:$E,"VRAI",$F:$F,"H",$M:$M,"F")*SUMIFS($J:$J,$E:$E,"VRAI",$H:$H,"E",$I:$I,"D5")</f>
        <v>0</v>
      </c>
      <c r="AZ50" s="48">
        <f>SUMIFS($D:$D,$E:$E,"FAUX",$G:$G,"H5",$M:$M,"G",$N:$N,"H*")*SUMIFS($J:$J,$E:$E,"VRAI",$F:$F,"F",$M:$M,"D")*SUMIFS($J:$J,$E:$E,"VRAI",$F:$F,"G",$M:$M,"E")*SUMIFS($J:$J,$E:$E,"VRAI",$F:$F,"H",$M:$M,"F")*SUMIFS($J:$J,$E:$E,"VRAI",$H:$H,"E",$I:$I,"D6")</f>
        <v>0</v>
      </c>
      <c r="BA50" s="46">
        <f>SUMIFS($D:$D,$E:$E,"FAUX",$G:$G,"H5",$M:$M,"G",$N:$N,"H*")*SUMIFS($J:$J,$E:$E,"VRAI",$F:$F,"G",$M:$M,"E")*SUMIFS($J:$J,$E:$E,"VRAI",$F:$F,"H",$M:$M,"F")*SUMIFS($J:$J,$E:$E,"VRAI",$I:$I,"E1",$F:$F,"F")</f>
        <v>0</v>
      </c>
      <c r="BB50" s="47">
        <f>SUMIFS($D:$D,$E:$E,"FAUX",$G:$G,"H5",$M:$M,"G",$N:$N,"H*")*SUMIFS($J:$J,$E:$E,"VRAI",$F:$F,"G",$M:$M,"E")*SUMIFS($J:$J,$E:$E,"VRAI",$F:$F,"H",$M:$M,"F")*SUMIFS($J:$J,$E:$E,"VRAI",$I:$I,"E2",$F:$F,"F")</f>
        <v>0</v>
      </c>
      <c r="BC50" s="47">
        <f>SUMIFS($D:$D,$E:$E,"FAUX",$G:$G,"H5",$M:$M,"G",$N:$N,"H*")*SUMIFS($J:$J,$E:$E,"VRAI",$F:$F,"G",$M:$M,"E")*SUMIFS($J:$J,$E:$E,"VRAI",$F:$F,"H",$M:$M,"F")*SUMIFS($J:$J,$E:$E,"VRAI",$I:$I,"E3",$F:$F,"F")</f>
        <v>0</v>
      </c>
      <c r="BD50" s="47">
        <f>SUMIFS($D:$D,$E:$E,"FAUX",$G:$G,"H5",$M:$M,"G",$N:$N,"H*")*SUMIFS($J:$J,$E:$E,"VRAI",$F:$F,"G",$M:$M,"E")*SUMIFS($J:$J,$E:$E,"VRAI",$F:$F,"H",$M:$M,"F")*SUMIFS($J:$J,$E:$E,"VRAI",$I:$I,"E4",$F:$F,"F")</f>
        <v>0</v>
      </c>
      <c r="BE50" s="47">
        <f>SUMIFS($D:$D,$E:$E,"FAUX",$G:$G,"H5",$M:$M,"G",$N:$N,"H*")*SUMIFS($J:$J,$E:$E,"VRAI",$F:$F,"G",$M:$M,"E")*SUMIFS($J:$J,$E:$E,"VRAI",$F:$F,"H",$M:$M,"F")*SUMIFS($J:$J,$E:$E,"VRAI",$I:$I,"E5",$F:$F,"F")</f>
        <v>0</v>
      </c>
      <c r="BF50" s="48">
        <f>SUMIFS($D:$D,$E:$E,"FAUX",$G:$G,"H5",$M:$M,"G",$N:$N,"H*")*SUMIFS($J:$J,$E:$E,"VRAI",$F:$F,"G",$M:$M,"E")*SUMIFS($J:$J,$E:$E,"VRAI",$F:$F,"H",$M:$M,"F")*SUMIFS($J:$J,$E:$E,"VRAI",$I:$I,"E6",$F:$F,"F")</f>
        <v>0</v>
      </c>
      <c r="BG50" s="46">
        <f>SUMIFS($D:$D,$E:$E,"FAUX",$G:$G,"H5",$M:$M,"G",$N:$N,"H*")*SUMIFS($J:$J,$E:$E,"VRAI",$F:$F,"H",$M:$M,"F")*SUMIFS($J:$J,$E:$E,"VRAI",$I:$I,"F1",$F:$F,"G")</f>
        <v>0</v>
      </c>
      <c r="BH50" s="47">
        <f>SUMIFS($D:$D,$E:$E,"FAUX",$G:$G,"H5",$M:$M,"G",$N:$N,"H*")*SUMIFS($J:$J,$E:$E,"VRAI",$F:$F,"H",$M:$M,"F")*SUMIFS($J:$J,$E:$E,"VRAI",$I:$I,"F2",$F:$F,"G")</f>
        <v>0</v>
      </c>
      <c r="BI50" s="47">
        <f>SUMIFS($D:$D,$E:$E,"FAUX",$G:$G,"H5",$M:$M,"G",$N:$N,"H*")*SUMIFS($J:$J,$E:$E,"VRAI",$F:$F,"H",$M:$M,"F")*SUMIFS($J:$J,$E:$E,"VRAI",$I:$I,"F3",$F:$F,"G")</f>
        <v>0</v>
      </c>
      <c r="BJ50" s="47">
        <f>SUMIFS($D:$D,$E:$E,"FAUX",$G:$G,"H5",$M:$M,"G",$N:$N,"H*")*SUMIFS($J:$J,$E:$E,"VRAI",$F:$F,"H",$M:$M,"F")*SUMIFS($J:$J,$E:$E,"VRAI",$I:$I,"F4",$F:$F,"G")</f>
        <v>0</v>
      </c>
      <c r="BK50" s="47">
        <f>SUMIFS($D:$D,$E:$E,"FAUX",$G:$G,"H5",$M:$M,"G",$N:$N,"H*")*SUMIFS($J:$J,$E:$E,"VRAI",$F:$F,"H",$M:$M,"F")*SUMIFS($J:$J,$E:$E,"VRAI",$I:$I,"F5",$F:$F,"G")</f>
        <v>0</v>
      </c>
      <c r="BL50" s="48">
        <f>SUMIFS($D:$D,$E:$E,"FAUX",$G:$G,"H5",$M:$M,"G",$N:$N,"H*")*SUMIFS($J:$J,$E:$E,"VRAI",$F:$F,"H",$M:$M,"F")*SUMIFS($J:$J,$E:$E,"VRAI",$I:$I,"F6",$F:$F,"G")</f>
        <v>0</v>
      </c>
      <c r="BM50" s="27">
        <f>SUMIFS($D:$D,$E:$E,"FAUX",$G:$G,"H5",$M:$M,"G",$N:$N,"H*")*SUMIFS($J:$J,$E:$E,"VRAI",$I:$I,"G1",$F:$F,"H")</f>
        <v>0</v>
      </c>
      <c r="BN50" s="27">
        <f>SUMIFS($D:$D,$E:$E,"FAUX",$G:$G,"H5",$M:$M,"G",$N:$N,"H*")*SUMIFS($J:$J,$E:$E,"VRAI",$I:$I,"G2",$F:$F,"H")</f>
        <v>0</v>
      </c>
      <c r="BO50" s="27">
        <f>SUMIFS($D:$D,$E:$E,"FAUX",$G:$G,"H5",$M:$M,"G",$N:$N,"H*")*SUMIFS($J:$J,$E:$E,"VRAI",$I:$I,"G3",$F:$F,"H")</f>
        <v>0</v>
      </c>
      <c r="BP50" s="27">
        <f>SUMIFS($D:$D,$E:$E,"FAUX",$G:$G,"H5",$M:$M,"G",$N:$N,"H*")*SUMIFS($J:$J,$E:$E,"VRAI",$I:$I,"G4",$F:$F,"H")</f>
        <v>0</v>
      </c>
      <c r="BQ50" s="27">
        <f>SUMIFS($D:$D,$E:$E,"FAUX",$G:$G,"H5",$M:$M,"G",$N:$N,"H*")*SUMIFS($J:$J,$E:$E,"VRAI",$I:$I,"G5",$F:$F,"H")</f>
        <v>0</v>
      </c>
      <c r="BR50" s="28">
        <f>SUMIFS($D:$D,$E:$E,"FAUX",$G:$G,"H5",$M:$M,"G",$N:$N,"H*")*SUMIFS($J:$J,$E:$E,"VRAI",$I:$I,"G6",$F:$F,"H")</f>
        <v>0</v>
      </c>
      <c r="BS50" s="54">
        <f>SUMIFS($D:$D,$O:$O,"H_5_1")</f>
        <v>0</v>
      </c>
      <c r="BT50" s="54">
        <f>SUMIFS($D:$D,$O:$O,"H_5_2")</f>
        <v>0</v>
      </c>
      <c r="BU50" s="54">
        <f>SUMIFS($D:$D,$O:$O,"H_5_3")</f>
        <v>0</v>
      </c>
      <c r="BV50" s="54">
        <f>SUMIFS($D:$D,$O:$O,"H_5_4")</f>
        <v>0</v>
      </c>
      <c r="BW50" s="54">
        <f>SUMIFS($D:$D,$O:$O,"H_5_5")</f>
        <v>0</v>
      </c>
      <c r="BX50" s="55">
        <f>SUMIFS($D:$D,$O:$O,"H_5_6")</f>
        <v>0</v>
      </c>
      <c r="BY50" s="31">
        <f>SUMIFS($D:$D,$E:$E,"FAUX",$G:$G,"I5",$M:$M,"J",$N:$N,"I*")*SUMIFS($J:$J,$O:$O,"I_1_1")</f>
        <v>0</v>
      </c>
      <c r="BZ50" s="27">
        <f>SUMIFS($D:$D,$E:$E,"FAUX",$G:$G,"I5",$M:$M,"J",$N:$N,"I*")*SUMIFS($J:$J,$O:$O,"I_1_2")</f>
        <v>0</v>
      </c>
      <c r="CA50" s="27">
        <f>SUMIFS($D:$D,$E:$E,"FAUX",$G:$G,"I5",$M:$M,"J",$N:$N,"I*")*SUMIFS($J:$J,$O:$O,"I_1_3")</f>
        <v>0</v>
      </c>
      <c r="CB50" s="27">
        <f>SUMIFS($D:$D,$E:$E,"FAUX",$G:$G,"I5",$M:$M,"J",$N:$N,"I*")*SUMIFS($J:$J,$O:$O,"I_1_4")</f>
        <v>0</v>
      </c>
      <c r="CC50" s="27">
        <f>SUMIFS($D:$D,$E:$E,"FAUX",$G:$G,"I5",$M:$M,"J",$N:$N,"I*")*SUMIFS($J:$J,$O:$O,"I_1_5")</f>
        <v>0</v>
      </c>
      <c r="CD50" s="27">
        <f>SUMIFS($D:$D,$E:$E,"FAUX",$G:$G,"I5",$M:$M,"J",$N:$N,"I*")*SUMIFS($J:$J,$O:$O,"I_1_6")</f>
        <v>0</v>
      </c>
      <c r="CE50" s="46">
        <f>SUMIFS($D:$D,$E:$E,"FAUX",$G:$G,"H5",$M:$M,"F",$N:$N,"E*")*SUMIFS($J:$J,$E:$E,"VRAI",$F:$F,"H",$M:$M,"J")*SUMIFS($J:$J,$E:$E,"VRAI",$F:$F,"I",$I:$I,"J1")</f>
        <v>0</v>
      </c>
      <c r="CF50" s="47">
        <f>SUMIFS($D:$D,$E:$E,"FAUX",$G:$G,"H5",$M:$M,"F",$N:$N,"E*")*SUMIFS($J:$J,$E:$E,"VRAI",$F:$F,"H",$M:$M,"J")*SUMIFS($J:$J,$E:$E,"VRAI",$F:$F,"I",$I:$I,"J2")</f>
        <v>0</v>
      </c>
      <c r="CG50" s="47">
        <f>SUMIFS($D:$D,$E:$E,"FAUX",$G:$G,"H5",$M:$M,"F",$N:$N,"E*")*SUMIFS($J:$J,$E:$E,"VRAI",$F:$F,"H",$M:$M,"J")*SUMIFS($J:$J,$E:$E,"VRAI",$F:$F,"I",$I:$I,"J3")</f>
        <v>0</v>
      </c>
      <c r="CH50" s="47">
        <f>SUMIFS($D:$D,$E:$E,"FAUX",$G:$G,"H5",$M:$M,"F",$N:$N,"E*")*SUMIFS($J:$J,$E:$E,"VRAI",$F:$F,"H",$M:$M,"J")*SUMIFS($J:$J,$E:$E,"VRAI",$F:$F,"I",$I:$I,"J4")</f>
        <v>0</v>
      </c>
      <c r="CI50" s="47">
        <f>SUMIFS($D:$D,$E:$E,"FAUX",$G:$G,"H5",$M:$M,"F",$N:$N,"E*")*SUMIFS($J:$J,$E:$E,"VRAI",$F:$F,"H",$M:$M,"J")*SUMIFS($J:$J,$E:$E,"VRAI",$F:$F,"I",$I:$I,"J5")</f>
        <v>0</v>
      </c>
      <c r="CJ50" s="47">
        <f>SUMIFS($D:$D,$E:$E,"FAUX",$G:$G,"H5",$M:$M,"F",$N:$N,"E*")*SUMIFS($J:$J,$E:$E,"VRAI",$F:$F,"H",$M:$M,"J")*SUMIFS($J:$J,$E:$E,"VRAI",$F:$F,"I",$I:$I,"J6")</f>
        <v>0</v>
      </c>
      <c r="CK50" s="46">
        <f>SUMIFS($D:$D,$E:$E,"FAUX",$G:$G,"H5",$M:$M,"F",$N:$N,"E*")*SUMIFS($J:$J,$E:$E,"VRAI",$F:$F,"H",$M:$M,"J")*SUMIFS($J:$J,$E:$E,"VRAI",$F:$F,"I",$M:$M,"K")*SUMIFS($J:$J,$E:$E,"VRAI",$F:$F,"J",$I:$I,"K1")</f>
        <v>0</v>
      </c>
      <c r="CL50" s="47">
        <f>SUMIFS($D:$D,$E:$E,"FAUX",$G:$G,"H5",$M:$M,"F",$N:$N,"E*")*SUMIFS($J:$J,$E:$E,"VRAI",$F:$F,"H",$M:$M,"J")*SUMIFS($J:$J,$E:$E,"VRAI",$F:$F,"I",$M:$M,"K")*SUMIFS($J:$J,$E:$E,"VRAI",$F:$F,"J",$I:$I,"K2")</f>
        <v>0</v>
      </c>
      <c r="CM50" s="47">
        <f>SUMIFS($D:$D,$E:$E,"FAUX",$G:$G,"H5",$M:$M,"F",$N:$N,"E*")*SUMIFS($J:$J,$E:$E,"VRAI",$F:$F,"H",$M:$M,"J")*SUMIFS($J:$J,$E:$E,"VRAI",$F:$F,"I",$M:$M,"K")*SUMIFS($J:$J,$E:$E,"VRAI",$F:$F,"J",$I:$I,"K3")</f>
        <v>0</v>
      </c>
      <c r="CN50" s="47">
        <f>SUMIFS($D:$D,$E:$E,"FAUX",$G:$G,"H5",$M:$M,"F",$N:$N,"E*")*SUMIFS($J:$J,$E:$E,"VRAI",$F:$F,"H",$M:$M,"J")*SUMIFS($J:$J,$E:$E,"VRAI",$F:$F,"I",$M:$M,"K")*SUMIFS($J:$J,$E:$E,"VRAI",$F:$F,"J",$I:$I,"K4")</f>
        <v>0</v>
      </c>
      <c r="CO50" s="47">
        <f>SUMIFS($D:$D,$E:$E,"FAUX",$G:$G,"H5",$M:$M,"F",$N:$N,"E*")*SUMIFS($J:$J,$E:$E,"VRAI",$F:$F,"H",$M:$M,"J")*SUMIFS($J:$J,$E:$E,"VRAI",$F:$F,"I",$M:$M,"K")*SUMIFS($J:$J,$E:$E,"VRAI",$F:$F,"J",$I:$I,"K5")</f>
        <v>0</v>
      </c>
      <c r="CP50" s="48">
        <f>SUMIFS($D:$D,$E:$E,"FAUX",$G:$G,"H5",$M:$M,"F",$N:$N,"E*")*SUMIFS($J:$J,$E:$E,"VRAI",$F:$F,"H",$M:$M,"J")*SUMIFS($J:$J,$E:$E,"VRAI",$F:$F,"I",$M:$M,"K")*SUMIFS($J:$J,$E:$E,"VRAI",$F:$F,"J",$I:$I,"K6")</f>
        <v>0</v>
      </c>
    </row>
    <row r="51" spans="1:94">
      <c r="A51" s="35" t="s">
        <v>10</v>
      </c>
      <c r="B51" s="35">
        <v>3</v>
      </c>
      <c r="C51" s="35">
        <v>1</v>
      </c>
      <c r="D51" s="35">
        <v>792</v>
      </c>
      <c r="E51" s="35" t="b">
        <v>1</v>
      </c>
      <c r="F51" s="35" t="s">
        <v>11</v>
      </c>
      <c r="G51" s="53" t="str">
        <f t="shared" si="0"/>
        <v>C3</v>
      </c>
      <c r="H51" s="52" t="str">
        <f t="shared" si="5"/>
        <v>D</v>
      </c>
      <c r="I51" s="41" t="str">
        <f t="shared" si="1"/>
        <v>C1</v>
      </c>
      <c r="J51" s="42">
        <f t="shared" si="2"/>
        <v>1</v>
      </c>
      <c r="K51" s="41">
        <f t="shared" si="6"/>
        <v>792</v>
      </c>
      <c r="L51" s="41" t="str">
        <f t="shared" si="3"/>
        <v>C3</v>
      </c>
      <c r="M51" s="41" t="str">
        <f t="shared" si="7"/>
        <v>B</v>
      </c>
      <c r="N51" s="41" t="str">
        <f>IFERROR(VLOOKUP(I51,L51:L:L,1,FALSE),"")</f>
        <v>C1</v>
      </c>
      <c r="O51" s="56" t="str">
        <f t="shared" si="8"/>
        <v>C_3_1</v>
      </c>
      <c r="U51" s="1" t="s">
        <v>23</v>
      </c>
      <c r="V51" s="2">
        <f>SUMIF(A:A,"G",D:D)</f>
        <v>2798</v>
      </c>
      <c r="Z51" t="e">
        <f t="shared" si="9"/>
        <v>#N/A</v>
      </c>
      <c r="AA51" t="e">
        <f t="shared" si="10"/>
        <v>#N/A</v>
      </c>
      <c r="AB51" t="s">
        <v>68</v>
      </c>
      <c r="AC51" s="49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1")</f>
        <v>0</v>
      </c>
      <c r="AD51" s="50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2")</f>
        <v>0</v>
      </c>
      <c r="AE51" s="50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3")</f>
        <v>0</v>
      </c>
      <c r="AF51" s="50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4")</f>
        <v>0</v>
      </c>
      <c r="AG51" s="50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5")</f>
        <v>0</v>
      </c>
      <c r="AH51" s="50">
        <f>SUMIFS($D:$D,$E:$E,"FAUX",$G:$G,"H6",$M:$M,"G",$N:$N,"H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H:$H,"B",$I:$I,"A6")</f>
        <v>0</v>
      </c>
      <c r="AI51" s="16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1")</f>
        <v>0</v>
      </c>
      <c r="AJ51" s="17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2")</f>
        <v>0</v>
      </c>
      <c r="AK51" s="17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3")</f>
        <v>0</v>
      </c>
      <c r="AL51" s="17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4")</f>
        <v>0</v>
      </c>
      <c r="AM51" s="17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5")</f>
        <v>0</v>
      </c>
      <c r="AN51" s="17">
        <f>SUMIFS($D:$D,$E:$E,"FAUX",$G:$G,"H6",$M:$M,"G",$N:$N,"H*")*SUMIFS($J:$J,$E:$E,"VRAI",$F:$F,"D",$M:$M,"B")*SUMIFS($J:$J,$E:$E,"VRAI",$F:$F,"E",$M:$M,"C")*SUMIFS($J:$J,$E:$E,"VRAI",$F:$F,"F",$M:$M,"D")*SUMIFS($J:$J,$E:$E,"VRAI",$F:$F,"G",$M:$M,"E")*SUMIFS($J:$J,$E:$E,"VRAI",$F:$F,"H",$M:$M,"F")*SUMIFS($J:$J,$E:$E,"VRAI",$H:$H,"C",$I:$I,"B6")</f>
        <v>0</v>
      </c>
      <c r="AO51" s="49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1")</f>
        <v>0</v>
      </c>
      <c r="AP51" s="50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2")</f>
        <v>0</v>
      </c>
      <c r="AQ51" s="50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3")</f>
        <v>0</v>
      </c>
      <c r="AR51" s="50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4")</f>
        <v>0</v>
      </c>
      <c r="AS51" s="50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5")</f>
        <v>0</v>
      </c>
      <c r="AT51" s="51">
        <f>SUMIFS($D:$D,$E:$E,"FAUX",$G:$G,"H6",$M:$M,"G",$N:$N,"H*")*SUMIFS($J:$J,$E:$E,"VRAI",$F:$F,"E",$M:$M,"C")*SUMIFS($J:$J,$E:$E,"VRAI",$F:$F,"F",$M:$M,"D")*SUMIFS($J:$J,$E:$E,"VRAI",$F:$F,"G",$M:$M,"E")*SUMIFS($J:$J,$E:$E,"VRAI",$F:$F,"H",$M:$M,"F")*SUMIFS($J:$J,$E:$E,"VRAI",$H:$H,"D",$I:$I,"C6")</f>
        <v>0</v>
      </c>
      <c r="AU51" s="46">
        <f>SUMIFS($D:$D,$E:$E,"FAUX",$G:$G,"H6",$M:$M,"G",$N:$N,"H*")*SUMIFS($J:$J,$E:$E,"VRAI",$F:$F,"F",$M:$M,"D")*SUMIFS($J:$J,$E:$E,"VRAI",$F:$F,"G",$M:$M,"E")*SUMIFS($J:$J,$E:$E,"VRAI",$F:$F,"H",$M:$M,"F")*SUMIFS($J:$J,$E:$E,"VRAI",$H:$H,"E",$I:$I,"D1")</f>
        <v>0</v>
      </c>
      <c r="AV51" s="47">
        <f>SUMIFS($D:$D,$E:$E,"FAUX",$G:$G,"H6",$M:$M,"G",$N:$N,"H*")*SUMIFS($J:$J,$E:$E,"VRAI",$F:$F,"F",$M:$M,"D")*SUMIFS($J:$J,$E:$E,"VRAI",$F:$F,"G",$M:$M,"E")*SUMIFS($J:$J,$E:$E,"VRAI",$F:$F,"H",$M:$M,"F")*SUMIFS($J:$J,$E:$E,"VRAI",$H:$H,"E",$I:$I,"D2")</f>
        <v>0</v>
      </c>
      <c r="AW51" s="47">
        <f>SUMIFS($D:$D,$E:$E,"FAUX",$G:$G,"H6",$M:$M,"G",$N:$N,"H*")*SUMIFS($J:$J,$E:$E,"VRAI",$F:$F,"F",$M:$M,"D")*SUMIFS($J:$J,$E:$E,"VRAI",$F:$F,"G",$M:$M,"E")*SUMIFS($J:$J,$E:$E,"VRAI",$F:$F,"H",$M:$M,"F")*SUMIFS($J:$J,$E:$E,"VRAI",$H:$H,"E",$I:$I,"D3")</f>
        <v>0</v>
      </c>
      <c r="AX51" s="47">
        <f>SUMIFS($D:$D,$E:$E,"FAUX",$G:$G,"H6",$M:$M,"G",$N:$N,"H*")*SUMIFS($J:$J,$E:$E,"VRAI",$F:$F,"F",$M:$M,"D")*SUMIFS($J:$J,$E:$E,"VRAI",$F:$F,"G",$M:$M,"E")*SUMIFS($J:$J,$E:$E,"VRAI",$F:$F,"H",$M:$M,"F")*SUMIFS($J:$J,$E:$E,"VRAI",$H:$H,"E",$I:$I,"D4")</f>
        <v>0</v>
      </c>
      <c r="AY51" s="47">
        <f>SUMIFS($D:$D,$E:$E,"FAUX",$G:$G,"H6",$M:$M,"G",$N:$N,"H*")*SUMIFS($J:$J,$E:$E,"VRAI",$F:$F,"F",$M:$M,"D")*SUMIFS($J:$J,$E:$E,"VRAI",$F:$F,"G",$M:$M,"E")*SUMIFS($J:$J,$E:$E,"VRAI",$F:$F,"H",$M:$M,"F")*SUMIFS($J:$J,$E:$E,"VRAI",$H:$H,"E",$I:$I,"D5")</f>
        <v>0</v>
      </c>
      <c r="AZ51" s="48">
        <f>SUMIFS($D:$D,$E:$E,"FAUX",$G:$G,"H6",$M:$M,"G",$N:$N,"H*")*SUMIFS($J:$J,$E:$E,"VRAI",$F:$F,"F",$M:$M,"D")*SUMIFS($J:$J,$E:$E,"VRAI",$F:$F,"G",$M:$M,"E")*SUMIFS($J:$J,$E:$E,"VRAI",$F:$F,"H",$M:$M,"F")*SUMIFS($J:$J,$E:$E,"VRAI",$H:$H,"E",$I:$I,"D6")</f>
        <v>0</v>
      </c>
      <c r="BA51" s="46">
        <f>SUMIFS($D:$D,$E:$E,"FAUX",$G:$G,"H6",$M:$M,"G",$N:$N,"H*")*SUMIFS($J:$J,$E:$E,"VRAI",$F:$F,"G",$M:$M,"E")*SUMIFS($J:$J,$E:$E,"VRAI",$F:$F,"H",$M:$M,"F")*SUMIFS($J:$J,$E:$E,"VRAI",$I:$I,"E1",$F:$F,"F")</f>
        <v>0</v>
      </c>
      <c r="BB51" s="47">
        <f>SUMIFS($D:$D,$E:$E,"FAUX",$G:$G,"H6",$M:$M,"G",$N:$N,"H*")*SUMIFS($J:$J,$E:$E,"VRAI",$F:$F,"G",$M:$M,"E")*SUMIFS($J:$J,$E:$E,"VRAI",$F:$F,"H",$M:$M,"F")*SUMIFS($J:$J,$E:$E,"VRAI",$I:$I,"E2",$F:$F,"F")</f>
        <v>0</v>
      </c>
      <c r="BC51" s="47">
        <f>SUMIFS($D:$D,$E:$E,"FAUX",$G:$G,"H6",$M:$M,"G",$N:$N,"H*")*SUMIFS($J:$J,$E:$E,"VRAI",$F:$F,"G",$M:$M,"E")*SUMIFS($J:$J,$E:$E,"VRAI",$F:$F,"H",$M:$M,"F")*SUMIFS($J:$J,$E:$E,"VRAI",$I:$I,"E3",$F:$F,"F")</f>
        <v>0</v>
      </c>
      <c r="BD51" s="47">
        <f>SUMIFS($D:$D,$E:$E,"FAUX",$G:$G,"H6",$M:$M,"G",$N:$N,"H*")*SUMIFS($J:$J,$E:$E,"VRAI",$F:$F,"G",$M:$M,"E")*SUMIFS($J:$J,$E:$E,"VRAI",$F:$F,"H",$M:$M,"F")*SUMIFS($J:$J,$E:$E,"VRAI",$I:$I,"E4",$F:$F,"F")</f>
        <v>0</v>
      </c>
      <c r="BE51" s="47">
        <f>SUMIFS($D:$D,$E:$E,"FAUX",$G:$G,"H6",$M:$M,"G",$N:$N,"H*")*SUMIFS($J:$J,$E:$E,"VRAI",$F:$F,"G",$M:$M,"E")*SUMIFS($J:$J,$E:$E,"VRAI",$F:$F,"H",$M:$M,"F")*SUMIFS($J:$J,$E:$E,"VRAI",$I:$I,"E5",$F:$F,"F")</f>
        <v>0</v>
      </c>
      <c r="BF51" s="48">
        <f>SUMIFS($D:$D,$E:$E,"FAUX",$G:$G,"H6",$M:$M,"G",$N:$N,"H*")*SUMIFS($J:$J,$E:$E,"VRAI",$F:$F,"G",$M:$M,"E")*SUMIFS($J:$J,$E:$E,"VRAI",$F:$F,"H",$M:$M,"F")*SUMIFS($J:$J,$E:$E,"VRAI",$I:$I,"E6",$F:$F,"F")</f>
        <v>0</v>
      </c>
      <c r="BG51" s="46">
        <f>SUMIFS($D:$D,$E:$E,"FAUX",$G:$G,"H6",$M:$M,"G",$N:$N,"H*")*SUMIFS($J:$J,$E:$E,"VRAI",$F:$F,"H",$M:$M,"F")*SUMIFS($J:$J,$E:$E,"VRAI",$I:$I,"F1",$F:$F,"G")</f>
        <v>0</v>
      </c>
      <c r="BH51" s="47">
        <f>SUMIFS($D:$D,$E:$E,"FAUX",$G:$G,"H6",$M:$M,"G",$N:$N,"H*")*SUMIFS($J:$J,$E:$E,"VRAI",$F:$F,"H",$M:$M,"F")*SUMIFS($J:$J,$E:$E,"VRAI",$I:$I,"F2",$F:$F,"G")</f>
        <v>0</v>
      </c>
      <c r="BI51" s="47">
        <f>SUMIFS($D:$D,$E:$E,"FAUX",$G:$G,"H6",$M:$M,"G",$N:$N,"H*")*SUMIFS($J:$J,$E:$E,"VRAI",$F:$F,"H",$M:$M,"F")*SUMIFS($J:$J,$E:$E,"VRAI",$I:$I,"F3",$F:$F,"G")</f>
        <v>0</v>
      </c>
      <c r="BJ51" s="47">
        <f>SUMIFS($D:$D,$E:$E,"FAUX",$G:$G,"H6",$M:$M,"G",$N:$N,"H*")*SUMIFS($J:$J,$E:$E,"VRAI",$F:$F,"H",$M:$M,"F")*SUMIFS($J:$J,$E:$E,"VRAI",$I:$I,"F4",$F:$F,"G")</f>
        <v>0</v>
      </c>
      <c r="BK51" s="47">
        <f>SUMIFS($D:$D,$E:$E,"FAUX",$G:$G,"H6",$M:$M,"G",$N:$N,"H*")*SUMIFS($J:$J,$E:$E,"VRAI",$F:$F,"H",$M:$M,"F")*SUMIFS($J:$J,$E:$E,"VRAI",$I:$I,"F5",$F:$F,"G")</f>
        <v>0</v>
      </c>
      <c r="BL51" s="48">
        <f>SUMIFS($D:$D,$E:$E,"FAUX",$G:$G,"H6",$M:$M,"G",$N:$N,"H*")*SUMIFS($J:$J,$E:$E,"VRAI",$F:$F,"H",$M:$M,"F")*SUMIFS($J:$J,$E:$E,"VRAI",$I:$I,"F6",$F:$F,"G")</f>
        <v>0</v>
      </c>
      <c r="BM51" s="29">
        <f>SUMIFS($D:$D,$E:$E,"FAUX",$G:$G,"H6",$M:$M,"G",$N:$N,"H*")*SUMIFS($J:$J,$E:$E,"VRAI",$I:$I,"G1",$F:$F,"H")</f>
        <v>0</v>
      </c>
      <c r="BN51" s="29">
        <f>SUMIFS($D:$D,$E:$E,"FAUX",$G:$G,"H6",$M:$M,"G",$N:$N,"H*")*SUMIFS($J:$J,$E:$E,"VRAI",$I:$I,"G2",$F:$F,"H")</f>
        <v>0</v>
      </c>
      <c r="BO51" s="29">
        <f>SUMIFS($D:$D,$E:$E,"FAUX",$G:$G,"H6",$M:$M,"G",$N:$N,"H*")*SUMIFS($J:$J,$E:$E,"VRAI",$I:$I,"G3",$F:$F,"H")</f>
        <v>0</v>
      </c>
      <c r="BP51" s="29">
        <f>SUMIFS($D:$D,$E:$E,"FAUX",$G:$G,"H6",$M:$M,"G",$N:$N,"H*")*SUMIFS($J:$J,$E:$E,"VRAI",$I:$I,"G4",$F:$F,"H")</f>
        <v>0</v>
      </c>
      <c r="BQ51" s="29">
        <f>SUMIFS($D:$D,$E:$E,"FAUX",$G:$G,"H6",$M:$M,"G",$N:$N,"H*")*SUMIFS($J:$J,$E:$E,"VRAI",$I:$I,"G5",$F:$F,"H")</f>
        <v>0</v>
      </c>
      <c r="BR51" s="30">
        <f>SUMIFS($D:$D,$E:$E,"FAUX",$G:$G,"H6",$M:$M,"G",$N:$N,"H*")*SUMIFS($J:$J,$E:$E,"VRAI",$I:$I,"G6",$F:$F,"H")</f>
        <v>0</v>
      </c>
      <c r="BS51" s="54">
        <f>SUMIFS($D:$D,$O:$O,"H_6_1")</f>
        <v>0</v>
      </c>
      <c r="BT51" s="54">
        <f>SUMIFS($D:$D,$O:$O,"H_6_2")</f>
        <v>0</v>
      </c>
      <c r="BU51" s="54">
        <f>SUMIFS($D:$D,$O:$O,"H_6_3")</f>
        <v>0</v>
      </c>
      <c r="BV51" s="54">
        <f>SUMIFS($D:$D,$O:$O,"H_6_4")</f>
        <v>0</v>
      </c>
      <c r="BW51" s="54">
        <f>SUMIFS($D:$D,$O:$O,"H_6_5")</f>
        <v>0</v>
      </c>
      <c r="BX51" s="55">
        <f>SUMIFS($D:$D,$O:$O,"H_6_6")</f>
        <v>0</v>
      </c>
      <c r="BY51" s="33">
        <f>SUMIFS($D:$D,$E:$E,"FAUX",$G:$G,"I6",$M:$M,"J",$N:$N,"I*")*SUMIFS($J:$J,$O:$O,"I_1_1")</f>
        <v>0</v>
      </c>
      <c r="BZ51" s="29">
        <f>SUMIFS($D:$D,$E:$E,"FAUX",$G:$G,"I6",$M:$M,"J",$N:$N,"I*")*SUMIFS($J:$J,$O:$O,"I_1_2")</f>
        <v>0</v>
      </c>
      <c r="CA51" s="29">
        <f>SUMIFS($D:$D,$E:$E,"FAUX",$G:$G,"I6",$M:$M,"J",$N:$N,"I*")*SUMIFS($J:$J,$O:$O,"I_1_3")</f>
        <v>0</v>
      </c>
      <c r="CB51" s="29">
        <f>SUMIFS($D:$D,$E:$E,"FAUX",$G:$G,"I6",$M:$M,"J",$N:$N,"I*")*SUMIFS($J:$J,$O:$O,"I_1_4")</f>
        <v>0</v>
      </c>
      <c r="CC51" s="29">
        <f>SUMIFS($D:$D,$E:$E,"FAUX",$G:$G,"I6",$M:$M,"J",$N:$N,"I*")*SUMIFS($J:$J,$O:$O,"I_1_5")</f>
        <v>0</v>
      </c>
      <c r="CD51" s="29">
        <f>SUMIFS($D:$D,$E:$E,"FAUX",$G:$G,"I6",$M:$M,"J",$N:$N,"I*")*SUMIFS($J:$J,$O:$O,"I_1_6")</f>
        <v>0</v>
      </c>
      <c r="CE51" s="49">
        <f>SUMIFS($D:$D,$E:$E,"FAUX",$G:$G,"H6",$M:$M,"F",$N:$N,"E*")*SUMIFS($J:$J,$E:$E,"VRAI",$F:$F,"H",$M:$M,"J")*SUMIFS($J:$J,$E:$E,"VRAI",$F:$F,"I",$I:$I,"J1")</f>
        <v>0</v>
      </c>
      <c r="CF51" s="50">
        <f>SUMIFS($D:$D,$E:$E,"FAUX",$G:$G,"H6",$M:$M,"F",$N:$N,"E*")*SUMIFS($J:$J,$E:$E,"VRAI",$F:$F,"H",$M:$M,"J")*SUMIFS($J:$J,$E:$E,"VRAI",$F:$F,"I",$I:$I,"J2")</f>
        <v>0</v>
      </c>
      <c r="CG51" s="50">
        <f>SUMIFS($D:$D,$E:$E,"FAUX",$G:$G,"H6",$M:$M,"F",$N:$N,"E*")*SUMIFS($J:$J,$E:$E,"VRAI",$F:$F,"H",$M:$M,"J")*SUMIFS($J:$J,$E:$E,"VRAI",$F:$F,"I",$I:$I,"J3")</f>
        <v>0</v>
      </c>
      <c r="CH51" s="50">
        <f>SUMIFS($D:$D,$E:$E,"FAUX",$G:$G,"H6",$M:$M,"F",$N:$N,"E*")*SUMIFS($J:$J,$E:$E,"VRAI",$F:$F,"H",$M:$M,"J")*SUMIFS($J:$J,$E:$E,"VRAI",$F:$F,"I",$I:$I,"J4")</f>
        <v>0</v>
      </c>
      <c r="CI51" s="50">
        <f>SUMIFS($D:$D,$E:$E,"FAUX",$G:$G,"H6",$M:$M,"F",$N:$N,"E*")*SUMIFS($J:$J,$E:$E,"VRAI",$F:$F,"H",$M:$M,"J")*SUMIFS($J:$J,$E:$E,"VRAI",$F:$F,"I",$I:$I,"J5")</f>
        <v>0</v>
      </c>
      <c r="CJ51" s="50">
        <f>SUMIFS($D:$D,$E:$E,"FAUX",$G:$G,"H6",$M:$M,"F",$N:$N,"E*")*SUMIFS($J:$J,$E:$E,"VRAI",$F:$F,"H",$M:$M,"J")*SUMIFS($J:$J,$E:$E,"VRAI",$F:$F,"I",$I:$I,"J6")</f>
        <v>0</v>
      </c>
      <c r="CK51" s="49">
        <f>SUMIFS($D:$D,$E:$E,"FAUX",$G:$G,"H6",$M:$M,"F",$N:$N,"E*")*SUMIFS($J:$J,$E:$E,"VRAI",$F:$F,"H",$M:$M,"J")*SUMIFS($J:$J,$E:$E,"VRAI",$F:$F,"I",$M:$M,"K")*SUMIFS($J:$J,$E:$E,"VRAI",$F:$F,"J",$I:$I,"K1")</f>
        <v>0</v>
      </c>
      <c r="CL51" s="50">
        <f>SUMIFS($D:$D,$E:$E,"FAUX",$G:$G,"H6",$M:$M,"F",$N:$N,"E*")*SUMIFS($J:$J,$E:$E,"VRAI",$F:$F,"H",$M:$M,"J")*SUMIFS($J:$J,$E:$E,"VRAI",$F:$F,"I",$M:$M,"K")*SUMIFS($J:$J,$E:$E,"VRAI",$F:$F,"J",$I:$I,"K2")</f>
        <v>0</v>
      </c>
      <c r="CM51" s="50">
        <f>SUMIFS($D:$D,$E:$E,"FAUX",$G:$G,"H6",$M:$M,"F",$N:$N,"E*")*SUMIFS($J:$J,$E:$E,"VRAI",$F:$F,"H",$M:$M,"J")*SUMIFS($J:$J,$E:$E,"VRAI",$F:$F,"I",$M:$M,"K")*SUMIFS($J:$J,$E:$E,"VRAI",$F:$F,"J",$I:$I,"K3")</f>
        <v>0</v>
      </c>
      <c r="CN51" s="50">
        <f>SUMIFS($D:$D,$E:$E,"FAUX",$G:$G,"H6",$M:$M,"F",$N:$N,"E*")*SUMIFS($J:$J,$E:$E,"VRAI",$F:$F,"H",$M:$M,"J")*SUMIFS($J:$J,$E:$E,"VRAI",$F:$F,"I",$M:$M,"K")*SUMIFS($J:$J,$E:$E,"VRAI",$F:$F,"J",$I:$I,"K4")</f>
        <v>0</v>
      </c>
      <c r="CO51" s="50">
        <f>SUMIFS($D:$D,$E:$E,"FAUX",$G:$G,"H6",$M:$M,"F",$N:$N,"E*")*SUMIFS($J:$J,$E:$E,"VRAI",$F:$F,"H",$M:$M,"J")*SUMIFS($J:$J,$E:$E,"VRAI",$F:$F,"I",$M:$M,"K")*SUMIFS($J:$J,$E:$E,"VRAI",$F:$F,"J",$I:$I,"K5")</f>
        <v>0</v>
      </c>
      <c r="CP51" s="51">
        <f>SUMIFS($D:$D,$E:$E,"FAUX",$G:$G,"H6",$M:$M,"F",$N:$N,"E*")*SUMIFS($J:$J,$E:$E,"VRAI",$F:$F,"H",$M:$M,"J")*SUMIFS($J:$J,$E:$E,"VRAI",$F:$F,"I",$M:$M,"K")*SUMIFS($J:$J,$E:$E,"VRAI",$F:$F,"J",$I:$I,"K6")</f>
        <v>0</v>
      </c>
    </row>
    <row r="52" spans="1:94">
      <c r="A52" s="35" t="s">
        <v>10</v>
      </c>
      <c r="B52" s="35">
        <v>3</v>
      </c>
      <c r="C52" s="35">
        <v>2</v>
      </c>
      <c r="D52" s="35">
        <v>0</v>
      </c>
      <c r="E52" s="35" t="b">
        <v>1</v>
      </c>
      <c r="F52" s="35" t="s">
        <v>11</v>
      </c>
      <c r="G52" s="53" t="str">
        <f t="shared" si="0"/>
        <v>C3</v>
      </c>
      <c r="H52" s="52" t="str">
        <f t="shared" si="5"/>
        <v>D</v>
      </c>
      <c r="I52" s="41" t="str">
        <f t="shared" si="1"/>
        <v>C2</v>
      </c>
      <c r="J52" s="42">
        <f t="shared" si="2"/>
        <v>0</v>
      </c>
      <c r="K52" s="41">
        <f t="shared" si="6"/>
        <v>792</v>
      </c>
      <c r="L52" s="41" t="str">
        <f t="shared" si="3"/>
        <v>C3</v>
      </c>
      <c r="M52" s="41" t="str">
        <f t="shared" si="7"/>
        <v/>
      </c>
      <c r="N52" s="41" t="str">
        <f>IFERROR(VLOOKUP(I52,L52:L:L,1,FALSE),"")</f>
        <v/>
      </c>
      <c r="O52" s="56" t="str">
        <f t="shared" si="8"/>
        <v>C_3_2</v>
      </c>
      <c r="U52" t="s">
        <v>57</v>
      </c>
      <c r="V52">
        <f>SUMIFS(D:D,A:A,"G",B:B,"1")</f>
        <v>1087</v>
      </c>
      <c r="Z52" t="str">
        <f t="shared" si="9"/>
        <v>I1</v>
      </c>
      <c r="AA52" t="str">
        <f t="shared" si="10"/>
        <v>I1</v>
      </c>
      <c r="AB52" s="34" t="s">
        <v>69</v>
      </c>
      <c r="AC52" s="46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0</v>
      </c>
      <c r="AD52" s="47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2" s="47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0</v>
      </c>
      <c r="AF52" s="47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2" s="47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2" s="47">
        <f>SUMIFS($D:$D,$E:$E,"FAUX",$G:$G,"I1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2" s="43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2" s="44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2" s="44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2" s="44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2" s="44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2" s="45">
        <f>SUMIFS($D:$D,$E:$E,"FAUX",$G:$G,"I1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0</v>
      </c>
      <c r="AP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2" s="47">
        <f>SUMIFS($D:$D,$E:$E,"FAUX",$G:$G,"I1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2" s="43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1")</f>
        <v>0</v>
      </c>
      <c r="AV52" s="44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2")</f>
        <v>0</v>
      </c>
      <c r="AW52" s="44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2" s="44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4")</f>
        <v>0</v>
      </c>
      <c r="AY52" s="44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2" s="44">
        <f>SUMIFS($D:$D,$E:$E,"FAUX",$G:$G,"I1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2" s="43">
        <f>SUMIFS($D:$D,$E:$E,"FAUX",$G:$G,"I1",$M:$M,"H",$N:$N,"I*")*SUMIFS($J:$J,$E:$E,"VRAI",$F:$F,"G",$M:$M,"E")*SUMIFS($J:$J,$E:$E,"VRAI",$F:$F,"H",$M:$M,"F")*SUMIFS($J:$J,$E:$E,"VRAI",$F:$F,"I",$M:$M,"G")*SUMIFS($J:$J,$E:$E,"VRAI",$I:$I,"E1",$F:$F,"F")</f>
        <v>0</v>
      </c>
      <c r="BB52" s="44">
        <f>SUMIFS($D:$D,$E:$E,"FAUX",$G:$G,"I1",$M:$M,"H",$N:$N,"I*")*SUMIFS($J:$J,$E:$E,"VRAI",$F:$F,"G",$M:$M,"E")*SUMIFS($J:$J,$E:$E,"VRAI",$F:$F,"H",$M:$M,"F")*SUMIFS($J:$J,$E:$E,"VRAI",$F:$F,"I",$M:$M,"G")*SUMIFS($J:$J,$E:$E,"VRAI",$I:$I,"E2",$F:$F,"F")</f>
        <v>0</v>
      </c>
      <c r="BC52" s="44">
        <f>SUMIFS($D:$D,$E:$E,"FAUX",$G:$G,"I1",$M:$M,"H",$N:$N,"I*")*SUMIFS($J:$J,$E:$E,"VRAI",$F:$F,"G",$M:$M,"E")*SUMIFS($J:$J,$E:$E,"VRAI",$F:$F,"H",$M:$M,"F")*SUMIFS($J:$J,$E:$E,"VRAI",$F:$F,"I",$M:$M,"G")*SUMIFS($J:$J,$E:$E,"VRAI",$I:$I,"E3",$F:$F,"F")</f>
        <v>0</v>
      </c>
      <c r="BD52" s="44">
        <f>SUMIFS($D:$D,$E:$E,"FAUX",$G:$G,"I1",$M:$M,"H",$N:$N,"I*")*SUMIFS($J:$J,$E:$E,"VRAI",$F:$F,"G",$M:$M,"E")*SUMIFS($J:$J,$E:$E,"VRAI",$F:$F,"H",$M:$M,"F")*SUMIFS($J:$J,$E:$E,"VRAI",$F:$F,"I",$M:$M,"G")*SUMIFS($J:$J,$E:$E,"VRAI",$I:$I,"E4",$F:$F,"F")</f>
        <v>0</v>
      </c>
      <c r="BE52" s="44">
        <f>SUMIFS($D:$D,$E:$E,"FAUX",$G:$G,"I1",$M:$M,"H",$N:$N,"I*")*SUMIFS($J:$J,$E:$E,"VRAI",$F:$F,"G",$M:$M,"E")*SUMIFS($J:$J,$E:$E,"VRAI",$F:$F,"H",$M:$M,"F")*SUMIFS($J:$J,$E:$E,"VRAI",$F:$F,"I",$M:$M,"G")*SUMIFS($J:$J,$E:$E,"VRAI",$I:$I,"E5",$F:$F,"F")</f>
        <v>0</v>
      </c>
      <c r="BF52" s="44">
        <f>SUMIFS($D:$D,$E:$E,"FAUX",$G:$G,"I1",$M:$M,"H",$N:$N,"I*")*SUMIFS($J:$J,$E:$E,"VRAI",$F:$F,"G",$M:$M,"E")*SUMIFS($J:$J,$E:$E,"VRAI",$F:$F,"H",$M:$M,"F")*SUMIFS($J:$J,$E:$E,"VRAI",$F:$F,"I",$M:$M,"G")*SUMIFS($J:$J,$E:$E,"VRAI",$I:$I,"E6",$F:$F,"F")</f>
        <v>0</v>
      </c>
      <c r="BG52" s="43">
        <f>SUMIFS($D:$D,$E:$E,"FAUX",$G:$G,"I1",$M:$M,"H",$N:$N,"I*")*SUMIFS($J:$J,$E:$E,"VRAI",$F:$F,"G",$M:$M,"E")*SUMIFS($J:$J,$E:$E,"VRAI",$F:$F,"H",$M:$M,"F")*SUMIFS($J:$J,$E:$E,"VRAI",$F:$F,"I",$M:$M,"G")*SUMIFS($J:$J,$E:$E,"VRAI",$I:$I,"F1",$F:$F,"G")</f>
        <v>0</v>
      </c>
      <c r="BH52" s="44">
        <f>SUMIFS($D:$D,$E:$E,"FAUX",$G:$G,"I1",$M:$M,"H",$N:$N,"I*")*SUMIFS($J:$J,$E:$E,"VRAI",$F:$F,"G",$M:$M,"E")*SUMIFS($J:$J,$E:$E,"VRAI",$F:$F,"H",$M:$M,"F")*SUMIFS($J:$J,$E:$E,"VRAI",$F:$F,"I",$M:$M,"G")*SUMIFS($J:$J,$E:$E,"VRAI",$I:$I,"F2",$F:$F,"G")</f>
        <v>0</v>
      </c>
      <c r="BI52" s="44">
        <f>SUMIFS($D:$D,$E:$E,"FAUX",$G:$G,"I1",$M:$M,"H",$N:$N,"I*")*SUMIFS($J:$J,$E:$E,"VRAI",$F:$F,"G",$M:$M,"E")*SUMIFS($J:$J,$E:$E,"VRAI",$F:$F,"H",$M:$M,"F")*SUMIFS($J:$J,$E:$E,"VRAI",$F:$F,"I",$M:$M,"G")*SUMIFS($J:$J,$E:$E,"VRAI",$I:$I,"F3",$F:$F,"G")</f>
        <v>0</v>
      </c>
      <c r="BJ52" s="44">
        <f>SUMIFS($D:$D,$E:$E,"FAUX",$G:$G,"I1",$M:$M,"H",$N:$N,"I*")*SUMIFS($J:$J,$E:$E,"VRAI",$F:$F,"G",$M:$M,"E")*SUMIFS($J:$J,$E:$E,"VRAI",$F:$F,"H",$M:$M,"F")*SUMIFS($J:$J,$E:$E,"VRAI",$F:$F,"I",$M:$M,"G")*SUMIFS($J:$J,$E:$E,"VRAI",$I:$I,"F4",$F:$F,"G")</f>
        <v>0</v>
      </c>
      <c r="BK52" s="44">
        <f>SUMIFS($D:$D,$E:$E,"FAUX",$G:$G,"I1",$M:$M,"H",$N:$N,"I*")*SUMIFS($J:$J,$E:$E,"VRAI",$F:$F,"G",$M:$M,"E")*SUMIFS($J:$J,$E:$E,"VRAI",$F:$F,"H",$M:$M,"F")*SUMIFS($J:$J,$E:$E,"VRAI",$F:$F,"I",$M:$M,"G")*SUMIFS($J:$J,$E:$E,"VRAI",$I:$I,"F5",$F:$F,"G")</f>
        <v>0</v>
      </c>
      <c r="BL52" s="45">
        <f>SUMIFS($D:$D,$E:$E,"FAUX",$G:$G,"I1",$M:$M,"H",$N:$N,"I*")*SUMIFS($J:$J,$E:$E,"VRAI",$F:$F,"G",$M:$M,"E")*SUMIFS($J:$J,$E:$E,"VRAI",$F:$F,"H",$M:$M,"F")*SUMIFS($J:$J,$E:$E,"VRAI",$F:$F,"I",$M:$M,"G")*SUMIFS($J:$J,$E:$E,"VRAI",$I:$I,"F6",$F:$F,"G")</f>
        <v>0</v>
      </c>
      <c r="BM52" s="13">
        <f>SUMIFS($D:$D,$E:$E,"FAUX",$G:$G,"I1",$M:$M,"H",$N:$N,"I*")*SUMIFS($J:$J,$E:$E,"VRAI",$F:$F,"I",$M:$M,"G")*SUMIFS($J:$J,$E:$E,"VRAI",$I:$I,"G1",$F:$F,"H")</f>
        <v>0</v>
      </c>
      <c r="BN52" s="14">
        <f>SUMIFS($D:$D,$E:$E,"FAUX",$G:$G,"I1",$M:$M,"H",$N:$N,"I*")*SUMIFS($J:$J,$E:$E,"VRAI",$F:$F,"I",$M:$M,"G")*SUMIFS($J:$J,$E:$E,"VRAI",$I:$I,"G2",$F:$F,"H")</f>
        <v>0</v>
      </c>
      <c r="BO52" s="14">
        <f>SUMIFS($D:$D,$E:$E,"FAUX",$G:$G,"I1",$M:$M,"H",$N:$N,"I*")*SUMIFS($J:$J,$E:$E,"VRAI",$F:$F,"I",$M:$M,"G")*SUMIFS($J:$J,$E:$E,"VRAI",$I:$I,"G3",$F:$F,"H")</f>
        <v>0</v>
      </c>
      <c r="BP52" s="14">
        <f>SUMIFS($D:$D,$E:$E,"FAUX",$G:$G,"I1",$M:$M,"H",$N:$N,"I*")*SUMIFS($J:$J,$E:$E,"VRAI",$F:$F,"I",$M:$M,"G")*SUMIFS($J:$J,$E:$E,"VRAI",$I:$I,"G4",$F:$F,"H")</f>
        <v>0</v>
      </c>
      <c r="BQ52" s="14">
        <f>SUMIFS($D:$D,$E:$E,"FAUX",$G:$G,"I1",$M:$M,"H",$N:$N,"I*")*SUMIFS($J:$J,$E:$E,"VRAI",$F:$F,"I",$M:$M,"G")*SUMIFS($J:$J,$E:$E,"VRAI",$I:$I,"G5",$F:$F,"H")</f>
        <v>0</v>
      </c>
      <c r="BR52" s="15">
        <f>SUMIFS($D:$D,$E:$E,"FAUX",$G:$G,"I1",$M:$M,"H",$N:$N,"I*")*SUMIFS($J:$J,$E:$E,"VRAI",$F:$F,"I",$M:$M,"G")*SUMIFS($J:$J,$E:$E,"VRAI",$I:$I,"G6",$F:$F,"H")</f>
        <v>0</v>
      </c>
      <c r="BS52" s="32">
        <f>SUMIFS($D:$D,$E:$E,"FAUX",$G:$G,"G1",$M:$M,"F",$N:$N,"G*")*SUMIFS($J:$J,$E:$E,"VRAI",$I:$I,"H1",$F:$F,"I")</f>
        <v>0</v>
      </c>
      <c r="BT52" s="25">
        <f>SUMIFS($D:$D,$E:$E,"FAUX",$G:$G,"G1",$M:$M,"F",$N:$N,"G*")*SUMIFS($J:$J,$E:$E,"VRAI",$I:$I,"H2",$F:$F,"I")</f>
        <v>0</v>
      </c>
      <c r="BU52" s="25">
        <f>SUMIFS($D:$D,$E:$E,"FAUX",$G:$G,"G1",$M:$M,"F",$N:$N,"G*")*SUMIFS($J:$J,$E:$E,"VRAI",$I:$I,"H3",$F:$F,"I")</f>
        <v>0</v>
      </c>
      <c r="BV52" s="25">
        <f>SUMIFS($D:$D,$E:$E,"FAUX",$G:$G,"G1",$M:$M,"F",$N:$N,"G*")*SUMIFS($J:$J,$E:$E,"VRAI",$I:$I,"H4",$F:$F,"I")</f>
        <v>0</v>
      </c>
      <c r="BW52" s="25">
        <f>SUMIFS($D:$D,$E:$E,"FAUX",$G:$G,"G1",$M:$M,"F",$N:$N,"G*")*SUMIFS($J:$J,$E:$E,"VRAI",$I:$I,"H5",$F:$F,"I")</f>
        <v>0</v>
      </c>
      <c r="BX52" s="26">
        <f>SUMIFS($D:$D,$E:$E,"FAUX",$G:$G,"G1",$M:$M,"F",$N:$N,"G*")*SUMIFS($J:$J,$E:$E,"VRAI",$I:$I,"H6",$F:$F,"I")</f>
        <v>0</v>
      </c>
      <c r="BY52" s="38">
        <f>SUMIFS($D:$D,$O:$O,"I_1_1")</f>
        <v>0</v>
      </c>
      <c r="BZ52" s="38">
        <f>SUMIFS($D:$D,$O:$O,"I_1_2")</f>
        <v>1277</v>
      </c>
      <c r="CA52" s="38">
        <f>SUMIFS($D:$D,$O:$O,"I_1_3")</f>
        <v>0</v>
      </c>
      <c r="CB52" s="38">
        <f>SUMIFS($D:$D,$O:$O,"I_1_4")</f>
        <v>0</v>
      </c>
      <c r="CC52" s="38">
        <f>SUMIFS($D:$D,$O:$O,"I_1_5")</f>
        <v>0</v>
      </c>
      <c r="CD52" s="37">
        <f>SUMIFS($D:$D,$O:$O,"I_1_6")</f>
        <v>0</v>
      </c>
      <c r="CE52" s="31">
        <f>SUMIFS($D:$D,$E:$E,"FAUX",$G:$G,"J1",$M:$M,"K",$N:$N,"J*")*SUMIFS($J:$J,$O:$O,"J_1_1")</f>
        <v>0</v>
      </c>
      <c r="CF52" s="27">
        <f>SUMIFS($D:$D,$E:$E,"FAUX",$G:$G,"J1",$M:$M,"K",$N:$N,"J*")*SUMIFS($J:$J,$O:$O,"J_1_2")</f>
        <v>0</v>
      </c>
      <c r="CG52" s="27">
        <f>SUMIFS($D:$D,$E:$E,"FAUX",$G:$G,"J1",$M:$M,"K",$N:$N,"J*")*SUMIFS($J:$J,$O:$O,"J_1_3")</f>
        <v>0</v>
      </c>
      <c r="CH52" s="27">
        <f>SUMIFS($D:$D,$E:$E,"FAUX",$G:$G,"J1",$M:$M,"K",$N:$N,"J*")*SUMIFS($J:$J,$O:$O,"J_1_4")</f>
        <v>0</v>
      </c>
      <c r="CI52" s="27">
        <f>SUMIFS($D:$D,$E:$E,"FAUX",$G:$G,"J1",$M:$M,"K",$N:$N,"J*")*SUMIFS($J:$J,$O:$O,"J_1_5")</f>
        <v>0</v>
      </c>
      <c r="CJ52" s="27">
        <f>SUMIFS($D:$D,$E:$E,"FAUX",$G:$G,"J1",$M:$M,"K",$N:$N,"J*")*SUMIFS($J:$J,$O:$O,"J_1_6")</f>
        <v>0</v>
      </c>
      <c r="CK52" s="43">
        <f>SUMIFS($D:$D,$E:$E,"FAUX",$G:$G,"E1",$M:$M,"F",$N:$N,"E*")*SUMIFS($J:$J,$E:$E,"VRAI",$F:$F,"H",$M:$M,"J")*SUMIFS($J:$J,$E:$E,"VRAI",$F:$F,"I",$M:$M,"K")*SUMIFS($J:$J,$E:$E,"VRAI",$F:$F,"J",$I:$I,"K1")</f>
        <v>0</v>
      </c>
      <c r="CL52" s="44">
        <f>SUMIFS($D:$D,$E:$E,"FAUX",$G:$G,"E1",$M:$M,"F",$N:$N,"E*")*SUMIFS($J:$J,$E:$E,"VRAI",$F:$F,"H",$M:$M,"J")*SUMIFS($J:$J,$E:$E,"VRAI",$F:$F,"I",$M:$M,"K")*SUMIFS($J:$J,$E:$E,"VRAI",$F:$F,"J",$I:$I,"K2")</f>
        <v>0</v>
      </c>
      <c r="CM52" s="44">
        <f>SUMIFS($D:$D,$E:$E,"FAUX",$G:$G,"E1",$M:$M,"F",$N:$N,"E*")*SUMIFS($J:$J,$E:$E,"VRAI",$F:$F,"H",$M:$M,"J")*SUMIFS($J:$J,$E:$E,"VRAI",$F:$F,"I",$M:$M,"K")*SUMIFS($J:$J,$E:$E,"VRAI",$F:$F,"J",$I:$I,"K3")</f>
        <v>0</v>
      </c>
      <c r="CN52" s="44">
        <f>SUMIFS($D:$D,$E:$E,"FAUX",$G:$G,"E1",$M:$M,"F",$N:$N,"E*")*SUMIFS($J:$J,$E:$E,"VRAI",$F:$F,"H",$M:$M,"J")*SUMIFS($J:$J,$E:$E,"VRAI",$F:$F,"I",$M:$M,"K")*SUMIFS($J:$J,$E:$E,"VRAI",$F:$F,"J",$I:$I,"K4")</f>
        <v>0</v>
      </c>
      <c r="CO52" s="44">
        <f>SUMIFS($D:$D,$E:$E,"FAUX",$G:$G,"E1",$M:$M,"F",$N:$N,"E*")*SUMIFS($J:$J,$E:$E,"VRAI",$F:$F,"H",$M:$M,"J")*SUMIFS($J:$J,$E:$E,"VRAI",$F:$F,"I",$M:$M,"K")*SUMIFS($J:$J,$E:$E,"VRAI",$F:$F,"J",$I:$I,"K5")</f>
        <v>0</v>
      </c>
      <c r="CP52" s="45">
        <f>SUMIFS($D:$D,$E:$E,"FAUX",$G:$G,"E1",$M:$M,"F",$N:$N,"E*")*SUMIFS($J:$J,$E:$E,"VRAI",$F:$F,"H",$M:$M,"J")*SUMIFS($J:$J,$E:$E,"VRAI",$F:$F,"I",$M:$M,"K")*SUMIFS($J:$J,$E:$E,"VRAI",$F:$F,"J",$I:$I,"K6")</f>
        <v>0</v>
      </c>
    </row>
    <row r="53" spans="1:94">
      <c r="A53" s="35" t="s">
        <v>10</v>
      </c>
      <c r="B53" s="35">
        <v>3</v>
      </c>
      <c r="C53" s="35">
        <v>3</v>
      </c>
      <c r="D53" s="35">
        <v>0</v>
      </c>
      <c r="E53" s="35" t="b">
        <v>1</v>
      </c>
      <c r="F53" s="35" t="s">
        <v>11</v>
      </c>
      <c r="G53" s="53" t="str">
        <f t="shared" si="0"/>
        <v>C3</v>
      </c>
      <c r="H53" s="52" t="str">
        <f t="shared" si="5"/>
        <v>D</v>
      </c>
      <c r="I53" s="41" t="str">
        <f t="shared" si="1"/>
        <v>C3</v>
      </c>
      <c r="J53" s="42">
        <f t="shared" si="2"/>
        <v>0</v>
      </c>
      <c r="K53" s="41">
        <f t="shared" si="6"/>
        <v>792</v>
      </c>
      <c r="L53" s="41" t="str">
        <f t="shared" si="3"/>
        <v>C3</v>
      </c>
      <c r="M53" s="41" t="str">
        <f t="shared" si="7"/>
        <v>D</v>
      </c>
      <c r="N53" s="41" t="str">
        <f>IFERROR(VLOOKUP(I53,L53:L:L,1,FALSE),"")</f>
        <v>C3</v>
      </c>
      <c r="O53" s="56" t="str">
        <f t="shared" si="8"/>
        <v>C_3_3</v>
      </c>
      <c r="U53" t="s">
        <v>58</v>
      </c>
      <c r="V53">
        <f>SUMIFS(D:D,A:A,"G",B:B,"2")</f>
        <v>1500</v>
      </c>
      <c r="Z53" t="str">
        <f t="shared" si="9"/>
        <v>I2</v>
      </c>
      <c r="AA53" t="str">
        <f t="shared" si="10"/>
        <v>I2</v>
      </c>
      <c r="AB53" s="34" t="s">
        <v>70</v>
      </c>
      <c r="AC53" s="46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0</v>
      </c>
      <c r="AD53" s="47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3" s="47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0</v>
      </c>
      <c r="AF53" s="47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3" s="47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3" s="47">
        <f>SUMIFS($D:$D,$E:$E,"FAUX",$G:$G,"I2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3" s="46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3" s="47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3" s="47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3" s="47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3" s="47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3" s="48">
        <f>SUMIFS($D:$D,$E:$E,"FAUX",$G:$G,"I2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0</v>
      </c>
      <c r="AP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3" s="47">
        <f>SUMIFS($D:$D,$E:$E,"FAUX",$G:$G,"I2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3" s="46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1")</f>
        <v>0</v>
      </c>
      <c r="AV53" s="47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2")</f>
        <v>0</v>
      </c>
      <c r="AW53" s="47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3" s="47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4")</f>
        <v>0</v>
      </c>
      <c r="AY53" s="47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3" s="47">
        <f>SUMIFS($D:$D,$E:$E,"FAUX",$G:$G,"I2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3" s="46">
        <f>SUMIFS($D:$D,$E:$E,"FAUX",$G:$G,"I2",$M:$M,"H",$N:$N,"I*")*SUMIFS($J:$J,$E:$E,"VRAI",$F:$F,"G",$M:$M,"E")*SUMIFS($J:$J,$E:$E,"VRAI",$F:$F,"H",$M:$M,"F")*SUMIFS($J:$J,$E:$E,"VRAI",$F:$F,"I",$M:$M,"G")*SUMIFS($J:$J,$E:$E,"VRAI",$I:$I,"E1",$F:$F,"F")</f>
        <v>0</v>
      </c>
      <c r="BB53" s="47">
        <f>SUMIFS($D:$D,$E:$E,"FAUX",$G:$G,"I2",$M:$M,"H",$N:$N,"I*")*SUMIFS($J:$J,$E:$E,"VRAI",$F:$F,"G",$M:$M,"E")*SUMIFS($J:$J,$E:$E,"VRAI",$F:$F,"H",$M:$M,"F")*SUMIFS($J:$J,$E:$E,"VRAI",$F:$F,"I",$M:$M,"G")*SUMIFS($J:$J,$E:$E,"VRAI",$I:$I,"E2",$F:$F,"F")</f>
        <v>0</v>
      </c>
      <c r="BC53" s="47">
        <f>SUMIFS($D:$D,$E:$E,"FAUX",$G:$G,"I2",$M:$M,"H",$N:$N,"I*")*SUMIFS($J:$J,$E:$E,"VRAI",$F:$F,"G",$M:$M,"E")*SUMIFS($J:$J,$E:$E,"VRAI",$F:$F,"H",$M:$M,"F")*SUMIFS($J:$J,$E:$E,"VRAI",$F:$F,"I",$M:$M,"G")*SUMIFS($J:$J,$E:$E,"VRAI",$I:$I,"E3",$F:$F,"F")</f>
        <v>0</v>
      </c>
      <c r="BD53" s="47">
        <f>SUMIFS($D:$D,$E:$E,"FAUX",$G:$G,"I2",$M:$M,"H",$N:$N,"I*")*SUMIFS($J:$J,$E:$E,"VRAI",$F:$F,"G",$M:$M,"E")*SUMIFS($J:$J,$E:$E,"VRAI",$F:$F,"H",$M:$M,"F")*SUMIFS($J:$J,$E:$E,"VRAI",$F:$F,"I",$M:$M,"G")*SUMIFS($J:$J,$E:$E,"VRAI",$I:$I,"E4",$F:$F,"F")</f>
        <v>0</v>
      </c>
      <c r="BE53" s="47">
        <f>SUMIFS($D:$D,$E:$E,"FAUX",$G:$G,"I2",$M:$M,"H",$N:$N,"I*")*SUMIFS($J:$J,$E:$E,"VRAI",$F:$F,"G",$M:$M,"E")*SUMIFS($J:$J,$E:$E,"VRAI",$F:$F,"H",$M:$M,"F")*SUMIFS($J:$J,$E:$E,"VRAI",$F:$F,"I",$M:$M,"G")*SUMIFS($J:$J,$E:$E,"VRAI",$I:$I,"E5",$F:$F,"F")</f>
        <v>0</v>
      </c>
      <c r="BF53" s="47">
        <f>SUMIFS($D:$D,$E:$E,"FAUX",$G:$G,"I2",$M:$M,"H",$N:$N,"I*")*SUMIFS($J:$J,$E:$E,"VRAI",$F:$F,"G",$M:$M,"E")*SUMIFS($J:$J,$E:$E,"VRAI",$F:$F,"H",$M:$M,"F")*SUMIFS($J:$J,$E:$E,"VRAI",$F:$F,"I",$M:$M,"G")*SUMIFS($J:$J,$E:$E,"VRAI",$I:$I,"E6",$F:$F,"F")</f>
        <v>0</v>
      </c>
      <c r="BG53" s="46">
        <f>SUMIFS($D:$D,$E:$E,"FAUX",$G:$G,"I2",$M:$M,"H",$N:$N,"I*")*SUMIFS($J:$J,$E:$E,"VRAI",$F:$F,"G",$M:$M,"E")*SUMIFS($J:$J,$E:$E,"VRAI",$F:$F,"H",$M:$M,"F")*SUMIFS($J:$J,$E:$E,"VRAI",$F:$F,"I",$M:$M,"G")*SUMIFS($J:$J,$E:$E,"VRAI",$I:$I,"F1",$F:$F,"G")</f>
        <v>0</v>
      </c>
      <c r="BH53" s="47">
        <f>SUMIFS($D:$D,$E:$E,"FAUX",$G:$G,"I2",$M:$M,"H",$N:$N,"I*")*SUMIFS($J:$J,$E:$E,"VRAI",$F:$F,"G",$M:$M,"E")*SUMIFS($J:$J,$E:$E,"VRAI",$F:$F,"H",$M:$M,"F")*SUMIFS($J:$J,$E:$E,"VRAI",$F:$F,"I",$M:$M,"G")*SUMIFS($J:$J,$E:$E,"VRAI",$I:$I,"F2",$F:$F,"G")</f>
        <v>0</v>
      </c>
      <c r="BI53" s="47">
        <f>SUMIFS($D:$D,$E:$E,"FAUX",$G:$G,"I2",$M:$M,"H",$N:$N,"I*")*SUMIFS($J:$J,$E:$E,"VRAI",$F:$F,"G",$M:$M,"E")*SUMIFS($J:$J,$E:$E,"VRAI",$F:$F,"H",$M:$M,"F")*SUMIFS($J:$J,$E:$E,"VRAI",$F:$F,"I",$M:$M,"G")*SUMIFS($J:$J,$E:$E,"VRAI",$I:$I,"F3",$F:$F,"G")</f>
        <v>0</v>
      </c>
      <c r="BJ53" s="47">
        <f>SUMIFS($D:$D,$E:$E,"FAUX",$G:$G,"I2",$M:$M,"H",$N:$N,"I*")*SUMIFS($J:$J,$E:$E,"VRAI",$F:$F,"G",$M:$M,"E")*SUMIFS($J:$J,$E:$E,"VRAI",$F:$F,"H",$M:$M,"F")*SUMIFS($J:$J,$E:$E,"VRAI",$F:$F,"I",$M:$M,"G")*SUMIFS($J:$J,$E:$E,"VRAI",$I:$I,"F4",$F:$F,"G")</f>
        <v>0</v>
      </c>
      <c r="BK53" s="47">
        <f>SUMIFS($D:$D,$E:$E,"FAUX",$G:$G,"I2",$M:$M,"H",$N:$N,"I*")*SUMIFS($J:$J,$E:$E,"VRAI",$F:$F,"G",$M:$M,"E")*SUMIFS($J:$J,$E:$E,"VRAI",$F:$F,"H",$M:$M,"F")*SUMIFS($J:$J,$E:$E,"VRAI",$F:$F,"I",$M:$M,"G")*SUMIFS($J:$J,$E:$E,"VRAI",$I:$I,"F5",$F:$F,"G")</f>
        <v>0</v>
      </c>
      <c r="BL53" s="48">
        <f>SUMIFS($D:$D,$E:$E,"FAUX",$G:$G,"I2",$M:$M,"H",$N:$N,"I*")*SUMIFS($J:$J,$E:$E,"VRAI",$F:$F,"G",$M:$M,"E")*SUMIFS($J:$J,$E:$E,"VRAI",$F:$F,"H",$M:$M,"F")*SUMIFS($J:$J,$E:$E,"VRAI",$F:$F,"I",$M:$M,"G")*SUMIFS($J:$J,$E:$E,"VRAI",$I:$I,"F6",$F:$F,"G")</f>
        <v>0</v>
      </c>
      <c r="BM53" s="16">
        <f>SUMIFS($D:$D,$E:$E,"FAUX",$G:$G,"I2",$M:$M,"H",$N:$N,"I*")*SUMIFS($J:$J,$E:$E,"VRAI",$F:$F,"I",$M:$M,"G")*SUMIFS($J:$J,$E:$E,"VRAI",$I:$I,"G1",$F:$F,"H")</f>
        <v>0</v>
      </c>
      <c r="BN53" s="17">
        <f>SUMIFS($D:$D,$E:$E,"FAUX",$G:$G,"I2",$M:$M,"H",$N:$N,"I*")*SUMIFS($J:$J,$E:$E,"VRAI",$F:$F,"I",$M:$M,"G")*SUMIFS($J:$J,$E:$E,"VRAI",$I:$I,"G2",$F:$F,"H")</f>
        <v>0</v>
      </c>
      <c r="BO53" s="17">
        <f>SUMIFS($D:$D,$E:$E,"FAUX",$G:$G,"I2",$M:$M,"H",$N:$N,"I*")*SUMIFS($J:$J,$E:$E,"VRAI",$F:$F,"I",$M:$M,"G")*SUMIFS($J:$J,$E:$E,"VRAI",$I:$I,"G3",$F:$F,"H")</f>
        <v>0</v>
      </c>
      <c r="BP53" s="17">
        <f>SUMIFS($D:$D,$E:$E,"FAUX",$G:$G,"I2",$M:$M,"H",$N:$N,"I*")*SUMIFS($J:$J,$E:$E,"VRAI",$F:$F,"I",$M:$M,"G")*SUMIFS($J:$J,$E:$E,"VRAI",$I:$I,"G4",$F:$F,"H")</f>
        <v>0</v>
      </c>
      <c r="BQ53" s="17">
        <f>SUMIFS($D:$D,$E:$E,"FAUX",$G:$G,"I2",$M:$M,"H",$N:$N,"I*")*SUMIFS($J:$J,$E:$E,"VRAI",$F:$F,"I",$M:$M,"G")*SUMIFS($J:$J,$E:$E,"VRAI",$I:$I,"G5",$F:$F,"H")</f>
        <v>0</v>
      </c>
      <c r="BR53" s="18">
        <f>SUMIFS($D:$D,$E:$E,"FAUX",$G:$G,"I2",$M:$M,"H",$N:$N,"I*")*SUMIFS($J:$J,$E:$E,"VRAI",$F:$F,"I",$M:$M,"G")*SUMIFS($J:$J,$E:$E,"VRAI",$I:$I,"G6",$F:$F,"H")</f>
        <v>0</v>
      </c>
      <c r="BS53" s="31">
        <f t="shared" ref="BS53:BS57" si="17">SUMIFS($D:$D,$E:$E,"FAUX",$G:$G,"G1",$M:$M,"F",$N:$N,"G*")*SUMIFS($J:$J,$E:$E,"VRAI",$I:$I,"H1",$F:$F,"I")</f>
        <v>0</v>
      </c>
      <c r="BT53" s="27">
        <f t="shared" ref="BT53:BT57" si="18">SUMIFS($D:$D,$E:$E,"FAUX",$G:$G,"G1",$M:$M,"F",$N:$N,"G*")*SUMIFS($J:$J,$E:$E,"VRAI",$I:$I,"H2",$F:$F,"I")</f>
        <v>0</v>
      </c>
      <c r="BU53" s="27">
        <f t="shared" ref="BU53:BU57" si="19">SUMIFS($D:$D,$E:$E,"FAUX",$G:$G,"G1",$M:$M,"F",$N:$N,"G*")*SUMIFS($J:$J,$E:$E,"VRAI",$I:$I,"H3",$F:$F,"I")</f>
        <v>0</v>
      </c>
      <c r="BV53" s="27">
        <f t="shared" ref="BV53:BV57" si="20">SUMIFS($D:$D,$E:$E,"FAUX",$G:$G,"G1",$M:$M,"F",$N:$N,"G*")*SUMIFS($J:$J,$E:$E,"VRAI",$I:$I,"H4",$F:$F,"I")</f>
        <v>0</v>
      </c>
      <c r="BW53" s="27">
        <f t="shared" ref="BW53:BW57" si="21">SUMIFS($D:$D,$E:$E,"FAUX",$G:$G,"G1",$M:$M,"F",$N:$N,"G*")*SUMIFS($J:$J,$E:$E,"VRAI",$I:$I,"H5",$F:$F,"I")</f>
        <v>0</v>
      </c>
      <c r="BX53" s="28">
        <f t="shared" ref="BX53:BX57" si="22">SUMIFS($D:$D,$E:$E,"FAUX",$G:$G,"G1",$M:$M,"F",$N:$N,"G*")*SUMIFS($J:$J,$E:$E,"VRAI",$I:$I,"H6",$F:$F,"I")</f>
        <v>0</v>
      </c>
      <c r="BY53" s="54">
        <f>SUMIFS($D:$D,$O:$O,"I_2_1")</f>
        <v>1341</v>
      </c>
      <c r="BZ53" s="54">
        <f>SUMIFS($D:$D,$O:$O,"I_2_2")</f>
        <v>0</v>
      </c>
      <c r="CA53" s="54">
        <f>SUMIFS($D:$D,$O:$O,"I_2_3")</f>
        <v>0</v>
      </c>
      <c r="CB53" s="54">
        <f>SUMIFS($D:$D,$O:$O,"I_2_4")</f>
        <v>0</v>
      </c>
      <c r="CC53" s="54">
        <f>SUMIFS($D:$D,$O:$O,"I_2_5")</f>
        <v>0</v>
      </c>
      <c r="CD53" s="55">
        <f>SUMIFS($D:$D,$O:$O,"I_2_6")</f>
        <v>0</v>
      </c>
      <c r="CE53" s="31">
        <f>SUMIFS($D:$D,$E:$E,"FAUX",$G:$G,"J2",$M:$M,"K",$N:$N,"J*")*SUMIFS($J:$J,$O:$O,"J_1_1")</f>
        <v>0</v>
      </c>
      <c r="CF53" s="27">
        <f>SUMIFS($D:$D,$E:$E,"FAUX",$G:$G,"J2",$M:$M,"K",$N:$N,"J*")*SUMIFS($J:$J,$O:$O,"J_1_2")</f>
        <v>0</v>
      </c>
      <c r="CG53" s="27">
        <f>SUMIFS($D:$D,$E:$E,"FAUX",$G:$G,"J2",$M:$M,"K",$N:$N,"J*")*SUMIFS($J:$J,$O:$O,"J_1_3")</f>
        <v>0</v>
      </c>
      <c r="CH53" s="27">
        <f>SUMIFS($D:$D,$E:$E,"FAUX",$G:$G,"J2",$M:$M,"K",$N:$N,"J*")*SUMIFS($J:$J,$O:$O,"J_1_4")</f>
        <v>0</v>
      </c>
      <c r="CI53" s="27">
        <f>SUMIFS($D:$D,$E:$E,"FAUX",$G:$G,"J2",$M:$M,"K",$N:$N,"J*")*SUMIFS($J:$J,$O:$O,"J_1_5")</f>
        <v>0</v>
      </c>
      <c r="CJ53" s="27">
        <f>SUMIFS($D:$D,$E:$E,"FAUX",$G:$G,"J2",$M:$M,"K",$N:$N,"J*")*SUMIFS($J:$J,$O:$O,"J_1_6")</f>
        <v>0</v>
      </c>
      <c r="CK53" s="46">
        <f>SUMIFS($D:$D,$E:$E,"FAUX",$G:$G,"I2",$M:$M,"F",$N:$N,"E*")*SUMIFS($J:$J,$E:$E,"VRAI",$F:$F,"H",$M:$M,"J")*SUMIFS($J:$J,$E:$E,"VRAI",$F:$F,"I",$M:$M,"K")*SUMIFS($J:$J,$E:$E,"VRAI",$F:$F,"J",$I:$I,"K1")</f>
        <v>0</v>
      </c>
      <c r="CL53" s="47">
        <f>SUMIFS($D:$D,$E:$E,"FAUX",$G:$G,"I2",$M:$M,"F",$N:$N,"E*")*SUMIFS($J:$J,$E:$E,"VRAI",$F:$F,"H",$M:$M,"J")*SUMIFS($J:$J,$E:$E,"VRAI",$F:$F,"I",$M:$M,"K")*SUMIFS($J:$J,$E:$E,"VRAI",$F:$F,"J",$I:$I,"K2")</f>
        <v>0</v>
      </c>
      <c r="CM53" s="47">
        <f>SUMIFS($D:$D,$E:$E,"FAUX",$G:$G,"I2",$M:$M,"F",$N:$N,"E*")*SUMIFS($J:$J,$E:$E,"VRAI",$F:$F,"H",$M:$M,"J")*SUMIFS($J:$J,$E:$E,"VRAI",$F:$F,"I",$M:$M,"K")*SUMIFS($J:$J,$E:$E,"VRAI",$F:$F,"J",$I:$I,"K3")</f>
        <v>0</v>
      </c>
      <c r="CN53" s="47">
        <f>SUMIFS($D:$D,$E:$E,"FAUX",$G:$G,"I2",$M:$M,"F",$N:$N,"E*")*SUMIFS($J:$J,$E:$E,"VRAI",$F:$F,"H",$M:$M,"J")*SUMIFS($J:$J,$E:$E,"VRAI",$F:$F,"I",$M:$M,"K")*SUMIFS($J:$J,$E:$E,"VRAI",$F:$F,"J",$I:$I,"K4")</f>
        <v>0</v>
      </c>
      <c r="CO53" s="47">
        <f>SUMIFS($D:$D,$E:$E,"FAUX",$G:$G,"I2",$M:$M,"F",$N:$N,"E*")*SUMIFS($J:$J,$E:$E,"VRAI",$F:$F,"H",$M:$M,"J")*SUMIFS($J:$J,$E:$E,"VRAI",$F:$F,"I",$M:$M,"K")*SUMIFS($J:$J,$E:$E,"VRAI",$F:$F,"J",$I:$I,"K5")</f>
        <v>0</v>
      </c>
      <c r="CP53" s="48">
        <f>SUMIFS($D:$D,$E:$E,"FAUX",$G:$G,"I2",$M:$M,"F",$N:$N,"E*")*SUMIFS($J:$J,$E:$E,"VRAI",$F:$F,"H",$M:$M,"J")*SUMIFS($J:$J,$E:$E,"VRAI",$F:$F,"I",$M:$M,"K")*SUMIFS($J:$J,$E:$E,"VRAI",$F:$F,"J",$I:$I,"K6")</f>
        <v>0</v>
      </c>
    </row>
    <row r="54" spans="1:94">
      <c r="A54" s="35" t="s">
        <v>11</v>
      </c>
      <c r="B54" s="35">
        <v>1</v>
      </c>
      <c r="C54" s="35">
        <v>2</v>
      </c>
      <c r="D54" s="35">
        <v>129</v>
      </c>
      <c r="E54" s="35" t="b">
        <v>1</v>
      </c>
      <c r="F54" s="35" t="s">
        <v>10</v>
      </c>
      <c r="G54" s="53" t="str">
        <f t="shared" si="0"/>
        <v>D1</v>
      </c>
      <c r="H54" s="52" t="str">
        <f t="shared" si="5"/>
        <v>C</v>
      </c>
      <c r="I54" s="41" t="str">
        <f t="shared" si="1"/>
        <v>D2</v>
      </c>
      <c r="J54" s="42">
        <f t="shared" si="2"/>
        <v>0.11246730601569312</v>
      </c>
      <c r="K54" s="41">
        <f t="shared" si="6"/>
        <v>1147</v>
      </c>
      <c r="L54" s="41" t="str">
        <f t="shared" si="3"/>
        <v>D1</v>
      </c>
      <c r="M54" s="41" t="str">
        <f t="shared" si="7"/>
        <v/>
      </c>
      <c r="N54" s="41" t="str">
        <f>IFERROR(VLOOKUP(I54,L54:L:L,1,FALSE),"")</f>
        <v/>
      </c>
      <c r="O54" s="56" t="str">
        <f t="shared" si="8"/>
        <v>D_1_2</v>
      </c>
      <c r="U54" t="s">
        <v>59</v>
      </c>
      <c r="V54">
        <f>SUMIFS(D:D,A:A,"G",B:B,"3")</f>
        <v>211</v>
      </c>
      <c r="Z54" t="e">
        <f t="shared" si="9"/>
        <v>#N/A</v>
      </c>
      <c r="AA54" t="str">
        <f t="shared" si="10"/>
        <v>I3</v>
      </c>
      <c r="AB54" s="34" t="s">
        <v>71</v>
      </c>
      <c r="AC54" s="46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23.16700328492896</v>
      </c>
      <c r="AD54" s="47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4" s="47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14.687404591129418</v>
      </c>
      <c r="AF54" s="47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4" s="47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4" s="47">
        <f>SUMIFS($D:$D,$E:$E,"FAUX",$G:$G,"I3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4" s="46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37.854407876058396</v>
      </c>
      <c r="AJ54" s="47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4" s="47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4" s="47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3.052040105530581</v>
      </c>
      <c r="AM54" s="47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4" s="48">
        <f>SUMIFS($D:$D,$E:$E,"FAUX",$G:$G,"I3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40.906447981588975</v>
      </c>
      <c r="AP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4" s="47">
        <f>SUMIFS($D:$D,$E:$E,"FAUX",$G:$G,"I3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4" s="46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1")</f>
        <v>40.906447981588968</v>
      </c>
      <c r="AV54" s="47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2")</f>
        <v>17.801393922668371</v>
      </c>
      <c r="AW54" s="47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4" s="47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4")</f>
        <v>6.4589128391982582</v>
      </c>
      <c r="AY54" s="47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4" s="47">
        <f>SUMIFS($D:$D,$E:$E,"FAUX",$G:$G,"I3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4" s="46">
        <f>SUMIFS($D:$D,$E:$E,"FAUX",$G:$G,"I3",$M:$M,"H",$N:$N,"I*")*SUMIFS($J:$J,$E:$E,"VRAI",$F:$F,"G",$M:$M,"E")*SUMIFS($J:$J,$E:$E,"VRAI",$F:$F,"H",$M:$M,"F")*SUMIFS($J:$J,$E:$E,"VRAI",$F:$F,"I",$M:$M,"G")*SUMIFS($J:$J,$E:$E,"VRAI",$I:$I,"E1",$F:$F,"F")</f>
        <v>65.166754743455598</v>
      </c>
      <c r="BB54" s="47">
        <f>SUMIFS($D:$D,$E:$E,"FAUX",$G:$G,"I3",$M:$M,"H",$N:$N,"I*")*SUMIFS($J:$J,$E:$E,"VRAI",$F:$F,"G",$M:$M,"E")*SUMIFS($J:$J,$E:$E,"VRAI",$F:$F,"H",$M:$M,"F")*SUMIFS($J:$J,$E:$E,"VRAI",$F:$F,"I",$M:$M,"G")*SUMIFS($J:$J,$E:$E,"VRAI",$I:$I,"E2",$F:$F,"F")</f>
        <v>0</v>
      </c>
      <c r="BC54" s="47">
        <f>SUMIFS($D:$D,$E:$E,"FAUX",$G:$G,"I3",$M:$M,"H",$N:$N,"I*")*SUMIFS($J:$J,$E:$E,"VRAI",$F:$F,"G",$M:$M,"E")*SUMIFS($J:$J,$E:$E,"VRAI",$F:$F,"H",$M:$M,"F")*SUMIFS($J:$J,$E:$E,"VRAI",$F:$F,"I",$M:$M,"G")*SUMIFS($J:$J,$E:$E,"VRAI",$I:$I,"E3",$F:$F,"F")</f>
        <v>9.343543830796829</v>
      </c>
      <c r="BD54" s="47">
        <f>SUMIFS($D:$D,$E:$E,"FAUX",$G:$G,"I3",$M:$M,"H",$N:$N,"I*")*SUMIFS($J:$J,$E:$E,"VRAI",$F:$F,"G",$M:$M,"E")*SUMIFS($J:$J,$E:$E,"VRAI",$F:$F,"H",$M:$M,"F")*SUMIFS($J:$J,$E:$E,"VRAI",$F:$F,"I",$M:$M,"G")*SUMIFS($J:$J,$E:$E,"VRAI",$I:$I,"E4",$F:$F,"F")</f>
        <v>0</v>
      </c>
      <c r="BE54" s="47">
        <f>SUMIFS($D:$D,$E:$E,"FAUX",$G:$G,"I3",$M:$M,"H",$N:$N,"I*")*SUMIFS($J:$J,$E:$E,"VRAI",$F:$F,"G",$M:$M,"E")*SUMIFS($J:$J,$E:$E,"VRAI",$F:$F,"H",$M:$M,"F")*SUMIFS($J:$J,$E:$E,"VRAI",$F:$F,"I",$M:$M,"G")*SUMIFS($J:$J,$E:$E,"VRAI",$I:$I,"E5",$F:$F,"F")</f>
        <v>0</v>
      </c>
      <c r="BF54" s="47">
        <f>SUMIFS($D:$D,$E:$E,"FAUX",$G:$G,"I3",$M:$M,"H",$N:$N,"I*")*SUMIFS($J:$J,$E:$E,"VRAI",$F:$F,"G",$M:$M,"E")*SUMIFS($J:$J,$E:$E,"VRAI",$F:$F,"H",$M:$M,"F")*SUMIFS($J:$J,$E:$E,"VRAI",$F:$F,"I",$M:$M,"G")*SUMIFS($J:$J,$E:$E,"VRAI",$I:$I,"E6",$F:$F,"F")</f>
        <v>0</v>
      </c>
      <c r="BG54" s="46">
        <f>SUMIFS($D:$D,$E:$E,"FAUX",$G:$G,"I3",$M:$M,"H",$N:$N,"I*")*SUMIFS($J:$J,$E:$E,"VRAI",$F:$F,"G",$M:$M,"E")*SUMIFS($J:$J,$E:$E,"VRAI",$F:$F,"H",$M:$M,"F")*SUMIFS($J:$J,$E:$E,"VRAI",$F:$F,"I",$M:$M,"G")*SUMIFS($J:$J,$E:$E,"VRAI",$I:$I,"F1",$F:$F,"G")</f>
        <v>50.382273849835698</v>
      </c>
      <c r="BH54" s="47">
        <f>SUMIFS($D:$D,$E:$E,"FAUX",$G:$G,"I3",$M:$M,"H",$N:$N,"I*")*SUMIFS($J:$J,$E:$E,"VRAI",$F:$F,"G",$M:$M,"E")*SUMIFS($J:$J,$E:$E,"VRAI",$F:$F,"H",$M:$M,"F")*SUMIFS($J:$J,$E:$E,"VRAI",$F:$F,"I",$M:$M,"G")*SUMIFS($J:$J,$E:$E,"VRAI",$I:$I,"F2",$F:$F,"G")</f>
        <v>13.080902293122479</v>
      </c>
      <c r="BI54" s="47">
        <f>SUMIFS($D:$D,$E:$E,"FAUX",$G:$G,"I3",$M:$M,"H",$N:$N,"I*")*SUMIFS($J:$J,$E:$E,"VRAI",$F:$F,"G",$M:$M,"E")*SUMIFS($J:$J,$E:$E,"VRAI",$F:$F,"H",$M:$M,"F")*SUMIFS($J:$J,$E:$E,"VRAI",$F:$F,"I",$M:$M,"G")*SUMIFS($J:$J,$E:$E,"VRAI",$I:$I,"F3",$F:$F,"G")</f>
        <v>0</v>
      </c>
      <c r="BJ54" s="47">
        <f>SUMIFS($D:$D,$E:$E,"FAUX",$G:$G,"I3",$M:$M,"H",$N:$N,"I*")*SUMIFS($J:$J,$E:$E,"VRAI",$F:$F,"G",$M:$M,"E")*SUMIFS($J:$J,$E:$E,"VRAI",$F:$F,"H",$M:$M,"F")*SUMIFS($J:$J,$E:$E,"VRAI",$F:$F,"I",$M:$M,"G")*SUMIFS($J:$J,$E:$E,"VRAI",$I:$I,"F4",$F:$F,"G")</f>
        <v>11.04712243129425</v>
      </c>
      <c r="BK54" s="47">
        <f>SUMIFS($D:$D,$E:$E,"FAUX",$G:$G,"I3",$M:$M,"H",$N:$N,"I*")*SUMIFS($J:$J,$E:$E,"VRAI",$F:$F,"G",$M:$M,"E")*SUMIFS($J:$J,$E:$E,"VRAI",$F:$F,"H",$M:$M,"F")*SUMIFS($J:$J,$E:$E,"VRAI",$F:$F,"I",$M:$M,"G")*SUMIFS($J:$J,$E:$E,"VRAI",$I:$I,"F5",$F:$F,"G")</f>
        <v>0</v>
      </c>
      <c r="BL54" s="48">
        <f>SUMIFS($D:$D,$E:$E,"FAUX",$G:$G,"I3",$M:$M,"H",$N:$N,"I*")*SUMIFS($J:$J,$E:$E,"VRAI",$F:$F,"G",$M:$M,"E")*SUMIFS($J:$J,$E:$E,"VRAI",$F:$F,"H",$M:$M,"F")*SUMIFS($J:$J,$E:$E,"VRAI",$F:$F,"I",$M:$M,"G")*SUMIFS($J:$J,$E:$E,"VRAI",$I:$I,"F6",$F:$F,"G")</f>
        <v>0</v>
      </c>
      <c r="BM54" s="16">
        <f>SUMIFS($D:$D,$E:$E,"FAUX",$G:$G,"I3",$M:$M,"H",$N:$N,"I*")*SUMIFS($J:$J,$E:$E,"VRAI",$F:$F,"I",$M:$M,"G")*SUMIFS($J:$J,$E:$E,"VRAI",$I:$I,"G1",$F:$F,"H")</f>
        <v>110.19321220338983</v>
      </c>
      <c r="BN54" s="17">
        <f>SUMIFS($D:$D,$E:$E,"FAUX",$G:$G,"I3",$M:$M,"H",$N:$N,"I*")*SUMIFS($J:$J,$E:$E,"VRAI",$F:$F,"I",$M:$M,"G")*SUMIFS($J:$J,$E:$E,"VRAI",$I:$I,"G2",$F:$F,"H")</f>
        <v>0</v>
      </c>
      <c r="BO54" s="17">
        <f>SUMIFS($D:$D,$E:$E,"FAUX",$G:$G,"I3",$M:$M,"H",$N:$N,"I*")*SUMIFS($J:$J,$E:$E,"VRAI",$F:$F,"I",$M:$M,"G")*SUMIFS($J:$J,$E:$E,"VRAI",$I:$I,"G3",$F:$F,"H")</f>
        <v>1.7159403389830508</v>
      </c>
      <c r="BP54" s="17">
        <f>SUMIFS($D:$D,$E:$E,"FAUX",$G:$G,"I3",$M:$M,"H",$N:$N,"I*")*SUMIFS($J:$J,$E:$E,"VRAI",$F:$F,"I",$M:$M,"G")*SUMIFS($J:$J,$E:$E,"VRAI",$I:$I,"G4",$F:$F,"H")</f>
        <v>0</v>
      </c>
      <c r="BQ54" s="17">
        <f>SUMIFS($D:$D,$E:$E,"FAUX",$G:$G,"I3",$M:$M,"H",$N:$N,"I*")*SUMIFS($J:$J,$E:$E,"VRAI",$F:$F,"I",$M:$M,"G")*SUMIFS($J:$J,$E:$E,"VRAI",$I:$I,"G5",$F:$F,"H")</f>
        <v>0</v>
      </c>
      <c r="BR54" s="18">
        <f>SUMIFS($D:$D,$E:$E,"FAUX",$G:$G,"I3",$M:$M,"H",$N:$N,"I*")*SUMIFS($J:$J,$E:$E,"VRAI",$F:$F,"I",$M:$M,"G")*SUMIFS($J:$J,$E:$E,"VRAI",$I:$I,"G6",$F:$F,"H")</f>
        <v>0</v>
      </c>
      <c r="BS54" s="31">
        <f t="shared" si="17"/>
        <v>0</v>
      </c>
      <c r="BT54" s="27">
        <f t="shared" si="18"/>
        <v>0</v>
      </c>
      <c r="BU54" s="27">
        <f t="shared" si="19"/>
        <v>0</v>
      </c>
      <c r="BV54" s="27">
        <f t="shared" si="20"/>
        <v>0</v>
      </c>
      <c r="BW54" s="27">
        <f t="shared" si="21"/>
        <v>0</v>
      </c>
      <c r="BX54" s="28">
        <f t="shared" si="22"/>
        <v>0</v>
      </c>
      <c r="BY54" s="54">
        <f>SUMIFS($D:$D,$O:$O,"I_3_1")</f>
        <v>123</v>
      </c>
      <c r="BZ54" s="54">
        <f>SUMIFS($D:$D,$O:$O,"I_3_2")</f>
        <v>135</v>
      </c>
      <c r="CA54" s="54">
        <f>SUMIFS($D:$D,$O:$O,"I_3_3")</f>
        <v>0</v>
      </c>
      <c r="CB54" s="54">
        <f>SUMIFS($D:$D,$O:$O,"I_3_4")</f>
        <v>0</v>
      </c>
      <c r="CC54" s="54">
        <f>SUMIFS($D:$D,$O:$O,"I_3_5")</f>
        <v>0</v>
      </c>
      <c r="CD54" s="55">
        <f>SUMIFS($D:$D,$O:$O,"I_3_6")</f>
        <v>0</v>
      </c>
      <c r="CE54" s="31">
        <f>SUMIFS($D:$D,$E:$E,"FAUX",$G:$G,"J3",$M:$M,"K",$N:$N,"J*")*SUMIFS($J:$J,$O:$O,"J_1_1")</f>
        <v>0</v>
      </c>
      <c r="CF54" s="27">
        <f>SUMIFS($D:$D,$E:$E,"FAUX",$G:$G,"J3",$M:$M,"K",$N:$N,"J*")*SUMIFS($J:$J,$O:$O,"J_1_2")</f>
        <v>0</v>
      </c>
      <c r="CG54" s="27">
        <f>SUMIFS($D:$D,$E:$E,"FAUX",$G:$G,"J3",$M:$M,"K",$N:$N,"J*")*SUMIFS($J:$J,$O:$O,"J_1_3")</f>
        <v>0</v>
      </c>
      <c r="CH54" s="27">
        <f>SUMIFS($D:$D,$E:$E,"FAUX",$G:$G,"J3",$M:$M,"K",$N:$N,"J*")*SUMIFS($J:$J,$O:$O,"J_1_4")</f>
        <v>0</v>
      </c>
      <c r="CI54" s="27">
        <f>SUMIFS($D:$D,$E:$E,"FAUX",$G:$G,"J3",$M:$M,"K",$N:$N,"J*")*SUMIFS($J:$J,$O:$O,"J_1_5")</f>
        <v>0</v>
      </c>
      <c r="CJ54" s="27">
        <f>SUMIFS($D:$D,$E:$E,"FAUX",$G:$G,"J3",$M:$M,"K",$N:$N,"J*")*SUMIFS($J:$J,$O:$O,"J_1_6")</f>
        <v>0</v>
      </c>
      <c r="CK54" s="46">
        <f>SUMIFS($D:$D,$E:$E,"FAUX",$G:$G,"I3",$M:$M,"F",$N:$N,"E*")*SUMIFS($J:$J,$E:$E,"VRAI",$F:$F,"H",$M:$M,"J")*SUMIFS($J:$J,$E:$E,"VRAI",$F:$F,"I",$M:$M,"K")*SUMIFS($J:$J,$E:$E,"VRAI",$F:$F,"J",$I:$I,"K1")</f>
        <v>0</v>
      </c>
      <c r="CL54" s="47">
        <f>SUMIFS($D:$D,$E:$E,"FAUX",$G:$G,"I3",$M:$M,"F",$N:$N,"E*")*SUMIFS($J:$J,$E:$E,"VRAI",$F:$F,"H",$M:$M,"J")*SUMIFS($J:$J,$E:$E,"VRAI",$F:$F,"I",$M:$M,"K")*SUMIFS($J:$J,$E:$E,"VRAI",$F:$F,"J",$I:$I,"K2")</f>
        <v>0</v>
      </c>
      <c r="CM54" s="47">
        <f>SUMIFS($D:$D,$E:$E,"FAUX",$G:$G,"I3",$M:$M,"F",$N:$N,"E*")*SUMIFS($J:$J,$E:$E,"VRAI",$F:$F,"H",$M:$M,"J")*SUMIFS($J:$J,$E:$E,"VRAI",$F:$F,"I",$M:$M,"K")*SUMIFS($J:$J,$E:$E,"VRAI",$F:$F,"J",$I:$I,"K3")</f>
        <v>0</v>
      </c>
      <c r="CN54" s="47">
        <f>SUMIFS($D:$D,$E:$E,"FAUX",$G:$G,"I3",$M:$M,"F",$N:$N,"E*")*SUMIFS($J:$J,$E:$E,"VRAI",$F:$F,"H",$M:$M,"J")*SUMIFS($J:$J,$E:$E,"VRAI",$F:$F,"I",$M:$M,"K")*SUMIFS($J:$J,$E:$E,"VRAI",$F:$F,"J",$I:$I,"K4")</f>
        <v>0</v>
      </c>
      <c r="CO54" s="47">
        <f>SUMIFS($D:$D,$E:$E,"FAUX",$G:$G,"I3",$M:$M,"F",$N:$N,"E*")*SUMIFS($J:$J,$E:$E,"VRAI",$F:$F,"H",$M:$M,"J")*SUMIFS($J:$J,$E:$E,"VRAI",$F:$F,"I",$M:$M,"K")*SUMIFS($J:$J,$E:$E,"VRAI",$F:$F,"J",$I:$I,"K5")</f>
        <v>0</v>
      </c>
      <c r="CP54" s="48">
        <f>SUMIFS($D:$D,$E:$E,"FAUX",$G:$G,"I3",$M:$M,"F",$N:$N,"E*")*SUMIFS($J:$J,$E:$E,"VRAI",$F:$F,"H",$M:$M,"J")*SUMIFS($J:$J,$E:$E,"VRAI",$F:$F,"I",$M:$M,"K")*SUMIFS($J:$J,$E:$E,"VRAI",$F:$F,"J",$I:$I,"K6")</f>
        <v>0</v>
      </c>
    </row>
    <row r="55" spans="1:94">
      <c r="A55" s="35" t="s">
        <v>11</v>
      </c>
      <c r="B55" s="35">
        <v>1</v>
      </c>
      <c r="C55" s="35">
        <v>3</v>
      </c>
      <c r="D55" s="35">
        <v>948</v>
      </c>
      <c r="E55" s="35" t="b">
        <v>1</v>
      </c>
      <c r="F55" s="35" t="s">
        <v>10</v>
      </c>
      <c r="G55" s="53" t="str">
        <f t="shared" si="0"/>
        <v>D1</v>
      </c>
      <c r="H55" s="52" t="str">
        <f t="shared" si="5"/>
        <v>C</v>
      </c>
      <c r="I55" s="41" t="str">
        <f t="shared" si="1"/>
        <v>D3</v>
      </c>
      <c r="J55" s="42">
        <f t="shared" si="2"/>
        <v>0.82650392327811684</v>
      </c>
      <c r="K55" s="41">
        <f t="shared" si="6"/>
        <v>1147</v>
      </c>
      <c r="L55" s="41" t="str">
        <f t="shared" si="3"/>
        <v>D1</v>
      </c>
      <c r="M55" s="41" t="str">
        <f t="shared" si="7"/>
        <v>E</v>
      </c>
      <c r="N55" s="41" t="str">
        <f>IFERROR(VLOOKUP(I55,L55:L:L,1,FALSE),"")</f>
        <v>D3</v>
      </c>
      <c r="O55" s="56" t="str">
        <f t="shared" si="8"/>
        <v>D_1_3</v>
      </c>
      <c r="U55" t="s">
        <v>60</v>
      </c>
      <c r="V55">
        <f>SUMIFS(D:D,A:A,"G",B:B,"4")</f>
        <v>0</v>
      </c>
      <c r="Z55" t="e">
        <f t="shared" si="9"/>
        <v>#N/A</v>
      </c>
      <c r="AA55" t="e">
        <f t="shared" si="10"/>
        <v>#N/A</v>
      </c>
      <c r="AB55" s="34" t="s">
        <v>72</v>
      </c>
      <c r="AC55" s="46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0</v>
      </c>
      <c r="AD55" s="47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5" s="47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0</v>
      </c>
      <c r="AF55" s="47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5" s="47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5" s="47">
        <f>SUMIFS($D:$D,$E:$E,"FAUX",$G:$G,"I4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5" s="46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5" s="47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5" s="47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5" s="47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5" s="47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5" s="48">
        <f>SUMIFS($D:$D,$E:$E,"FAUX",$G:$G,"I4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0</v>
      </c>
      <c r="AP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5" s="47">
        <f>SUMIFS($D:$D,$E:$E,"FAUX",$G:$G,"I4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5" s="46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1")</f>
        <v>0</v>
      </c>
      <c r="AV55" s="47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2")</f>
        <v>0</v>
      </c>
      <c r="AW55" s="47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5" s="47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4")</f>
        <v>0</v>
      </c>
      <c r="AY55" s="47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5" s="47">
        <f>SUMIFS($D:$D,$E:$E,"FAUX",$G:$G,"I4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5" s="46">
        <f>SUMIFS($D:$D,$E:$E,"FAUX",$G:$G,"I4",$M:$M,"H",$N:$N,"I*")*SUMIFS($J:$J,$E:$E,"VRAI",$F:$F,"G",$M:$M,"E")*SUMIFS($J:$J,$E:$E,"VRAI",$F:$F,"H",$M:$M,"F")*SUMIFS($J:$J,$E:$E,"VRAI",$F:$F,"I",$M:$M,"G")*SUMIFS($J:$J,$E:$E,"VRAI",$I:$I,"E1",$F:$F,"F")</f>
        <v>0</v>
      </c>
      <c r="BB55" s="47">
        <f>SUMIFS($D:$D,$E:$E,"FAUX",$G:$G,"I4",$M:$M,"H",$N:$N,"I*")*SUMIFS($J:$J,$E:$E,"VRAI",$F:$F,"G",$M:$M,"E")*SUMIFS($J:$J,$E:$E,"VRAI",$F:$F,"H",$M:$M,"F")*SUMIFS($J:$J,$E:$E,"VRAI",$F:$F,"I",$M:$M,"G")*SUMIFS($J:$J,$E:$E,"VRAI",$I:$I,"E2",$F:$F,"F")</f>
        <v>0</v>
      </c>
      <c r="BC55" s="47">
        <f>SUMIFS($D:$D,$E:$E,"FAUX",$G:$G,"I4",$M:$M,"H",$N:$N,"I*")*SUMIFS($J:$J,$E:$E,"VRAI",$F:$F,"G",$M:$M,"E")*SUMIFS($J:$J,$E:$E,"VRAI",$F:$F,"H",$M:$M,"F")*SUMIFS($J:$J,$E:$E,"VRAI",$F:$F,"I",$M:$M,"G")*SUMIFS($J:$J,$E:$E,"VRAI",$I:$I,"E3",$F:$F,"F")</f>
        <v>0</v>
      </c>
      <c r="BD55" s="47">
        <f>SUMIFS($D:$D,$E:$E,"FAUX",$G:$G,"I4",$M:$M,"H",$N:$N,"I*")*SUMIFS($J:$J,$E:$E,"VRAI",$F:$F,"G",$M:$M,"E")*SUMIFS($J:$J,$E:$E,"VRAI",$F:$F,"H",$M:$M,"F")*SUMIFS($J:$J,$E:$E,"VRAI",$F:$F,"I",$M:$M,"G")*SUMIFS($J:$J,$E:$E,"VRAI",$I:$I,"E4",$F:$F,"F")</f>
        <v>0</v>
      </c>
      <c r="BE55" s="47">
        <f>SUMIFS($D:$D,$E:$E,"FAUX",$G:$G,"I4",$M:$M,"H",$N:$N,"I*")*SUMIFS($J:$J,$E:$E,"VRAI",$F:$F,"G",$M:$M,"E")*SUMIFS($J:$J,$E:$E,"VRAI",$F:$F,"H",$M:$M,"F")*SUMIFS($J:$J,$E:$E,"VRAI",$F:$F,"I",$M:$M,"G")*SUMIFS($J:$J,$E:$E,"VRAI",$I:$I,"E5",$F:$F,"F")</f>
        <v>0</v>
      </c>
      <c r="BF55" s="47">
        <f>SUMIFS($D:$D,$E:$E,"FAUX",$G:$G,"I4",$M:$M,"H",$N:$N,"I*")*SUMIFS($J:$J,$E:$E,"VRAI",$F:$F,"G",$M:$M,"E")*SUMIFS($J:$J,$E:$E,"VRAI",$F:$F,"H",$M:$M,"F")*SUMIFS($J:$J,$E:$E,"VRAI",$F:$F,"I",$M:$M,"G")*SUMIFS($J:$J,$E:$E,"VRAI",$I:$I,"E6",$F:$F,"F")</f>
        <v>0</v>
      </c>
      <c r="BG55" s="46">
        <f>SUMIFS($D:$D,$E:$E,"FAUX",$G:$G,"I4",$M:$M,"H",$N:$N,"I*")*SUMIFS($J:$J,$E:$E,"VRAI",$F:$F,"G",$M:$M,"E")*SUMIFS($J:$J,$E:$E,"VRAI",$F:$F,"H",$M:$M,"F")*SUMIFS($J:$J,$E:$E,"VRAI",$F:$F,"I",$M:$M,"G")*SUMIFS($J:$J,$E:$E,"VRAI",$I:$I,"F1",$F:$F,"G")</f>
        <v>0</v>
      </c>
      <c r="BH55" s="47">
        <f>SUMIFS($D:$D,$E:$E,"FAUX",$G:$G,"I4",$M:$M,"H",$N:$N,"I*")*SUMIFS($J:$J,$E:$E,"VRAI",$F:$F,"G",$M:$M,"E")*SUMIFS($J:$J,$E:$E,"VRAI",$F:$F,"H",$M:$M,"F")*SUMIFS($J:$J,$E:$E,"VRAI",$F:$F,"I",$M:$M,"G")*SUMIFS($J:$J,$E:$E,"VRAI",$I:$I,"F2",$F:$F,"G")</f>
        <v>0</v>
      </c>
      <c r="BI55" s="47">
        <f>SUMIFS($D:$D,$E:$E,"FAUX",$G:$G,"I4",$M:$M,"H",$N:$N,"I*")*SUMIFS($J:$J,$E:$E,"VRAI",$F:$F,"G",$M:$M,"E")*SUMIFS($J:$J,$E:$E,"VRAI",$F:$F,"H",$M:$M,"F")*SUMIFS($J:$J,$E:$E,"VRAI",$F:$F,"I",$M:$M,"G")*SUMIFS($J:$J,$E:$E,"VRAI",$I:$I,"F3",$F:$F,"G")</f>
        <v>0</v>
      </c>
      <c r="BJ55" s="47">
        <f>SUMIFS($D:$D,$E:$E,"FAUX",$G:$G,"I4",$M:$M,"H",$N:$N,"I*")*SUMIFS($J:$J,$E:$E,"VRAI",$F:$F,"G",$M:$M,"E")*SUMIFS($J:$J,$E:$E,"VRAI",$F:$F,"H",$M:$M,"F")*SUMIFS($J:$J,$E:$E,"VRAI",$F:$F,"I",$M:$M,"G")*SUMIFS($J:$J,$E:$E,"VRAI",$I:$I,"F4",$F:$F,"G")</f>
        <v>0</v>
      </c>
      <c r="BK55" s="47">
        <f>SUMIFS($D:$D,$E:$E,"FAUX",$G:$G,"I4",$M:$M,"H",$N:$N,"I*")*SUMIFS($J:$J,$E:$E,"VRAI",$F:$F,"G",$M:$M,"E")*SUMIFS($J:$J,$E:$E,"VRAI",$F:$F,"H",$M:$M,"F")*SUMIFS($J:$J,$E:$E,"VRAI",$F:$F,"I",$M:$M,"G")*SUMIFS($J:$J,$E:$E,"VRAI",$I:$I,"F5",$F:$F,"G")</f>
        <v>0</v>
      </c>
      <c r="BL55" s="48">
        <f>SUMIFS($D:$D,$E:$E,"FAUX",$G:$G,"I4",$M:$M,"H",$N:$N,"I*")*SUMIFS($J:$J,$E:$E,"VRAI",$F:$F,"G",$M:$M,"E")*SUMIFS($J:$J,$E:$E,"VRAI",$F:$F,"H",$M:$M,"F")*SUMIFS($J:$J,$E:$E,"VRAI",$F:$F,"I",$M:$M,"G")*SUMIFS($J:$J,$E:$E,"VRAI",$I:$I,"F6",$F:$F,"G")</f>
        <v>0</v>
      </c>
      <c r="BM55" s="16">
        <f>SUMIFS($D:$D,$E:$E,"FAUX",$G:$G,"I4",$M:$M,"H",$N:$N,"I*")*SUMIFS($J:$J,$E:$E,"VRAI",$F:$F,"I",$M:$M,"G")*SUMIFS($J:$J,$E:$E,"VRAI",$I:$I,"G1",$F:$F,"H")</f>
        <v>0</v>
      </c>
      <c r="BN55" s="17">
        <f>SUMIFS($D:$D,$E:$E,"FAUX",$G:$G,"I4",$M:$M,"H",$N:$N,"I*")*SUMIFS($J:$J,$E:$E,"VRAI",$F:$F,"I",$M:$M,"G")*SUMIFS($J:$J,$E:$E,"VRAI",$I:$I,"G2",$F:$F,"H")</f>
        <v>0</v>
      </c>
      <c r="BO55" s="17">
        <f>SUMIFS($D:$D,$E:$E,"FAUX",$G:$G,"I4",$M:$M,"H",$N:$N,"I*")*SUMIFS($J:$J,$E:$E,"VRAI",$F:$F,"I",$M:$M,"G")*SUMIFS($J:$J,$E:$E,"VRAI",$I:$I,"G3",$F:$F,"H")</f>
        <v>0</v>
      </c>
      <c r="BP55" s="17">
        <f>SUMIFS($D:$D,$E:$E,"FAUX",$G:$G,"I4",$M:$M,"H",$N:$N,"I*")*SUMIFS($J:$J,$E:$E,"VRAI",$F:$F,"I",$M:$M,"G")*SUMIFS($J:$J,$E:$E,"VRAI",$I:$I,"G4",$F:$F,"H")</f>
        <v>0</v>
      </c>
      <c r="BQ55" s="17">
        <f>SUMIFS($D:$D,$E:$E,"FAUX",$G:$G,"I4",$M:$M,"H",$N:$N,"I*")*SUMIFS($J:$J,$E:$E,"VRAI",$F:$F,"I",$M:$M,"G")*SUMIFS($J:$J,$E:$E,"VRAI",$I:$I,"G5",$F:$F,"H")</f>
        <v>0</v>
      </c>
      <c r="BR55" s="18">
        <f>SUMIFS($D:$D,$E:$E,"FAUX",$G:$G,"I4",$M:$M,"H",$N:$N,"I*")*SUMIFS($J:$J,$E:$E,"VRAI",$F:$F,"I",$M:$M,"G")*SUMIFS($J:$J,$E:$E,"VRAI",$I:$I,"G6",$F:$F,"H")</f>
        <v>0</v>
      </c>
      <c r="BS55" s="31">
        <f t="shared" si="17"/>
        <v>0</v>
      </c>
      <c r="BT55" s="27">
        <f t="shared" si="18"/>
        <v>0</v>
      </c>
      <c r="BU55" s="27">
        <f t="shared" si="19"/>
        <v>0</v>
      </c>
      <c r="BV55" s="27">
        <f t="shared" si="20"/>
        <v>0</v>
      </c>
      <c r="BW55" s="27">
        <f t="shared" si="21"/>
        <v>0</v>
      </c>
      <c r="BX55" s="28">
        <f t="shared" si="22"/>
        <v>0</v>
      </c>
      <c r="BY55" s="54">
        <f>SUMIFS($D:$D,$O:$O,"I_4_1")</f>
        <v>0</v>
      </c>
      <c r="BZ55" s="54">
        <f>SUMIFS($D:$D,$O:$O,"I_4_2")</f>
        <v>0</v>
      </c>
      <c r="CA55" s="54">
        <f>SUMIFS($D:$D,$O:$O,"I_4_3")</f>
        <v>0</v>
      </c>
      <c r="CB55" s="54">
        <f>SUMIFS($D:$D,$O:$O,"I_4_4")</f>
        <v>0</v>
      </c>
      <c r="CC55" s="54">
        <f>SUMIFS($D:$D,$O:$O,"I_4_5")</f>
        <v>0</v>
      </c>
      <c r="CD55" s="55">
        <f>SUMIFS($D:$D,$O:$O,"I_4_6")</f>
        <v>0</v>
      </c>
      <c r="CE55" s="31">
        <f>SUMIFS($D:$D,$E:$E,"FAUX",$G:$G,"J4",$M:$M,"K",$N:$N,"J*")*SUMIFS($J:$J,$O:$O,"J_1_1")</f>
        <v>0</v>
      </c>
      <c r="CF55" s="27">
        <f>SUMIFS($D:$D,$E:$E,"FAUX",$G:$G,"J4",$M:$M,"K",$N:$N,"J*")*SUMIFS($J:$J,$O:$O,"J_1_2")</f>
        <v>21.912293314162476</v>
      </c>
      <c r="CG55" s="27">
        <f>SUMIFS($D:$D,$E:$E,"FAUX",$G:$G,"J4",$M:$M,"K",$N:$N,"J*")*SUMIFS($J:$J,$O:$O,"J_1_3")</f>
        <v>83.631919482386763</v>
      </c>
      <c r="CH55" s="27">
        <f>SUMIFS($D:$D,$E:$E,"FAUX",$G:$G,"J4",$M:$M,"K",$N:$N,"J*")*SUMIFS($J:$J,$O:$O,"J_1_4")</f>
        <v>21.455787203450758</v>
      </c>
      <c r="CI55" s="27">
        <f>SUMIFS($D:$D,$E:$E,"FAUX",$G:$G,"J4",$M:$M,"K",$N:$N,"J*")*SUMIFS($J:$J,$O:$O,"J_1_5")</f>
        <v>0</v>
      </c>
      <c r="CJ55" s="27">
        <f>SUMIFS($D:$D,$E:$E,"FAUX",$G:$G,"J4",$M:$M,"K",$N:$N,"J*")*SUMIFS($J:$J,$O:$O,"J_1_6")</f>
        <v>0</v>
      </c>
      <c r="CK55" s="46">
        <f>SUMIFS($D:$D,$E:$E,"FAUX",$G:$G,"I4",$M:$M,"F",$N:$N,"E*")*SUMIFS($J:$J,$E:$E,"VRAI",$F:$F,"H",$M:$M,"J")*SUMIFS($J:$J,$E:$E,"VRAI",$F:$F,"I",$M:$M,"K")*SUMIFS($J:$J,$E:$E,"VRAI",$F:$F,"J",$I:$I,"K1")</f>
        <v>0</v>
      </c>
      <c r="CL55" s="47">
        <f>SUMIFS($D:$D,$E:$E,"FAUX",$G:$G,"I4",$M:$M,"F",$N:$N,"E*")*SUMIFS($J:$J,$E:$E,"VRAI",$F:$F,"H",$M:$M,"J")*SUMIFS($J:$J,$E:$E,"VRAI",$F:$F,"I",$M:$M,"K")*SUMIFS($J:$J,$E:$E,"VRAI",$F:$F,"J",$I:$I,"K2")</f>
        <v>0</v>
      </c>
      <c r="CM55" s="47">
        <f>SUMIFS($D:$D,$E:$E,"FAUX",$G:$G,"I4",$M:$M,"F",$N:$N,"E*")*SUMIFS($J:$J,$E:$E,"VRAI",$F:$F,"H",$M:$M,"J")*SUMIFS($J:$J,$E:$E,"VRAI",$F:$F,"I",$M:$M,"K")*SUMIFS($J:$J,$E:$E,"VRAI",$F:$F,"J",$I:$I,"K3")</f>
        <v>0</v>
      </c>
      <c r="CN55" s="47">
        <f>SUMIFS($D:$D,$E:$E,"FAUX",$G:$G,"I4",$M:$M,"F",$N:$N,"E*")*SUMIFS($J:$J,$E:$E,"VRAI",$F:$F,"H",$M:$M,"J")*SUMIFS($J:$J,$E:$E,"VRAI",$F:$F,"I",$M:$M,"K")*SUMIFS($J:$J,$E:$E,"VRAI",$F:$F,"J",$I:$I,"K4")</f>
        <v>0</v>
      </c>
      <c r="CO55" s="47">
        <f>SUMIFS($D:$D,$E:$E,"FAUX",$G:$G,"I4",$M:$M,"F",$N:$N,"E*")*SUMIFS($J:$J,$E:$E,"VRAI",$F:$F,"H",$M:$M,"J")*SUMIFS($J:$J,$E:$E,"VRAI",$F:$F,"I",$M:$M,"K")*SUMIFS($J:$J,$E:$E,"VRAI",$F:$F,"J",$I:$I,"K5")</f>
        <v>0</v>
      </c>
      <c r="CP55" s="48">
        <f>SUMIFS($D:$D,$E:$E,"FAUX",$G:$G,"I4",$M:$M,"F",$N:$N,"E*")*SUMIFS($J:$J,$E:$E,"VRAI",$F:$F,"H",$M:$M,"J")*SUMIFS($J:$J,$E:$E,"VRAI",$F:$F,"I",$M:$M,"K")*SUMIFS($J:$J,$E:$E,"VRAI",$F:$F,"J",$I:$I,"K6")</f>
        <v>0</v>
      </c>
    </row>
    <row r="56" spans="1:94">
      <c r="A56" s="35" t="s">
        <v>11</v>
      </c>
      <c r="B56" s="35">
        <v>1</v>
      </c>
      <c r="C56" s="35">
        <v>4</v>
      </c>
      <c r="D56" s="35">
        <v>70</v>
      </c>
      <c r="E56" s="35" t="b">
        <v>1</v>
      </c>
      <c r="F56" s="35" t="s">
        <v>10</v>
      </c>
      <c r="G56" s="53" t="str">
        <f t="shared" si="0"/>
        <v>D1</v>
      </c>
      <c r="H56" s="52" t="str">
        <f t="shared" si="5"/>
        <v>C</v>
      </c>
      <c r="I56" s="41" t="str">
        <f t="shared" si="1"/>
        <v>D4</v>
      </c>
      <c r="J56" s="42">
        <f t="shared" si="2"/>
        <v>6.1028770706190061E-2</v>
      </c>
      <c r="K56" s="41">
        <f t="shared" si="6"/>
        <v>1147</v>
      </c>
      <c r="L56" s="41" t="str">
        <f t="shared" si="3"/>
        <v>D1</v>
      </c>
      <c r="M56" s="41" t="str">
        <f t="shared" si="7"/>
        <v/>
      </c>
      <c r="N56" s="41" t="str">
        <f>IFERROR(VLOOKUP(I56,L56:L:L,1,FALSE),"")</f>
        <v/>
      </c>
      <c r="O56" s="56" t="str">
        <f t="shared" si="8"/>
        <v>D_1_4</v>
      </c>
      <c r="U56" t="s">
        <v>61</v>
      </c>
      <c r="V56">
        <f>SUMIFS(D:D,A:A,"G",B:B,"5")</f>
        <v>0</v>
      </c>
      <c r="Z56" t="e">
        <f t="shared" si="9"/>
        <v>#N/A</v>
      </c>
      <c r="AA56" t="e">
        <f t="shared" si="10"/>
        <v>#N/A</v>
      </c>
      <c r="AB56" s="34" t="s">
        <v>73</v>
      </c>
      <c r="AC56" s="46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0</v>
      </c>
      <c r="AD56" s="47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6" s="47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0</v>
      </c>
      <c r="AF56" s="47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6" s="47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6" s="47">
        <f>SUMIFS($D:$D,$E:$E,"FAUX",$G:$G,"I5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6" s="46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6" s="47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6" s="47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6" s="47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6" s="47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6" s="48">
        <f>SUMIFS($D:$D,$E:$E,"FAUX",$G:$G,"I5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0</v>
      </c>
      <c r="AP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6" s="47">
        <f>SUMIFS($D:$D,$E:$E,"FAUX",$G:$G,"I5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6" s="46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1")</f>
        <v>0</v>
      </c>
      <c r="AV56" s="47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2")</f>
        <v>0</v>
      </c>
      <c r="AW56" s="47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6" s="47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4")</f>
        <v>0</v>
      </c>
      <c r="AY56" s="47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6" s="47">
        <f>SUMIFS($D:$D,$E:$E,"FAUX",$G:$G,"I5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6" s="46">
        <f>SUMIFS($D:$D,$E:$E,"FAUX",$G:$G,"I5",$M:$M,"H",$N:$N,"I*")*SUMIFS($J:$J,$E:$E,"VRAI",$F:$F,"G",$M:$M,"E")*SUMIFS($J:$J,$E:$E,"VRAI",$F:$F,"H",$M:$M,"F")*SUMIFS($J:$J,$E:$E,"VRAI",$F:$F,"I",$M:$M,"G")*SUMIFS($J:$J,$E:$E,"VRAI",$I:$I,"E1",$F:$F,"F")</f>
        <v>0</v>
      </c>
      <c r="BB56" s="47">
        <f>SUMIFS($D:$D,$E:$E,"FAUX",$G:$G,"I5",$M:$M,"H",$N:$N,"I*")*SUMIFS($J:$J,$E:$E,"VRAI",$F:$F,"G",$M:$M,"E")*SUMIFS($J:$J,$E:$E,"VRAI",$F:$F,"H",$M:$M,"F")*SUMIFS($J:$J,$E:$E,"VRAI",$F:$F,"I",$M:$M,"G")*SUMIFS($J:$J,$E:$E,"VRAI",$I:$I,"E2",$F:$F,"F")</f>
        <v>0</v>
      </c>
      <c r="BC56" s="47">
        <f>SUMIFS($D:$D,$E:$E,"FAUX",$G:$G,"I5",$M:$M,"H",$N:$N,"I*")*SUMIFS($J:$J,$E:$E,"VRAI",$F:$F,"G",$M:$M,"E")*SUMIFS($J:$J,$E:$E,"VRAI",$F:$F,"H",$M:$M,"F")*SUMIFS($J:$J,$E:$E,"VRAI",$F:$F,"I",$M:$M,"G")*SUMIFS($J:$J,$E:$E,"VRAI",$I:$I,"E3",$F:$F,"F")</f>
        <v>0</v>
      </c>
      <c r="BD56" s="47">
        <f>SUMIFS($D:$D,$E:$E,"FAUX",$G:$G,"I5",$M:$M,"H",$N:$N,"I*")*SUMIFS($J:$J,$E:$E,"VRAI",$F:$F,"G",$M:$M,"E")*SUMIFS($J:$J,$E:$E,"VRAI",$F:$F,"H",$M:$M,"F")*SUMIFS($J:$J,$E:$E,"VRAI",$F:$F,"I",$M:$M,"G")*SUMIFS($J:$J,$E:$E,"VRAI",$I:$I,"E4",$F:$F,"F")</f>
        <v>0</v>
      </c>
      <c r="BE56" s="47">
        <f>SUMIFS($D:$D,$E:$E,"FAUX",$G:$G,"I5",$M:$M,"H",$N:$N,"I*")*SUMIFS($J:$J,$E:$E,"VRAI",$F:$F,"G",$M:$M,"E")*SUMIFS($J:$J,$E:$E,"VRAI",$F:$F,"H",$M:$M,"F")*SUMIFS($J:$J,$E:$E,"VRAI",$F:$F,"I",$M:$M,"G")*SUMIFS($J:$J,$E:$E,"VRAI",$I:$I,"E5",$F:$F,"F")</f>
        <v>0</v>
      </c>
      <c r="BF56" s="47">
        <f>SUMIFS($D:$D,$E:$E,"FAUX",$G:$G,"I5",$M:$M,"H",$N:$N,"I*")*SUMIFS($J:$J,$E:$E,"VRAI",$F:$F,"G",$M:$M,"E")*SUMIFS($J:$J,$E:$E,"VRAI",$F:$F,"H",$M:$M,"F")*SUMIFS($J:$J,$E:$E,"VRAI",$F:$F,"I",$M:$M,"G")*SUMIFS($J:$J,$E:$E,"VRAI",$I:$I,"E6",$F:$F,"F")</f>
        <v>0</v>
      </c>
      <c r="BG56" s="46">
        <f>SUMIFS($D:$D,$E:$E,"FAUX",$G:$G,"I5",$M:$M,"H",$N:$N,"I*")*SUMIFS($J:$J,$E:$E,"VRAI",$F:$F,"G",$M:$M,"E")*SUMIFS($J:$J,$E:$E,"VRAI",$F:$F,"H",$M:$M,"F")*SUMIFS($J:$J,$E:$E,"VRAI",$F:$F,"I",$M:$M,"G")*SUMIFS($J:$J,$E:$E,"VRAI",$I:$I,"F1",$F:$F,"G")</f>
        <v>0</v>
      </c>
      <c r="BH56" s="47">
        <f>SUMIFS($D:$D,$E:$E,"FAUX",$G:$G,"I5",$M:$M,"H",$N:$N,"I*")*SUMIFS($J:$J,$E:$E,"VRAI",$F:$F,"G",$M:$M,"E")*SUMIFS($J:$J,$E:$E,"VRAI",$F:$F,"H",$M:$M,"F")*SUMIFS($J:$J,$E:$E,"VRAI",$F:$F,"I",$M:$M,"G")*SUMIFS($J:$J,$E:$E,"VRAI",$I:$I,"F2",$F:$F,"G")</f>
        <v>0</v>
      </c>
      <c r="BI56" s="47">
        <f>SUMIFS($D:$D,$E:$E,"FAUX",$G:$G,"I5",$M:$M,"H",$N:$N,"I*")*SUMIFS($J:$J,$E:$E,"VRAI",$F:$F,"G",$M:$M,"E")*SUMIFS($J:$J,$E:$E,"VRAI",$F:$F,"H",$M:$M,"F")*SUMIFS($J:$J,$E:$E,"VRAI",$F:$F,"I",$M:$M,"G")*SUMIFS($J:$J,$E:$E,"VRAI",$I:$I,"F3",$F:$F,"G")</f>
        <v>0</v>
      </c>
      <c r="BJ56" s="47">
        <f>SUMIFS($D:$D,$E:$E,"FAUX",$G:$G,"I5",$M:$M,"H",$N:$N,"I*")*SUMIFS($J:$J,$E:$E,"VRAI",$F:$F,"G",$M:$M,"E")*SUMIFS($J:$J,$E:$E,"VRAI",$F:$F,"H",$M:$M,"F")*SUMIFS($J:$J,$E:$E,"VRAI",$F:$F,"I",$M:$M,"G")*SUMIFS($J:$J,$E:$E,"VRAI",$I:$I,"F4",$F:$F,"G")</f>
        <v>0</v>
      </c>
      <c r="BK56" s="47">
        <f>SUMIFS($D:$D,$E:$E,"FAUX",$G:$G,"I5",$M:$M,"H",$N:$N,"I*")*SUMIFS($J:$J,$E:$E,"VRAI",$F:$F,"G",$M:$M,"E")*SUMIFS($J:$J,$E:$E,"VRAI",$F:$F,"H",$M:$M,"F")*SUMIFS($J:$J,$E:$E,"VRAI",$F:$F,"I",$M:$M,"G")*SUMIFS($J:$J,$E:$E,"VRAI",$I:$I,"F5",$F:$F,"G")</f>
        <v>0</v>
      </c>
      <c r="BL56" s="48">
        <f>SUMIFS($D:$D,$E:$E,"FAUX",$G:$G,"I5",$M:$M,"H",$N:$N,"I*")*SUMIFS($J:$J,$E:$E,"VRAI",$F:$F,"G",$M:$M,"E")*SUMIFS($J:$J,$E:$E,"VRAI",$F:$F,"H",$M:$M,"F")*SUMIFS($J:$J,$E:$E,"VRAI",$F:$F,"I",$M:$M,"G")*SUMIFS($J:$J,$E:$E,"VRAI",$I:$I,"F6",$F:$F,"G")</f>
        <v>0</v>
      </c>
      <c r="BM56" s="16">
        <f>SUMIFS($D:$D,$E:$E,"FAUX",$G:$G,"I5",$M:$M,"H",$N:$N,"I*")*SUMIFS($J:$J,$E:$E,"VRAI",$F:$F,"I",$M:$M,"G")*SUMIFS($J:$J,$E:$E,"VRAI",$I:$I,"G1",$F:$F,"H")</f>
        <v>0</v>
      </c>
      <c r="BN56" s="17">
        <f>SUMIFS($D:$D,$E:$E,"FAUX",$G:$G,"I5",$M:$M,"H",$N:$N,"I*")*SUMIFS($J:$J,$E:$E,"VRAI",$F:$F,"I",$M:$M,"G")*SUMIFS($J:$J,$E:$E,"VRAI",$I:$I,"G2",$F:$F,"H")</f>
        <v>0</v>
      </c>
      <c r="BO56" s="17">
        <f>SUMIFS($D:$D,$E:$E,"FAUX",$G:$G,"I5",$M:$M,"H",$N:$N,"I*")*SUMIFS($J:$J,$E:$E,"VRAI",$F:$F,"I",$M:$M,"G")*SUMIFS($J:$J,$E:$E,"VRAI",$I:$I,"G3",$F:$F,"H")</f>
        <v>0</v>
      </c>
      <c r="BP56" s="17">
        <f>SUMIFS($D:$D,$E:$E,"FAUX",$G:$G,"I5",$M:$M,"H",$N:$N,"I*")*SUMIFS($J:$J,$E:$E,"VRAI",$F:$F,"I",$M:$M,"G")*SUMIFS($J:$J,$E:$E,"VRAI",$I:$I,"G4",$F:$F,"H")</f>
        <v>0</v>
      </c>
      <c r="BQ56" s="17">
        <f>SUMIFS($D:$D,$E:$E,"FAUX",$G:$G,"I5",$M:$M,"H",$N:$N,"I*")*SUMIFS($J:$J,$E:$E,"VRAI",$F:$F,"I",$M:$M,"G")*SUMIFS($J:$J,$E:$E,"VRAI",$I:$I,"G5",$F:$F,"H")</f>
        <v>0</v>
      </c>
      <c r="BR56" s="18">
        <f>SUMIFS($D:$D,$E:$E,"FAUX",$G:$G,"I5",$M:$M,"H",$N:$N,"I*")*SUMIFS($J:$J,$E:$E,"VRAI",$F:$F,"I",$M:$M,"G")*SUMIFS($J:$J,$E:$E,"VRAI",$I:$I,"G6",$F:$F,"H")</f>
        <v>0</v>
      </c>
      <c r="BS56" s="31">
        <f t="shared" si="17"/>
        <v>0</v>
      </c>
      <c r="BT56" s="27">
        <f t="shared" si="18"/>
        <v>0</v>
      </c>
      <c r="BU56" s="27">
        <f t="shared" si="19"/>
        <v>0</v>
      </c>
      <c r="BV56" s="27">
        <f t="shared" si="20"/>
        <v>0</v>
      </c>
      <c r="BW56" s="27">
        <f t="shared" si="21"/>
        <v>0</v>
      </c>
      <c r="BX56" s="28">
        <f t="shared" si="22"/>
        <v>0</v>
      </c>
      <c r="BY56" s="54">
        <f>SUMIFS($D:$D,$O:$O,"I_5_1")</f>
        <v>0</v>
      </c>
      <c r="BZ56" s="54">
        <f>SUMIFS($D:$D,$O:$O,"I_5_2")</f>
        <v>0</v>
      </c>
      <c r="CA56" s="54">
        <f>SUMIFS($D:$D,$O:$O,"I_5_3")</f>
        <v>0</v>
      </c>
      <c r="CB56" s="54">
        <f>SUMIFS($D:$D,$O:$O,"I_5_4")</f>
        <v>0</v>
      </c>
      <c r="CC56" s="54">
        <f>SUMIFS($D:$D,$O:$O,"I_5_5")</f>
        <v>0</v>
      </c>
      <c r="CD56" s="55">
        <f>SUMIFS($D:$D,$O:$O,"I_5_6")</f>
        <v>0</v>
      </c>
      <c r="CE56" s="31">
        <f>SUMIFS($D:$D,$E:$E,"FAUX",$G:$G,"J5",$M:$M,"K",$N:$N,"J*")*SUMIFS($J:$J,$O:$O,"J_1_1")</f>
        <v>0</v>
      </c>
      <c r="CF56" s="27">
        <f>SUMIFS($D:$D,$E:$E,"FAUX",$G:$G,"J5",$M:$M,"K",$N:$N,"J*")*SUMIFS($J:$J,$O:$O,"J_1_2")</f>
        <v>0</v>
      </c>
      <c r="CG56" s="27">
        <f>SUMIFS($D:$D,$E:$E,"FAUX",$G:$G,"J5",$M:$M,"K",$N:$N,"J*")*SUMIFS($J:$J,$O:$O,"J_1_3")</f>
        <v>0</v>
      </c>
      <c r="CH56" s="27">
        <f>SUMIFS($D:$D,$E:$E,"FAUX",$G:$G,"J5",$M:$M,"K",$N:$N,"J*")*SUMIFS($J:$J,$O:$O,"J_1_4")</f>
        <v>0</v>
      </c>
      <c r="CI56" s="27">
        <f>SUMIFS($D:$D,$E:$E,"FAUX",$G:$G,"J5",$M:$M,"K",$N:$N,"J*")*SUMIFS($J:$J,$O:$O,"J_1_5")</f>
        <v>0</v>
      </c>
      <c r="CJ56" s="27">
        <f>SUMIFS($D:$D,$E:$E,"FAUX",$G:$G,"J5",$M:$M,"K",$N:$N,"J*")*SUMIFS($J:$J,$O:$O,"J_1_6")</f>
        <v>0</v>
      </c>
      <c r="CK56" s="46">
        <f>SUMIFS($D:$D,$E:$E,"FAUX",$G:$G,"I5",$M:$M,"F",$N:$N,"E*")*SUMIFS($J:$J,$E:$E,"VRAI",$F:$F,"H",$M:$M,"J")*SUMIFS($J:$J,$E:$E,"VRAI",$F:$F,"I",$M:$M,"K")*SUMIFS($J:$J,$E:$E,"VRAI",$F:$F,"J",$I:$I,"K1")</f>
        <v>0</v>
      </c>
      <c r="CL56" s="47">
        <f>SUMIFS($D:$D,$E:$E,"FAUX",$G:$G,"I5",$M:$M,"F",$N:$N,"E*")*SUMIFS($J:$J,$E:$E,"VRAI",$F:$F,"H",$M:$M,"J")*SUMIFS($J:$J,$E:$E,"VRAI",$F:$F,"I",$M:$M,"K")*SUMIFS($J:$J,$E:$E,"VRAI",$F:$F,"J",$I:$I,"K2")</f>
        <v>0</v>
      </c>
      <c r="CM56" s="47">
        <f>SUMIFS($D:$D,$E:$E,"FAUX",$G:$G,"I5",$M:$M,"F",$N:$N,"E*")*SUMIFS($J:$J,$E:$E,"VRAI",$F:$F,"H",$M:$M,"J")*SUMIFS($J:$J,$E:$E,"VRAI",$F:$F,"I",$M:$M,"K")*SUMIFS($J:$J,$E:$E,"VRAI",$F:$F,"J",$I:$I,"K3")</f>
        <v>0</v>
      </c>
      <c r="CN56" s="47">
        <f>SUMIFS($D:$D,$E:$E,"FAUX",$G:$G,"I5",$M:$M,"F",$N:$N,"E*")*SUMIFS($J:$J,$E:$E,"VRAI",$F:$F,"H",$M:$M,"J")*SUMIFS($J:$J,$E:$E,"VRAI",$F:$F,"I",$M:$M,"K")*SUMIFS($J:$J,$E:$E,"VRAI",$F:$F,"J",$I:$I,"K4")</f>
        <v>0</v>
      </c>
      <c r="CO56" s="47">
        <f>SUMIFS($D:$D,$E:$E,"FAUX",$G:$G,"I5",$M:$M,"F",$N:$N,"E*")*SUMIFS($J:$J,$E:$E,"VRAI",$F:$F,"H",$M:$M,"J")*SUMIFS($J:$J,$E:$E,"VRAI",$F:$F,"I",$M:$M,"K")*SUMIFS($J:$J,$E:$E,"VRAI",$F:$F,"J",$I:$I,"K5")</f>
        <v>0</v>
      </c>
      <c r="CP56" s="48">
        <f>SUMIFS($D:$D,$E:$E,"FAUX",$G:$G,"I5",$M:$M,"F",$N:$N,"E*")*SUMIFS($J:$J,$E:$E,"VRAI",$F:$F,"H",$M:$M,"J")*SUMIFS($J:$J,$E:$E,"VRAI",$F:$F,"I",$M:$M,"K")*SUMIFS($J:$J,$E:$E,"VRAI",$F:$F,"J",$I:$I,"K6")</f>
        <v>0</v>
      </c>
    </row>
    <row r="57" spans="1:94">
      <c r="A57" s="35" t="s">
        <v>11</v>
      </c>
      <c r="B57" s="35">
        <v>1</v>
      </c>
      <c r="C57" s="35">
        <v>1</v>
      </c>
      <c r="D57" s="35">
        <v>0</v>
      </c>
      <c r="E57" s="35" t="b">
        <v>1</v>
      </c>
      <c r="F57" s="35" t="s">
        <v>10</v>
      </c>
      <c r="G57" s="53" t="str">
        <f t="shared" si="0"/>
        <v>D1</v>
      </c>
      <c r="H57" s="52" t="str">
        <f t="shared" si="5"/>
        <v>C</v>
      </c>
      <c r="I57" s="41" t="str">
        <f t="shared" si="1"/>
        <v>D1</v>
      </c>
      <c r="J57" s="42">
        <f t="shared" si="2"/>
        <v>0</v>
      </c>
      <c r="K57" s="41">
        <f t="shared" si="6"/>
        <v>1147</v>
      </c>
      <c r="L57" s="41" t="str">
        <f t="shared" si="3"/>
        <v>D1</v>
      </c>
      <c r="M57" s="41" t="str">
        <f t="shared" si="7"/>
        <v>C</v>
      </c>
      <c r="N57" s="41" t="str">
        <f>IFERROR(VLOOKUP(I57,L57:L:L,1,FALSE),"")</f>
        <v>D1</v>
      </c>
      <c r="O57" s="56" t="str">
        <f t="shared" si="8"/>
        <v>D_1_1</v>
      </c>
      <c r="U57" t="s">
        <v>62</v>
      </c>
      <c r="V57">
        <f t="shared" ref="V57" si="23">SUMIFS(D:D,A:A,"G",B:B,"6")</f>
        <v>0</v>
      </c>
      <c r="Z57" t="e">
        <f t="shared" si="9"/>
        <v>#N/A</v>
      </c>
      <c r="AA57" t="e">
        <f t="shared" si="10"/>
        <v>#N/A</v>
      </c>
      <c r="AB57" s="34" t="s">
        <v>74</v>
      </c>
      <c r="AC57" s="46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1")</f>
        <v>0</v>
      </c>
      <c r="AD57" s="47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2")</f>
        <v>0</v>
      </c>
      <c r="AE57" s="47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3")</f>
        <v>0</v>
      </c>
      <c r="AF57" s="47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4")</f>
        <v>0</v>
      </c>
      <c r="AG57" s="47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5")</f>
        <v>0</v>
      </c>
      <c r="AH57" s="47">
        <f>SUMIFS($D:$D,$E:$E,"FAUX",$G:$G,"I6",$M:$M,"H",$N:$N,"I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H:$H,"B",$I:$I,"A6")</f>
        <v>0</v>
      </c>
      <c r="AI57" s="49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7" s="50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7" s="50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7" s="50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7" s="50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7" s="51">
        <f>SUMIFS($D:$D,$E:$E,"FAUX",$G:$G,"I6",$M:$M,"H",$N:$N,"I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1")</f>
        <v>0</v>
      </c>
      <c r="AP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2")</f>
        <v>0</v>
      </c>
      <c r="AQ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3")</f>
        <v>0</v>
      </c>
      <c r="AR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4")</f>
        <v>0</v>
      </c>
      <c r="AS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5")</f>
        <v>0</v>
      </c>
      <c r="AT57" s="47">
        <f>SUMIFS($D:$D,$E:$E,"FAUX",$G:$G,"I6",$M:$M,"H",$N:$N,"I*")*SUMIFS($J:$J,$E:$E,"VRAI",$F:$F,"E",$M:$M,"C")*SUMIFS($J:$J,$E:$E,"VRAI",$F:$F,"F",$M:$M,"D")*SUMIFS($J:$J,$E:$E,"VRAI",$F:$F,"G",$M:$M,"E")*SUMIFS($J:$J,$E:$E,"VRAI",$F:$F,"H",$M:$M,"F")*SUMIFS($J:$J,$E:$E,"VRAI",$F:$F,"I",$M:$M,"G")*SUMIFS($J:$J,$E:$E,"VRAI",$H:$H,"D",$I:$I,"C6")</f>
        <v>0</v>
      </c>
      <c r="AU57" s="49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1")</f>
        <v>0</v>
      </c>
      <c r="AV57" s="50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2")</f>
        <v>0</v>
      </c>
      <c r="AW57" s="50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3")</f>
        <v>0</v>
      </c>
      <c r="AX57" s="50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4")</f>
        <v>0</v>
      </c>
      <c r="AY57" s="50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5")</f>
        <v>0</v>
      </c>
      <c r="AZ57" s="50">
        <f>SUMIFS($D:$D,$E:$E,"FAUX",$G:$G,"I6",$M:$M,"H",$N:$N,"I*")*SUMIFS($J:$J,$E:$E,"VRAI",$F:$F,"F",$M:$M,"D")*SUMIFS($J:$J,$E:$E,"VRAI",$F:$F,"G",$M:$M,"E")*SUMIFS($J:$J,$E:$E,"VRAI",$F:$F,"H",$M:$M,"F")*SUMIFS($J:$J,$E:$E,"VRAI",$F:$F,"I",$M:$M,"G")*SUMIFS($J:$J,$E:$E,"VRAI",$H:$H,"E",$I:$I,"D6")</f>
        <v>0</v>
      </c>
      <c r="BA57" s="49">
        <f>SUMIFS($D:$D,$E:$E,"FAUX",$G:$G,"I6",$M:$M,"H",$N:$N,"I*")*SUMIFS($J:$J,$E:$E,"VRAI",$F:$F,"G",$M:$M,"E")*SUMIFS($J:$J,$E:$E,"VRAI",$F:$F,"H",$M:$M,"F")*SUMIFS($J:$J,$E:$E,"VRAI",$F:$F,"I",$M:$M,"G")*SUMIFS($J:$J,$E:$E,"VRAI",$I:$I,"E1",$F:$F,"F")</f>
        <v>0</v>
      </c>
      <c r="BB57" s="50">
        <f>SUMIFS($D:$D,$E:$E,"FAUX",$G:$G,"I6",$M:$M,"H",$N:$N,"I*")*SUMIFS($J:$J,$E:$E,"VRAI",$F:$F,"G",$M:$M,"E")*SUMIFS($J:$J,$E:$E,"VRAI",$F:$F,"H",$M:$M,"F")*SUMIFS($J:$J,$E:$E,"VRAI",$F:$F,"I",$M:$M,"G")*SUMIFS($J:$J,$E:$E,"VRAI",$I:$I,"E2",$F:$F,"F")</f>
        <v>0</v>
      </c>
      <c r="BC57" s="50">
        <f>SUMIFS($D:$D,$E:$E,"FAUX",$G:$G,"I6",$M:$M,"H",$N:$N,"I*")*SUMIFS($J:$J,$E:$E,"VRAI",$F:$F,"G",$M:$M,"E")*SUMIFS($J:$J,$E:$E,"VRAI",$F:$F,"H",$M:$M,"F")*SUMIFS($J:$J,$E:$E,"VRAI",$F:$F,"I",$M:$M,"G")*SUMIFS($J:$J,$E:$E,"VRAI",$I:$I,"E3",$F:$F,"F")</f>
        <v>0</v>
      </c>
      <c r="BD57" s="50">
        <f>SUMIFS($D:$D,$E:$E,"FAUX",$G:$G,"I6",$M:$M,"H",$N:$N,"I*")*SUMIFS($J:$J,$E:$E,"VRAI",$F:$F,"G",$M:$M,"E")*SUMIFS($J:$J,$E:$E,"VRAI",$F:$F,"H",$M:$M,"F")*SUMIFS($J:$J,$E:$E,"VRAI",$F:$F,"I",$M:$M,"G")*SUMIFS($J:$J,$E:$E,"VRAI",$I:$I,"E4",$F:$F,"F")</f>
        <v>0</v>
      </c>
      <c r="BE57" s="50">
        <f>SUMIFS($D:$D,$E:$E,"FAUX",$G:$G,"I6",$M:$M,"H",$N:$N,"I*")*SUMIFS($J:$J,$E:$E,"VRAI",$F:$F,"G",$M:$M,"E")*SUMIFS($J:$J,$E:$E,"VRAI",$F:$F,"H",$M:$M,"F")*SUMIFS($J:$J,$E:$E,"VRAI",$F:$F,"I",$M:$M,"G")*SUMIFS($J:$J,$E:$E,"VRAI",$I:$I,"E5",$F:$F,"F")</f>
        <v>0</v>
      </c>
      <c r="BF57" s="50">
        <f>SUMIFS($D:$D,$E:$E,"FAUX",$G:$G,"I6",$M:$M,"H",$N:$N,"I*")*SUMIFS($J:$J,$E:$E,"VRAI",$F:$F,"G",$M:$M,"E")*SUMIFS($J:$J,$E:$E,"VRAI",$F:$F,"H",$M:$M,"F")*SUMIFS($J:$J,$E:$E,"VRAI",$F:$F,"I",$M:$M,"G")*SUMIFS($J:$J,$E:$E,"VRAI",$I:$I,"E6",$F:$F,"F")</f>
        <v>0</v>
      </c>
      <c r="BG57" s="49">
        <f>SUMIFS($D:$D,$E:$E,"FAUX",$G:$G,"I6",$M:$M,"H",$N:$N,"I*")*SUMIFS($J:$J,$E:$E,"VRAI",$F:$F,"G",$M:$M,"E")*SUMIFS($J:$J,$E:$E,"VRAI",$F:$F,"H",$M:$M,"F")*SUMIFS($J:$J,$E:$E,"VRAI",$F:$F,"I",$M:$M,"G")*SUMIFS($J:$J,$E:$E,"VRAI",$I:$I,"F1",$F:$F,"G")</f>
        <v>0</v>
      </c>
      <c r="BH57" s="50">
        <f>SUMIFS($D:$D,$E:$E,"FAUX",$G:$G,"I6",$M:$M,"H",$N:$N,"I*")*SUMIFS($J:$J,$E:$E,"VRAI",$F:$F,"G",$M:$M,"E")*SUMIFS($J:$J,$E:$E,"VRAI",$F:$F,"H",$M:$M,"F")*SUMIFS($J:$J,$E:$E,"VRAI",$F:$F,"I",$M:$M,"G")*SUMIFS($J:$J,$E:$E,"VRAI",$I:$I,"F2",$F:$F,"G")</f>
        <v>0</v>
      </c>
      <c r="BI57" s="50">
        <f>SUMIFS($D:$D,$E:$E,"FAUX",$G:$G,"I6",$M:$M,"H",$N:$N,"I*")*SUMIFS($J:$J,$E:$E,"VRAI",$F:$F,"G",$M:$M,"E")*SUMIFS($J:$J,$E:$E,"VRAI",$F:$F,"H",$M:$M,"F")*SUMIFS($J:$J,$E:$E,"VRAI",$F:$F,"I",$M:$M,"G")*SUMIFS($J:$J,$E:$E,"VRAI",$I:$I,"F3",$F:$F,"G")</f>
        <v>0</v>
      </c>
      <c r="BJ57" s="50">
        <f>SUMIFS($D:$D,$E:$E,"FAUX",$G:$G,"I6",$M:$M,"H",$N:$N,"I*")*SUMIFS($J:$J,$E:$E,"VRAI",$F:$F,"G",$M:$M,"E")*SUMIFS($J:$J,$E:$E,"VRAI",$F:$F,"H",$M:$M,"F")*SUMIFS($J:$J,$E:$E,"VRAI",$F:$F,"I",$M:$M,"G")*SUMIFS($J:$J,$E:$E,"VRAI",$I:$I,"F4",$F:$F,"G")</f>
        <v>0</v>
      </c>
      <c r="BK57" s="50">
        <f>SUMIFS($D:$D,$E:$E,"FAUX",$G:$G,"I6",$M:$M,"H",$N:$N,"I*")*SUMIFS($J:$J,$E:$E,"VRAI",$F:$F,"G",$M:$M,"E")*SUMIFS($J:$J,$E:$E,"VRAI",$F:$F,"H",$M:$M,"F")*SUMIFS($J:$J,$E:$E,"VRAI",$F:$F,"I",$M:$M,"G")*SUMIFS($J:$J,$E:$E,"VRAI",$I:$I,"F5",$F:$F,"G")</f>
        <v>0</v>
      </c>
      <c r="BL57" s="51">
        <f>SUMIFS($D:$D,$E:$E,"FAUX",$G:$G,"I6",$M:$M,"H",$N:$N,"I*")*SUMIFS($J:$J,$E:$E,"VRAI",$F:$F,"G",$M:$M,"E")*SUMIFS($J:$J,$E:$E,"VRAI",$F:$F,"H",$M:$M,"F")*SUMIFS($J:$J,$E:$E,"VRAI",$F:$F,"I",$M:$M,"G")*SUMIFS($J:$J,$E:$E,"VRAI",$I:$I,"F6",$F:$F,"G")</f>
        <v>0</v>
      </c>
      <c r="BM57" s="19">
        <f>SUMIFS($D:$D,$E:$E,"FAUX",$G:$G,"I6",$M:$M,"H",$N:$N,"I*")*SUMIFS($J:$J,$E:$E,"VRAI",$F:$F,"I",$M:$M,"G")*SUMIFS($J:$J,$E:$E,"VRAI",$I:$I,"G1",$F:$F,"H")</f>
        <v>0</v>
      </c>
      <c r="BN57" s="20">
        <f>SUMIFS($D:$D,$E:$E,"FAUX",$G:$G,"I6",$M:$M,"H",$N:$N,"I*")*SUMIFS($J:$J,$E:$E,"VRAI",$F:$F,"I",$M:$M,"G")*SUMIFS($J:$J,$E:$E,"VRAI",$I:$I,"G2",$F:$F,"H")</f>
        <v>0</v>
      </c>
      <c r="BO57" s="20">
        <f>SUMIFS($D:$D,$E:$E,"FAUX",$G:$G,"I6",$M:$M,"H",$N:$N,"I*")*SUMIFS($J:$J,$E:$E,"VRAI",$F:$F,"I",$M:$M,"G")*SUMIFS($J:$J,$E:$E,"VRAI",$I:$I,"G3",$F:$F,"H")</f>
        <v>0</v>
      </c>
      <c r="BP57" s="20">
        <f>SUMIFS($D:$D,$E:$E,"FAUX",$G:$G,"I6",$M:$M,"H",$N:$N,"I*")*SUMIFS($J:$J,$E:$E,"VRAI",$F:$F,"I",$M:$M,"G")*SUMIFS($J:$J,$E:$E,"VRAI",$I:$I,"G4",$F:$F,"H")</f>
        <v>0</v>
      </c>
      <c r="BQ57" s="20">
        <f>SUMIFS($D:$D,$E:$E,"FAUX",$G:$G,"I6",$M:$M,"H",$N:$N,"I*")*SUMIFS($J:$J,$E:$E,"VRAI",$F:$F,"I",$M:$M,"G")*SUMIFS($J:$J,$E:$E,"VRAI",$I:$I,"G5",$F:$F,"H")</f>
        <v>0</v>
      </c>
      <c r="BR57" s="21">
        <f>SUMIFS($D:$D,$E:$E,"FAUX",$G:$G,"I6",$M:$M,"H",$N:$N,"I*")*SUMIFS($J:$J,$E:$E,"VRAI",$F:$F,"I",$M:$M,"G")*SUMIFS($J:$J,$E:$E,"VRAI",$I:$I,"G6",$F:$F,"H")</f>
        <v>0</v>
      </c>
      <c r="BS57" s="33">
        <f t="shared" si="17"/>
        <v>0</v>
      </c>
      <c r="BT57" s="29">
        <f t="shared" si="18"/>
        <v>0</v>
      </c>
      <c r="BU57" s="29">
        <f t="shared" si="19"/>
        <v>0</v>
      </c>
      <c r="BV57" s="29">
        <f t="shared" si="20"/>
        <v>0</v>
      </c>
      <c r="BW57" s="29">
        <f t="shared" si="21"/>
        <v>0</v>
      </c>
      <c r="BX57" s="30">
        <f t="shared" si="22"/>
        <v>0</v>
      </c>
      <c r="BY57" s="54">
        <f>SUMIFS($D:$D,$O:$O,"I_6_1")</f>
        <v>0</v>
      </c>
      <c r="BZ57" s="54">
        <f>SUMIFS($D:$D,$O:$O,"I_6_2")</f>
        <v>0</v>
      </c>
      <c r="CA57" s="54">
        <f>SUMIFS($D:$D,$O:$O,"I_6_3")</f>
        <v>0</v>
      </c>
      <c r="CB57" s="54">
        <f>SUMIFS($D:$D,$O:$O,"I_6_4")</f>
        <v>0</v>
      </c>
      <c r="CC57" s="54">
        <f>SUMIFS($D:$D,$O:$O,"I_6_5")</f>
        <v>0</v>
      </c>
      <c r="CD57" s="55">
        <f>SUMIFS($D:$D,$O:$O,"I_6_6")</f>
        <v>0</v>
      </c>
      <c r="CE57" s="33">
        <f>SUMIFS($D:$D,$E:$E,"FAUX",$G:$G,"J6",$M:$M,"K",$N:$N,"J*")*SUMIFS($J:$J,$O:$O,"J_1_1")</f>
        <v>0</v>
      </c>
      <c r="CF57" s="29">
        <f>SUMIFS($D:$D,$E:$E,"FAUX",$G:$G,"J6",$M:$M,"K",$N:$N,"J*")*SUMIFS($J:$J,$O:$O,"J_1_2")</f>
        <v>0</v>
      </c>
      <c r="CG57" s="29">
        <f>SUMIFS($D:$D,$E:$E,"FAUX",$G:$G,"J6",$M:$M,"K",$N:$N,"J*")*SUMIFS($J:$J,$O:$O,"J_1_3")</f>
        <v>0</v>
      </c>
      <c r="CH57" s="29">
        <f>SUMIFS($D:$D,$E:$E,"FAUX",$G:$G,"J6",$M:$M,"K",$N:$N,"J*")*SUMIFS($J:$J,$O:$O,"J_1_4")</f>
        <v>0</v>
      </c>
      <c r="CI57" s="29">
        <f>SUMIFS($D:$D,$E:$E,"FAUX",$G:$G,"J6",$M:$M,"K",$N:$N,"J*")*SUMIFS($J:$J,$O:$O,"J_1_5")</f>
        <v>0</v>
      </c>
      <c r="CJ57" s="29">
        <f>SUMIFS($D:$D,$E:$E,"FAUX",$G:$G,"J6",$M:$M,"K",$N:$N,"J*")*SUMIFS($J:$J,$O:$O,"J_1_6")</f>
        <v>0</v>
      </c>
      <c r="CK57" s="49">
        <f>SUMIFS($D:$D,$E:$E,"FAUX",$G:$G,"I6",$M:$M,"F",$N:$N,"E*")*SUMIFS($J:$J,$E:$E,"VRAI",$F:$F,"H",$M:$M,"J")*SUMIFS($J:$J,$E:$E,"VRAI",$F:$F,"I",$M:$M,"K")*SUMIFS($J:$J,$E:$E,"VRAI",$F:$F,"J",$I:$I,"K1")</f>
        <v>0</v>
      </c>
      <c r="CL57" s="50">
        <f>SUMIFS($D:$D,$E:$E,"FAUX",$G:$G,"I6",$M:$M,"F",$N:$N,"E*")*SUMIFS($J:$J,$E:$E,"VRAI",$F:$F,"H",$M:$M,"J")*SUMIFS($J:$J,$E:$E,"VRAI",$F:$F,"I",$M:$M,"K")*SUMIFS($J:$J,$E:$E,"VRAI",$F:$F,"J",$I:$I,"K2")</f>
        <v>0</v>
      </c>
      <c r="CM57" s="50">
        <f>SUMIFS($D:$D,$E:$E,"FAUX",$G:$G,"I6",$M:$M,"F",$N:$N,"E*")*SUMIFS($J:$J,$E:$E,"VRAI",$F:$F,"H",$M:$M,"J")*SUMIFS($J:$J,$E:$E,"VRAI",$F:$F,"I",$M:$M,"K")*SUMIFS($J:$J,$E:$E,"VRAI",$F:$F,"J",$I:$I,"K3")</f>
        <v>0</v>
      </c>
      <c r="CN57" s="50">
        <f>SUMIFS($D:$D,$E:$E,"FAUX",$G:$G,"I6",$M:$M,"F",$N:$N,"E*")*SUMIFS($J:$J,$E:$E,"VRAI",$F:$F,"H",$M:$M,"J")*SUMIFS($J:$J,$E:$E,"VRAI",$F:$F,"I",$M:$M,"K")*SUMIFS($J:$J,$E:$E,"VRAI",$F:$F,"J",$I:$I,"K4")</f>
        <v>0</v>
      </c>
      <c r="CO57" s="50">
        <f>SUMIFS($D:$D,$E:$E,"FAUX",$G:$G,"I6",$M:$M,"F",$N:$N,"E*")*SUMIFS($J:$J,$E:$E,"VRAI",$F:$F,"H",$M:$M,"J")*SUMIFS($J:$J,$E:$E,"VRAI",$F:$F,"I",$M:$M,"K")*SUMIFS($J:$J,$E:$E,"VRAI",$F:$F,"J",$I:$I,"K5")</f>
        <v>0</v>
      </c>
      <c r="CP57" s="51">
        <f>SUMIFS($D:$D,$E:$E,"FAUX",$G:$G,"I6",$M:$M,"F",$N:$N,"E*")*SUMIFS($J:$J,$E:$E,"VRAI",$F:$F,"H",$M:$M,"J")*SUMIFS($J:$J,$E:$E,"VRAI",$F:$F,"I",$M:$M,"K")*SUMIFS($J:$J,$E:$E,"VRAI",$F:$F,"J",$I:$I,"K6")</f>
        <v>0</v>
      </c>
    </row>
    <row r="58" spans="1:94">
      <c r="A58" s="35" t="s">
        <v>11</v>
      </c>
      <c r="B58" s="35">
        <v>2</v>
      </c>
      <c r="C58" s="35">
        <v>3</v>
      </c>
      <c r="D58" s="35">
        <v>0</v>
      </c>
      <c r="E58" s="35" t="b">
        <v>0</v>
      </c>
      <c r="F58" s="35"/>
      <c r="G58" s="53" t="str">
        <f t="shared" si="0"/>
        <v>D2</v>
      </c>
      <c r="H58" s="52" t="str">
        <f t="shared" si="5"/>
        <v/>
      </c>
      <c r="I58" s="41" t="str">
        <f t="shared" si="1"/>
        <v>D3</v>
      </c>
      <c r="J58" s="42" t="e">
        <f t="shared" si="2"/>
        <v>#DIV/0!</v>
      </c>
      <c r="K58" s="41">
        <f t="shared" si="6"/>
        <v>0</v>
      </c>
      <c r="L58" s="41" t="str">
        <f t="shared" si="3"/>
        <v/>
      </c>
      <c r="M58" s="41" t="str">
        <f t="shared" si="7"/>
        <v>E</v>
      </c>
      <c r="N58" s="41" t="str">
        <f>IFERROR(VLOOKUP(I58,L58:L:L,1,FALSE),"")</f>
        <v>D3</v>
      </c>
      <c r="O58" s="56" t="str">
        <f t="shared" si="8"/>
        <v>D_2_3</v>
      </c>
      <c r="Z58" t="str">
        <f t="shared" si="9"/>
        <v>J1</v>
      </c>
      <c r="AA58" t="str">
        <f t="shared" si="10"/>
        <v>J1</v>
      </c>
      <c r="AB58" s="34" t="s">
        <v>75</v>
      </c>
      <c r="AC58" s="43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0</v>
      </c>
      <c r="AD58" s="44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58" s="44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0</v>
      </c>
      <c r="AF58" s="44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58" s="44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58" s="44">
        <f>SUMIFS($D:$D,$E:$E,"FAUX",$G:$G,"J1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58" s="46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8" s="47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8" s="47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8" s="47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8" s="47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8" s="47">
        <f>SUMIFS($D:$D,$E:$E,"FAUX",$G:$G,"J1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8" s="43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0</v>
      </c>
      <c r="AP58" s="44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58" s="44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58" s="44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58" s="44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58" s="44">
        <f>SUMIFS($D:$D,$E:$E,"FAUX",$G:$G,"J1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58" s="46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0</v>
      </c>
      <c r="AV58" s="47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0</v>
      </c>
      <c r="AW58" s="47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58" s="47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0</v>
      </c>
      <c r="AY58" s="47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58" s="47">
        <f>SUMIFS($D:$D,$E:$E,"FAUX",$G:$G,"J1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58" s="46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1",$F:$F,"F")</f>
        <v>0</v>
      </c>
      <c r="BB58" s="47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58" s="47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3",$F:$F,"F")</f>
        <v>0</v>
      </c>
      <c r="BD58" s="47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58" s="47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58" s="47">
        <f>SUMIFS($D:$D,$E:$E,"FAUX",$G:$G,"J1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58" s="43">
        <f>SUMIFS($D:$D,$E:$E,"FAUX",$G:$G,"J1",$M:$M,"I",$N:$N,"J*")*SUMIFS($J:$J,$E:$E,"VRAI",$F:$F,"H",$M:$M,"F")*SUMIFS($J:$J,$E:$E,"VRAI",$F:$F,"I",$M:$M,"G")*SUMIFS($J:$J,$E:$E,"VRAI",$F:$F,"J",$M:$M,"H")*SUMIFS($J:$J,$E:$E,"VRAI",$I:$I,"F1",$F:$F,"G")</f>
        <v>0</v>
      </c>
      <c r="BH58" s="44">
        <f>SUMIFS($D:$D,$E:$E,"FAUX",$G:$G,"J1",$M:$M,"I",$N:$N,"J*")*SUMIFS($J:$J,$E:$E,"VRAI",$F:$F,"H",$M:$M,"F")*SUMIFS($J:$J,$E:$E,"VRAI",$F:$F,"I",$M:$M,"G")*SUMIFS($J:$J,$E:$E,"VRAI",$F:$F,"J",$M:$M,"H")*SUMIFS($J:$J,$E:$E,"VRAI",$I:$I,"F2",$F:$F,"G")</f>
        <v>0</v>
      </c>
      <c r="BI58" s="44">
        <f>SUMIFS($D:$D,$E:$E,"FAUX",$G:$G,"J1",$M:$M,"I",$N:$N,"J*")*SUMIFS($J:$J,$E:$E,"VRAI",$F:$F,"H",$M:$M,"F")*SUMIFS($J:$J,$E:$E,"VRAI",$F:$F,"I",$M:$M,"G")*SUMIFS($J:$J,$E:$E,"VRAI",$F:$F,"J",$M:$M,"H")*SUMIFS($J:$J,$E:$E,"VRAI",$I:$I,"F3",$F:$F,"G")</f>
        <v>0</v>
      </c>
      <c r="BJ58" s="44">
        <f>SUMIFS($D:$D,$E:$E,"FAUX",$G:$G,"J1",$M:$M,"I",$N:$N,"J*")*SUMIFS($J:$J,$E:$E,"VRAI",$F:$F,"H",$M:$M,"F")*SUMIFS($J:$J,$E:$E,"VRAI",$F:$F,"I",$M:$M,"G")*SUMIFS($J:$J,$E:$E,"VRAI",$F:$F,"J",$M:$M,"H")*SUMIFS($J:$J,$E:$E,"VRAI",$I:$I,"F4",$F:$F,"G")</f>
        <v>0</v>
      </c>
      <c r="BK58" s="44">
        <f>SUMIFS($D:$D,$E:$E,"FAUX",$G:$G,"J1",$M:$M,"I",$N:$N,"J*")*SUMIFS($J:$J,$E:$E,"VRAI",$F:$F,"H",$M:$M,"F")*SUMIFS($J:$J,$E:$E,"VRAI",$F:$F,"I",$M:$M,"G")*SUMIFS($J:$J,$E:$E,"VRAI",$F:$F,"J",$M:$M,"H")*SUMIFS($J:$J,$E:$E,"VRAI",$I:$I,"F5",$F:$F,"G")</f>
        <v>0</v>
      </c>
      <c r="BL58" s="45">
        <f>SUMIFS($D:$D,$E:$E,"FAUX",$G:$G,"J1",$M:$M,"I",$N:$N,"J*")*SUMIFS($J:$J,$E:$E,"VRAI",$F:$F,"H",$M:$M,"F")*SUMIFS($J:$J,$E:$E,"VRAI",$F:$F,"I",$M:$M,"G")*SUMIFS($J:$J,$E:$E,"VRAI",$F:$F,"J",$M:$M,"H")*SUMIFS($J:$J,$E:$E,"VRAI",$I:$I,"F6",$F:$F,"G")</f>
        <v>0</v>
      </c>
      <c r="BM58" s="13">
        <f>SUMIFS($D:$D,$E:$E,"FAUX",$G:$G,"J1",$M:$M,"I",$N:$N,"J*")*SUMIFS($J:$J,$E:$E,"VRAI",$F:$F,"I",$M:$M,"G")*SUMIFS($J:$J,$E:$E,"VRAI",$F:$F,"J",$M:$M,"H")*SUMIFS($J:$J,$E:$E,"VRAI",$I:$I,"G1",$F:$F,"H")</f>
        <v>0</v>
      </c>
      <c r="BN58" s="14">
        <f>SUMIFS($D:$D,$E:$E,"FAUX",$G:$G,"J1",$M:$M,"I",$N:$N,"J*")*SUMIFS($J:$J,$E:$E,"VRAI",$F:$F,"I",$M:$M,"G")*SUMIFS($J:$J,$E:$E,"VRAI",$F:$F,"J",$M:$M,"H")*SUMIFS($J:$J,$E:$E,"VRAI",$I:$I,"G2",$F:$F,"H")</f>
        <v>0</v>
      </c>
      <c r="BO58" s="14">
        <f>SUMIFS($D:$D,$E:$E,"FAUX",$G:$G,"J1",$M:$M,"I",$N:$N,"J*")*SUMIFS($J:$J,$E:$E,"VRAI",$F:$F,"I",$M:$M,"G")*SUMIFS($J:$J,$E:$E,"VRAI",$F:$F,"J",$M:$M,"H")*SUMIFS($J:$J,$E:$E,"VRAI",$I:$I,"G3",$F:$F,"H")</f>
        <v>0</v>
      </c>
      <c r="BP58" s="14">
        <f>SUMIFS($D:$D,$E:$E,"FAUX",$G:$G,"J1",$M:$M,"I",$N:$N,"J*")*SUMIFS($J:$J,$E:$E,"VRAI",$F:$F,"I",$M:$M,"G")*SUMIFS($J:$J,$E:$E,"VRAI",$F:$F,"J",$M:$M,"H")*SUMIFS($J:$J,$E:$E,"VRAI",$I:$I,"G4",$F:$F,"H")</f>
        <v>0</v>
      </c>
      <c r="BQ58" s="14">
        <f>SUMIFS($D:$D,$E:$E,"FAUX",$G:$G,"J1",$M:$M,"I",$N:$N,"J*")*SUMIFS($J:$J,$E:$E,"VRAI",$F:$F,"I",$M:$M,"G")*SUMIFS($J:$J,$E:$E,"VRAI",$F:$F,"J",$M:$M,"H")*SUMIFS($J:$J,$E:$E,"VRAI",$I:$I,"G5",$F:$F,"H")</f>
        <v>0</v>
      </c>
      <c r="BR58" s="15">
        <f>SUMIFS($D:$D,$E:$E,"FAUX",$G:$G,"J1",$M:$M,"I",$N:$N,"J*")*SUMIFS($J:$J,$E:$E,"VRAI",$F:$F,"I",$M:$M,"G")*SUMIFS($J:$J,$E:$E,"VRAI",$F:$F,"J",$M:$M,"H")*SUMIFS($J:$J,$E:$E,"VRAI",$I:$I,"G6",$F:$F,"H")</f>
        <v>0</v>
      </c>
      <c r="BS58" s="13">
        <f>SUMIFS($D:$D,$E:$E,"FAUX",$G:$G,"J1",$M:$M,"I",$N:$N,"J*")*SUMIFS($J:$J,$E:$E,"VRAI",$F:$F,"I",$M:$M,"G")*SUMIFS($J:$J,$E:$E,"VRAI",$I:$I,"H1",$F:$F,"I")</f>
        <v>0</v>
      </c>
      <c r="BT58" s="14">
        <f>SUMIFS($D:$D,$E:$E,"FAUX",$G:$G,"J1",$M:$M,"I",$N:$N,"J*")*SUMIFS($J:$J,$E:$E,"VRAI",$F:$F,"I",$M:$M,"G")*SUMIFS($J:$J,$E:$E,"VRAI",$I:$I,"H2",$F:$F,"I")</f>
        <v>0</v>
      </c>
      <c r="BU58" s="14">
        <f>SUMIFS($D:$D,$E:$E,"FAUX",$G:$G,"J1",$M:$M,"I",$N:$N,"J*")*SUMIFS($J:$J,$E:$E,"VRAI",$F:$F,"I",$M:$M,"G")*SUMIFS($J:$J,$E:$E,"VRAI",$I:$I,"H3",$F:$F,"I")</f>
        <v>0</v>
      </c>
      <c r="BV58" s="14">
        <f>SUMIFS($D:$D,$E:$E,"FAUX",$G:$G,"J1",$M:$M,"I",$N:$N,"J*")*SUMIFS($J:$J,$E:$E,"VRAI",$F:$F,"I",$M:$M,"G")*SUMIFS($J:$J,$E:$E,"VRAI",$I:$I,"H4",$F:$F,"I")</f>
        <v>0</v>
      </c>
      <c r="BW58" s="14">
        <f>SUMIFS($D:$D,$E:$E,"FAUX",$G:$G,"J1",$M:$M,"I",$N:$N,"J*")*SUMIFS($J:$J,$E:$E,"VRAI",$F:$F,"I",$M:$M,"G")*SUMIFS($J:$J,$E:$E,"VRAI",$I:$I,"H5",$F:$F,"I")</f>
        <v>0</v>
      </c>
      <c r="BX58" s="15">
        <f>SUMIFS($D:$D,$E:$E,"FAUX",$G:$G,"J1",$M:$M,"I",$N:$N,"J*")*SUMIFS($J:$J,$E:$E,"VRAI",$F:$F,"I",$M:$M,"G")*SUMIFS($J:$J,$E:$E,"VRAI",$I:$I,"H6",$F:$F,"I")</f>
        <v>0</v>
      </c>
      <c r="BY58" s="32">
        <f>SUMIFS($D:$D,$E:$E,"FAUX",$G:$G,"G1",$M:$M,"F",$N:$N,"G*")*SUMIFS($J:$J,$E:$E,"VRAI",$I:$I,"I1",$F:$F,"J")</f>
        <v>0</v>
      </c>
      <c r="BZ58" s="25">
        <f>SUMIFS($D:$D,$E:$E,"FAUX",$G:$G,"G1",$M:$M,"F",$N:$N,"G*")*SUMIFS($J:$J,$E:$E,"VRAI",$I:$I,"I2",$F:$F,"J")</f>
        <v>0</v>
      </c>
      <c r="CA58" s="25">
        <f>SUMIFS($D:$D,$E:$E,"FAUX",$G:$G,"G1",$M:$M,"F",$N:$N,"G*")*SUMIFS($J:$J,$E:$E,"VRAI",$I:$I,"I3",$F:$F,"J")</f>
        <v>0</v>
      </c>
      <c r="CB58" s="25">
        <f>SUMIFS($D:$D,$E:$E,"FAUX",$G:$G,"G1",$M:$M,"F",$N:$N,"G*")*SUMIFS($J:$J,$E:$E,"VRAI",$I:$I,"I4",$F:$F,"J")</f>
        <v>0</v>
      </c>
      <c r="CC58" s="25">
        <f>SUMIFS($D:$D,$E:$E,"FAUX",$G:$G,"G1",$M:$M,"F",$N:$N,"G*")*SUMIFS($J:$J,$E:$E,"VRAI",$I:$I,"I5",$F:$F,"J")</f>
        <v>0</v>
      </c>
      <c r="CD58" s="26">
        <f>SUMIFS($D:$D,$E:$E,"FAUX",$G:$G,"G1",$M:$M,"F",$N:$N,"G*")*SUMIFS($J:$J,$E:$E,"VRAI",$I:$I,"I6",$F:$F,"J")</f>
        <v>0</v>
      </c>
      <c r="CE58" s="38">
        <f>SUMIFS($D:$D,$O:$O,"J_1_1")</f>
        <v>0</v>
      </c>
      <c r="CF58" s="38">
        <f>SUMIFS($D:$D,$O:$O,"J_1_2")</f>
        <v>240</v>
      </c>
      <c r="CG58" s="38">
        <f>SUMIFS($D:$D,$O:$O,"J_1_3")</f>
        <v>916</v>
      </c>
      <c r="CH58" s="38">
        <f>SUMIFS($D:$D,$O:$O,"J_1_4")</f>
        <v>235</v>
      </c>
      <c r="CI58" s="38">
        <f>SUMIFS($D:$D,$O:$O,"J_1_5")</f>
        <v>0</v>
      </c>
      <c r="CJ58" s="37">
        <f>SUMIFS($D:$D,$O:$O,"J_1_6")</f>
        <v>0</v>
      </c>
      <c r="CK58" s="31">
        <f>SUMIFS($D:$D,$E:$E,"FAUX",$G:$G,"K1",$M:$M,"L",$N:$N,"K*")*SUMIFS($J:$J,$O:$O,"J_1_1")</f>
        <v>0</v>
      </c>
      <c r="CL58" s="27">
        <f>SUMIFS($D:$D,$E:$E,"FAUX",$G:$G,"K1",$M:$M,"L",$N:$N,"K*")*SUMIFS($J:$J,$O:$O,"J_1_2")</f>
        <v>0</v>
      </c>
      <c r="CM58" s="27">
        <f>SUMIFS($D:$D,$E:$E,"FAUX",$G:$G,"K1",$M:$M,"L",$N:$N,"K*")*SUMIFS($J:$J,$O:$O,"J_1_3")</f>
        <v>0</v>
      </c>
      <c r="CN58" s="27">
        <f>SUMIFS($D:$D,$E:$E,"FAUX",$G:$G,"K1",$M:$M,"L",$N:$N,"K*")*SUMIFS($J:$J,$O:$O,"J_1_4")</f>
        <v>0</v>
      </c>
      <c r="CO58" s="27">
        <f>SUMIFS($D:$D,$E:$E,"FAUX",$G:$G,"K1",$M:$M,"L",$N:$N,"K*")*SUMIFS($J:$J,$O:$O,"J_1_5")</f>
        <v>0</v>
      </c>
      <c r="CP58" s="28">
        <f>SUMIFS($D:$D,$E:$E,"FAUX",$G:$G,"K1",$M:$M,"L",$N:$N,"K*")*SUMIFS($J:$J,$O:$O,"J_1_6")</f>
        <v>0</v>
      </c>
    </row>
    <row r="59" spans="1:94">
      <c r="A59" s="35" t="s">
        <v>11</v>
      </c>
      <c r="B59" s="35">
        <v>2</v>
      </c>
      <c r="C59" s="35">
        <v>4</v>
      </c>
      <c r="D59" s="35">
        <v>0</v>
      </c>
      <c r="E59" s="35" t="b">
        <v>0</v>
      </c>
      <c r="F59" s="35"/>
      <c r="G59" s="53" t="str">
        <f t="shared" si="0"/>
        <v>D2</v>
      </c>
      <c r="H59" s="52" t="str">
        <f t="shared" si="5"/>
        <v/>
      </c>
      <c r="I59" s="41" t="str">
        <f t="shared" si="1"/>
        <v>D4</v>
      </c>
      <c r="J59" s="42" t="e">
        <f t="shared" si="2"/>
        <v>#DIV/0!</v>
      </c>
      <c r="K59" s="41">
        <f t="shared" si="6"/>
        <v>0</v>
      </c>
      <c r="L59" s="41" t="str">
        <f t="shared" si="3"/>
        <v/>
      </c>
      <c r="M59" s="41" t="str">
        <f t="shared" si="7"/>
        <v/>
      </c>
      <c r="N59" s="41" t="str">
        <f>IFERROR(VLOOKUP(I59,L59:L:L,1,FALSE),"")</f>
        <v/>
      </c>
      <c r="O59" s="56" t="str">
        <f t="shared" si="8"/>
        <v>D_2_4</v>
      </c>
      <c r="Z59" t="e">
        <f t="shared" si="9"/>
        <v>#N/A</v>
      </c>
      <c r="AA59" t="str">
        <f t="shared" si="10"/>
        <v>J2</v>
      </c>
      <c r="AB59" s="34" t="s">
        <v>76</v>
      </c>
      <c r="AC59" s="46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0</v>
      </c>
      <c r="AD59" s="47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59" s="47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0</v>
      </c>
      <c r="AF59" s="47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59" s="47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59" s="47">
        <f>SUMIFS($D:$D,$E:$E,"FAUX",$G:$G,"J2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59" s="46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59" s="47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59" s="47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59" s="47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59" s="47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59" s="47">
        <f>SUMIFS($D:$D,$E:$E,"FAUX",$G:$G,"J2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59" s="46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0</v>
      </c>
      <c r="AP59" s="47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59" s="47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59" s="47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59" s="47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59" s="47">
        <f>SUMIFS($D:$D,$E:$E,"FAUX",$G:$G,"J2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59" s="46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0</v>
      </c>
      <c r="AV59" s="47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0</v>
      </c>
      <c r="AW59" s="47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59" s="47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0</v>
      </c>
      <c r="AY59" s="47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59" s="47">
        <f>SUMIFS($D:$D,$E:$E,"FAUX",$G:$G,"J2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59" s="46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1",$F:$F,"F")</f>
        <v>0</v>
      </c>
      <c r="BB59" s="47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59" s="47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3",$F:$F,"F")</f>
        <v>0</v>
      </c>
      <c r="BD59" s="47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59" s="47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59" s="47">
        <f>SUMIFS($D:$D,$E:$E,"FAUX",$G:$G,"J2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59" s="46">
        <f>SUMIFS($D:$D,$E:$E,"FAUX",$G:$G,"J2",$M:$M,"I",$N:$N,"J*")*SUMIFS($J:$J,$E:$E,"VRAI",$F:$F,"H",$M:$M,"F")*SUMIFS($J:$J,$E:$E,"VRAI",$F:$F,"I",$M:$M,"G")*SUMIFS($J:$J,$E:$E,"VRAI",$F:$F,"J",$M:$M,"H")*SUMIFS($J:$J,$E:$E,"VRAI",$I:$I,"F1",$F:$F,"G")</f>
        <v>0</v>
      </c>
      <c r="BH59" s="47">
        <f>SUMIFS($D:$D,$E:$E,"FAUX",$G:$G,"J2",$M:$M,"I",$N:$N,"J*")*SUMIFS($J:$J,$E:$E,"VRAI",$F:$F,"H",$M:$M,"F")*SUMIFS($J:$J,$E:$E,"VRAI",$F:$F,"I",$M:$M,"G")*SUMIFS($J:$J,$E:$E,"VRAI",$F:$F,"J",$M:$M,"H")*SUMIFS($J:$J,$E:$E,"VRAI",$I:$I,"F2",$F:$F,"G")</f>
        <v>0</v>
      </c>
      <c r="BI59" s="47">
        <f>SUMIFS($D:$D,$E:$E,"FAUX",$G:$G,"J2",$M:$M,"I",$N:$N,"J*")*SUMIFS($J:$J,$E:$E,"VRAI",$F:$F,"H",$M:$M,"F")*SUMIFS($J:$J,$E:$E,"VRAI",$F:$F,"I",$M:$M,"G")*SUMIFS($J:$J,$E:$E,"VRAI",$F:$F,"J",$M:$M,"H")*SUMIFS($J:$J,$E:$E,"VRAI",$I:$I,"F3",$F:$F,"G")</f>
        <v>0</v>
      </c>
      <c r="BJ59" s="47">
        <f>SUMIFS($D:$D,$E:$E,"FAUX",$G:$G,"J2",$M:$M,"I",$N:$N,"J*")*SUMIFS($J:$J,$E:$E,"VRAI",$F:$F,"H",$M:$M,"F")*SUMIFS($J:$J,$E:$E,"VRAI",$F:$F,"I",$M:$M,"G")*SUMIFS($J:$J,$E:$E,"VRAI",$F:$F,"J",$M:$M,"H")*SUMIFS($J:$J,$E:$E,"VRAI",$I:$I,"F4",$F:$F,"G")</f>
        <v>0</v>
      </c>
      <c r="BK59" s="47">
        <f>SUMIFS($D:$D,$E:$E,"FAUX",$G:$G,"J2",$M:$M,"I",$N:$N,"J*")*SUMIFS($J:$J,$E:$E,"VRAI",$F:$F,"H",$M:$M,"F")*SUMIFS($J:$J,$E:$E,"VRAI",$F:$F,"I",$M:$M,"G")*SUMIFS($J:$J,$E:$E,"VRAI",$F:$F,"J",$M:$M,"H")*SUMIFS($J:$J,$E:$E,"VRAI",$I:$I,"F5",$F:$F,"G")</f>
        <v>0</v>
      </c>
      <c r="BL59" s="48">
        <f>SUMIFS($D:$D,$E:$E,"FAUX",$G:$G,"J2",$M:$M,"I",$N:$N,"J*")*SUMIFS($J:$J,$E:$E,"VRAI",$F:$F,"H",$M:$M,"F")*SUMIFS($J:$J,$E:$E,"VRAI",$F:$F,"I",$M:$M,"G")*SUMIFS($J:$J,$E:$E,"VRAI",$F:$F,"J",$M:$M,"H")*SUMIFS($J:$J,$E:$E,"VRAI",$I:$I,"F6",$F:$F,"G")</f>
        <v>0</v>
      </c>
      <c r="BM59" s="46">
        <f>SUMIFS($D:$D,$E:$E,"FAUX",$G:$G,"J2",$M:$M,"I",$N:$N,"J*")*SUMIFS($J:$J,$E:$E,"VRAI",$F:$F,"I",$M:$M,"G")*SUMIFS($J:$J,$E:$E,"VRAI",$F:$F,"J",$M:$M,"H")*SUMIFS($J:$J,$E:$E,"VRAI",$I:$I,"G1",$F:$F,"H")</f>
        <v>0</v>
      </c>
      <c r="BN59" s="47">
        <f>SUMIFS($D:$D,$E:$E,"FAUX",$G:$G,"J2",$M:$M,"I",$N:$N,"J*")*SUMIFS($J:$J,$E:$E,"VRAI",$F:$F,"I",$M:$M,"G")*SUMIFS($J:$J,$E:$E,"VRAI",$F:$F,"J",$M:$M,"H")*SUMIFS($J:$J,$E:$E,"VRAI",$I:$I,"G2",$F:$F,"H")</f>
        <v>0</v>
      </c>
      <c r="BO59" s="47">
        <f>SUMIFS($D:$D,$E:$E,"FAUX",$G:$G,"J2",$M:$M,"I",$N:$N,"J*")*SUMIFS($J:$J,$E:$E,"VRAI",$F:$F,"I",$M:$M,"G")*SUMIFS($J:$J,$E:$E,"VRAI",$F:$F,"J",$M:$M,"H")*SUMIFS($J:$J,$E:$E,"VRAI",$I:$I,"G3",$F:$F,"H")</f>
        <v>0</v>
      </c>
      <c r="BP59" s="47">
        <f>SUMIFS($D:$D,$E:$E,"FAUX",$G:$G,"J2",$M:$M,"I",$N:$N,"J*")*SUMIFS($J:$J,$E:$E,"VRAI",$F:$F,"I",$M:$M,"G")*SUMIFS($J:$J,$E:$E,"VRAI",$F:$F,"J",$M:$M,"H")*SUMIFS($J:$J,$E:$E,"VRAI",$I:$I,"G4",$F:$F,"H")</f>
        <v>0</v>
      </c>
      <c r="BQ59" s="47">
        <f>SUMIFS($D:$D,$E:$E,"FAUX",$G:$G,"J2",$M:$M,"I",$N:$N,"J*")*SUMIFS($J:$J,$E:$E,"VRAI",$F:$F,"I",$M:$M,"G")*SUMIFS($J:$J,$E:$E,"VRAI",$F:$F,"J",$M:$M,"H")*SUMIFS($J:$J,$E:$E,"VRAI",$I:$I,"G5",$F:$F,"H")</f>
        <v>0</v>
      </c>
      <c r="BR59" s="48">
        <f>SUMIFS($D:$D,$E:$E,"FAUX",$G:$G,"J2",$M:$M,"I",$N:$N,"J*")*SUMIFS($J:$J,$E:$E,"VRAI",$F:$F,"I",$M:$M,"G")*SUMIFS($J:$J,$E:$E,"VRAI",$F:$F,"J",$M:$M,"H")*SUMIFS($J:$J,$E:$E,"VRAI",$I:$I,"G6",$F:$F,"H")</f>
        <v>0</v>
      </c>
      <c r="BS59" s="46">
        <f>SUMIFS($D:$D,$E:$E,"FAUX",$G:$G,"J2",$M:$M,"I",$N:$N,"J*")*SUMIFS($J:$J,$E:$E,"VRAI",$F:$F,"I",$M:$M,"G")*SUMIFS($J:$J,$E:$E,"VRAI",$I:$I,"H1",$F:$F,"I")</f>
        <v>0</v>
      </c>
      <c r="BT59" s="47">
        <f>SUMIFS($D:$D,$E:$E,"FAUX",$G:$G,"J2",$M:$M,"I",$N:$N,"J*")*SUMIFS($J:$J,$E:$E,"VRAI",$F:$F,"I",$M:$M,"G")*SUMIFS($J:$J,$E:$E,"VRAI",$I:$I,"H2",$F:$F,"I")</f>
        <v>0</v>
      </c>
      <c r="BU59" s="47">
        <f>SUMIFS($D:$D,$E:$E,"FAUX",$G:$G,"J2",$M:$M,"I",$N:$N,"J*")*SUMIFS($J:$J,$E:$E,"VRAI",$F:$F,"I",$M:$M,"G")*SUMIFS($J:$J,$E:$E,"VRAI",$I:$I,"H3",$F:$F,"I")</f>
        <v>0</v>
      </c>
      <c r="BV59" s="47">
        <f>SUMIFS($D:$D,$E:$E,"FAUX",$G:$G,"J2",$M:$M,"I",$N:$N,"J*")*SUMIFS($J:$J,$E:$E,"VRAI",$F:$F,"I",$M:$M,"G")*SUMIFS($J:$J,$E:$E,"VRAI",$I:$I,"H4",$F:$F,"I")</f>
        <v>0</v>
      </c>
      <c r="BW59" s="47">
        <f>SUMIFS($D:$D,$E:$E,"FAUX",$G:$G,"J2",$M:$M,"I",$N:$N,"J*")*SUMIFS($J:$J,$E:$E,"VRAI",$F:$F,"I",$M:$M,"G")*SUMIFS($J:$J,$E:$E,"VRAI",$I:$I,"H5",$F:$F,"I")</f>
        <v>0</v>
      </c>
      <c r="BX59" s="48">
        <f>SUMIFS($D:$D,$E:$E,"FAUX",$G:$G,"J2",$M:$M,"I",$N:$N,"J*")*SUMIFS($J:$J,$E:$E,"VRAI",$F:$F,"I",$M:$M,"G")*SUMIFS($J:$J,$E:$E,"VRAI",$I:$I,"H6",$F:$F,"I")</f>
        <v>0</v>
      </c>
      <c r="BY59" s="31">
        <f t="shared" ref="BY59:BY63" si="24">SUMIFS($D:$D,$E:$E,"FAUX",$G:$G,"G1",$M:$M,"F",$N:$N,"G*")*SUMIFS($J:$J,$E:$E,"VRAI",$I:$I,"I1",$F:$F,"J")</f>
        <v>0</v>
      </c>
      <c r="BZ59" s="27">
        <f t="shared" ref="BZ59:BZ63" si="25">SUMIFS($D:$D,$E:$E,"FAUX",$G:$G,"G1",$M:$M,"F",$N:$N,"G*")*SUMIFS($J:$J,$E:$E,"VRAI",$I:$I,"I2",$F:$F,"J")</f>
        <v>0</v>
      </c>
      <c r="CA59" s="27">
        <f t="shared" ref="CA59:CA63" si="26">SUMIFS($D:$D,$E:$E,"FAUX",$G:$G,"G1",$M:$M,"F",$N:$N,"G*")*SUMIFS($J:$J,$E:$E,"VRAI",$I:$I,"I3",$F:$F,"J")</f>
        <v>0</v>
      </c>
      <c r="CB59" s="27">
        <f t="shared" ref="CB59:CB63" si="27">SUMIFS($D:$D,$E:$E,"FAUX",$G:$G,"G1",$M:$M,"F",$N:$N,"G*")*SUMIFS($J:$J,$E:$E,"VRAI",$I:$I,"I4",$F:$F,"J")</f>
        <v>0</v>
      </c>
      <c r="CC59" s="27">
        <f t="shared" ref="CC59:CC63" si="28">SUMIFS($D:$D,$E:$E,"FAUX",$G:$G,"G1",$M:$M,"F",$N:$N,"G*")*SUMIFS($J:$J,$E:$E,"VRAI",$I:$I,"I5",$F:$F,"J")</f>
        <v>0</v>
      </c>
      <c r="CD59" s="28">
        <f t="shared" ref="CD59:CD63" si="29">SUMIFS($D:$D,$E:$E,"FAUX",$G:$G,"G1",$M:$M,"F",$N:$N,"G*")*SUMIFS($J:$J,$E:$E,"VRAI",$I:$I,"I6",$F:$F,"J")</f>
        <v>0</v>
      </c>
      <c r="CE59" s="54">
        <f>SUMIFS($D:$D,$O:$O,"J_2_1")</f>
        <v>0</v>
      </c>
      <c r="CF59" s="54">
        <f>SUMIFS($D:$D,$O:$O,"J_2_2")</f>
        <v>0</v>
      </c>
      <c r="CG59" s="54">
        <f>SUMIFS($D:$D,$O:$O,"J_2_3")</f>
        <v>0</v>
      </c>
      <c r="CH59" s="54">
        <f>SUMIFS($D:$D,$O:$O,"J_2_4")</f>
        <v>0</v>
      </c>
      <c r="CI59" s="54">
        <f>SUMIFS($D:$D,$O:$O,"J_2_5")</f>
        <v>0</v>
      </c>
      <c r="CJ59" s="55">
        <f>SUMIFS($D:$D,$O:$O,"J_2_6")</f>
        <v>0</v>
      </c>
      <c r="CK59" s="31">
        <f>SUMIFS($D:$D,$E:$E,"FAUX",$G:$G,"K2",$M:$M,"L",$N:$N,"K*")*SUMIFS($J:$J,$O:$O,"J_1_1")</f>
        <v>0</v>
      </c>
      <c r="CL59" s="27">
        <f>SUMIFS($D:$D,$E:$E,"FAUX",$G:$G,"K2",$M:$M,"L",$N:$N,"K*")*SUMIFS($J:$J,$O:$O,"J_1_2")</f>
        <v>0</v>
      </c>
      <c r="CM59" s="27">
        <f>SUMIFS($D:$D,$E:$E,"FAUX",$G:$G,"K2",$M:$M,"L",$N:$N,"K*")*SUMIFS($J:$J,$O:$O,"J_1_3")</f>
        <v>0</v>
      </c>
      <c r="CN59" s="27">
        <f>SUMIFS($D:$D,$E:$E,"FAUX",$G:$G,"K2",$M:$M,"L",$N:$N,"K*")*SUMIFS($J:$J,$O:$O,"J_1_4")</f>
        <v>0</v>
      </c>
      <c r="CO59" s="27">
        <f>SUMIFS($D:$D,$E:$E,"FAUX",$G:$G,"K2",$M:$M,"L",$N:$N,"K*")*SUMIFS($J:$J,$O:$O,"J_1_5")</f>
        <v>0</v>
      </c>
      <c r="CP59" s="28">
        <f>SUMIFS($D:$D,$E:$E,"FAUX",$G:$G,"K2",$M:$M,"L",$N:$N,"K*")*SUMIFS($J:$J,$O:$O,"J_1_6")</f>
        <v>0</v>
      </c>
    </row>
    <row r="60" spans="1:94">
      <c r="A60" s="35" t="s">
        <v>11</v>
      </c>
      <c r="B60" s="35">
        <v>2</v>
      </c>
      <c r="C60" s="35">
        <v>1</v>
      </c>
      <c r="D60" s="35">
        <v>0</v>
      </c>
      <c r="E60" s="35" t="b">
        <v>0</v>
      </c>
      <c r="F60" s="35"/>
      <c r="G60" s="53" t="str">
        <f t="shared" si="0"/>
        <v>D2</v>
      </c>
      <c r="H60" s="52" t="str">
        <f t="shared" si="5"/>
        <v/>
      </c>
      <c r="I60" s="41" t="str">
        <f t="shared" si="1"/>
        <v>D1</v>
      </c>
      <c r="J60" s="42" t="e">
        <f t="shared" si="2"/>
        <v>#DIV/0!</v>
      </c>
      <c r="K60" s="41">
        <f t="shared" si="6"/>
        <v>0</v>
      </c>
      <c r="L60" s="41" t="str">
        <f t="shared" si="3"/>
        <v/>
      </c>
      <c r="M60" s="41" t="str">
        <f t="shared" si="7"/>
        <v>C</v>
      </c>
      <c r="N60" s="41" t="str">
        <f>IFERROR(VLOOKUP(I60,L60:L:L,1,FALSE),"")</f>
        <v>D1</v>
      </c>
      <c r="O60" s="56" t="str">
        <f t="shared" si="8"/>
        <v>D_2_1</v>
      </c>
      <c r="U60" s="1" t="s">
        <v>24</v>
      </c>
      <c r="V60" s="2">
        <f>SUMIF(A:A,"H",D:D)</f>
        <v>3102</v>
      </c>
      <c r="Z60" t="str">
        <f t="shared" si="9"/>
        <v>J3</v>
      </c>
      <c r="AA60" t="str">
        <f t="shared" si="10"/>
        <v>J3</v>
      </c>
      <c r="AB60" s="34" t="s">
        <v>77</v>
      </c>
      <c r="AC60" s="46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0</v>
      </c>
      <c r="AD60" s="47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60" s="47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0</v>
      </c>
      <c r="AF60" s="47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60" s="47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60" s="47">
        <f>SUMIFS($D:$D,$E:$E,"FAUX",$G:$G,"J3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60" s="46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60" s="47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60" s="47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60" s="47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60" s="47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60" s="47">
        <f>SUMIFS($D:$D,$E:$E,"FAUX",$G:$G,"J3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60" s="46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0</v>
      </c>
      <c r="AP60" s="47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60" s="47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60" s="47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60" s="47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60" s="47">
        <f>SUMIFS($D:$D,$E:$E,"FAUX",$G:$G,"J3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60" s="46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0</v>
      </c>
      <c r="AV60" s="47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0</v>
      </c>
      <c r="AW60" s="47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60" s="47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0</v>
      </c>
      <c r="AY60" s="47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60" s="47">
        <f>SUMIFS($D:$D,$E:$E,"FAUX",$G:$G,"J3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60" s="46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1",$F:$F,"F")</f>
        <v>0</v>
      </c>
      <c r="BB60" s="47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60" s="47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3",$F:$F,"F")</f>
        <v>0</v>
      </c>
      <c r="BD60" s="47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60" s="47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60" s="47">
        <f>SUMIFS($D:$D,$E:$E,"FAUX",$G:$G,"J3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60" s="46">
        <f>SUMIFS($D:$D,$E:$E,"FAUX",$G:$G,"J3",$M:$M,"I",$N:$N,"J*")*SUMIFS($J:$J,$E:$E,"VRAI",$F:$F,"H",$M:$M,"F")*SUMIFS($J:$J,$E:$E,"VRAI",$F:$F,"I",$M:$M,"G")*SUMIFS($J:$J,$E:$E,"VRAI",$F:$F,"J",$M:$M,"H")*SUMIFS($J:$J,$E:$E,"VRAI",$I:$I,"F1",$F:$F,"G")</f>
        <v>0</v>
      </c>
      <c r="BH60" s="47">
        <f>SUMIFS($D:$D,$E:$E,"FAUX",$G:$G,"J3",$M:$M,"I",$N:$N,"J*")*SUMIFS($J:$J,$E:$E,"VRAI",$F:$F,"H",$M:$M,"F")*SUMIFS($J:$J,$E:$E,"VRAI",$F:$F,"I",$M:$M,"G")*SUMIFS($J:$J,$E:$E,"VRAI",$F:$F,"J",$M:$M,"H")*SUMIFS($J:$J,$E:$E,"VRAI",$I:$I,"F2",$F:$F,"G")</f>
        <v>0</v>
      </c>
      <c r="BI60" s="47">
        <f>SUMIFS($D:$D,$E:$E,"FAUX",$G:$G,"J3",$M:$M,"I",$N:$N,"J*")*SUMIFS($J:$J,$E:$E,"VRAI",$F:$F,"H",$M:$M,"F")*SUMIFS($J:$J,$E:$E,"VRAI",$F:$F,"I",$M:$M,"G")*SUMIFS($J:$J,$E:$E,"VRAI",$F:$F,"J",$M:$M,"H")*SUMIFS($J:$J,$E:$E,"VRAI",$I:$I,"F3",$F:$F,"G")</f>
        <v>0</v>
      </c>
      <c r="BJ60" s="47">
        <f>SUMIFS($D:$D,$E:$E,"FAUX",$G:$G,"J3",$M:$M,"I",$N:$N,"J*")*SUMIFS($J:$J,$E:$E,"VRAI",$F:$F,"H",$M:$M,"F")*SUMIFS($J:$J,$E:$E,"VRAI",$F:$F,"I",$M:$M,"G")*SUMIFS($J:$J,$E:$E,"VRAI",$F:$F,"J",$M:$M,"H")*SUMIFS($J:$J,$E:$E,"VRAI",$I:$I,"F4",$F:$F,"G")</f>
        <v>0</v>
      </c>
      <c r="BK60" s="47">
        <f>SUMIFS($D:$D,$E:$E,"FAUX",$G:$G,"J3",$M:$M,"I",$N:$N,"J*")*SUMIFS($J:$J,$E:$E,"VRAI",$F:$F,"H",$M:$M,"F")*SUMIFS($J:$J,$E:$E,"VRAI",$F:$F,"I",$M:$M,"G")*SUMIFS($J:$J,$E:$E,"VRAI",$F:$F,"J",$M:$M,"H")*SUMIFS($J:$J,$E:$E,"VRAI",$I:$I,"F5",$F:$F,"G")</f>
        <v>0</v>
      </c>
      <c r="BL60" s="48">
        <f>SUMIFS($D:$D,$E:$E,"FAUX",$G:$G,"J3",$M:$M,"I",$N:$N,"J*")*SUMIFS($J:$J,$E:$E,"VRAI",$F:$F,"H",$M:$M,"F")*SUMIFS($J:$J,$E:$E,"VRAI",$F:$F,"I",$M:$M,"G")*SUMIFS($J:$J,$E:$E,"VRAI",$F:$F,"J",$M:$M,"H")*SUMIFS($J:$J,$E:$E,"VRAI",$I:$I,"F6",$F:$F,"G")</f>
        <v>0</v>
      </c>
      <c r="BM60" s="46">
        <f>SUMIFS($D:$D,$E:$E,"FAUX",$G:$G,"J3",$M:$M,"I",$N:$N,"J*")*SUMIFS($J:$J,$E:$E,"VRAI",$F:$F,"I",$M:$M,"G")*SUMIFS($J:$J,$E:$E,"VRAI",$F:$F,"J",$M:$M,"H")*SUMIFS($J:$J,$E:$E,"VRAI",$I:$I,"G1",$F:$F,"H")</f>
        <v>0</v>
      </c>
      <c r="BN60" s="47">
        <f>SUMIFS($D:$D,$E:$E,"FAUX",$G:$G,"J3",$M:$M,"I",$N:$N,"J*")*SUMIFS($J:$J,$E:$E,"VRAI",$F:$F,"I",$M:$M,"G")*SUMIFS($J:$J,$E:$E,"VRAI",$F:$F,"J",$M:$M,"H")*SUMIFS($J:$J,$E:$E,"VRAI",$I:$I,"G2",$F:$F,"H")</f>
        <v>0</v>
      </c>
      <c r="BO60" s="47">
        <f>SUMIFS($D:$D,$E:$E,"FAUX",$G:$G,"J3",$M:$M,"I",$N:$N,"J*")*SUMIFS($J:$J,$E:$E,"VRAI",$F:$F,"I",$M:$M,"G")*SUMIFS($J:$J,$E:$E,"VRAI",$F:$F,"J",$M:$M,"H")*SUMIFS($J:$J,$E:$E,"VRAI",$I:$I,"G3",$F:$F,"H")</f>
        <v>0</v>
      </c>
      <c r="BP60" s="47">
        <f>SUMIFS($D:$D,$E:$E,"FAUX",$G:$G,"J3",$M:$M,"I",$N:$N,"J*")*SUMIFS($J:$J,$E:$E,"VRAI",$F:$F,"I",$M:$M,"G")*SUMIFS($J:$J,$E:$E,"VRAI",$F:$F,"J",$M:$M,"H")*SUMIFS($J:$J,$E:$E,"VRAI",$I:$I,"G4",$F:$F,"H")</f>
        <v>0</v>
      </c>
      <c r="BQ60" s="47">
        <f>SUMIFS($D:$D,$E:$E,"FAUX",$G:$G,"J3",$M:$M,"I",$N:$N,"J*")*SUMIFS($J:$J,$E:$E,"VRAI",$F:$F,"I",$M:$M,"G")*SUMIFS($J:$J,$E:$E,"VRAI",$F:$F,"J",$M:$M,"H")*SUMIFS($J:$J,$E:$E,"VRAI",$I:$I,"G5",$F:$F,"H")</f>
        <v>0</v>
      </c>
      <c r="BR60" s="48">
        <f>SUMIFS($D:$D,$E:$E,"FAUX",$G:$G,"J3",$M:$M,"I",$N:$N,"J*")*SUMIFS($J:$J,$E:$E,"VRAI",$F:$F,"I",$M:$M,"G")*SUMIFS($J:$J,$E:$E,"VRAI",$F:$F,"J",$M:$M,"H")*SUMIFS($J:$J,$E:$E,"VRAI",$I:$I,"G6",$F:$F,"H")</f>
        <v>0</v>
      </c>
      <c r="BS60" s="46">
        <f>SUMIFS($D:$D,$E:$E,"FAUX",$G:$G,"J3",$M:$M,"I",$N:$N,"J*")*SUMIFS($J:$J,$E:$E,"VRAI",$F:$F,"I",$M:$M,"G")*SUMIFS($J:$J,$E:$E,"VRAI",$I:$I,"H1",$F:$F,"I")</f>
        <v>0</v>
      </c>
      <c r="BT60" s="47">
        <f>SUMIFS($D:$D,$E:$E,"FAUX",$G:$G,"J3",$M:$M,"I",$N:$N,"J*")*SUMIFS($J:$J,$E:$E,"VRAI",$F:$F,"I",$M:$M,"G")*SUMIFS($J:$J,$E:$E,"VRAI",$I:$I,"H2",$F:$F,"I")</f>
        <v>0</v>
      </c>
      <c r="BU60" s="47">
        <f>SUMIFS($D:$D,$E:$E,"FAUX",$G:$G,"J3",$M:$M,"I",$N:$N,"J*")*SUMIFS($J:$J,$E:$E,"VRAI",$F:$F,"I",$M:$M,"G")*SUMIFS($J:$J,$E:$E,"VRAI",$I:$I,"H3",$F:$F,"I")</f>
        <v>0</v>
      </c>
      <c r="BV60" s="47">
        <f>SUMIFS($D:$D,$E:$E,"FAUX",$G:$G,"J3",$M:$M,"I",$N:$N,"J*")*SUMIFS($J:$J,$E:$E,"VRAI",$F:$F,"I",$M:$M,"G")*SUMIFS($J:$J,$E:$E,"VRAI",$I:$I,"H4",$F:$F,"I")</f>
        <v>0</v>
      </c>
      <c r="BW60" s="47">
        <f>SUMIFS($D:$D,$E:$E,"FAUX",$G:$G,"J3",$M:$M,"I",$N:$N,"J*")*SUMIFS($J:$J,$E:$E,"VRAI",$F:$F,"I",$M:$M,"G")*SUMIFS($J:$J,$E:$E,"VRAI",$I:$I,"H5",$F:$F,"I")</f>
        <v>0</v>
      </c>
      <c r="BX60" s="48">
        <f>SUMIFS($D:$D,$E:$E,"FAUX",$G:$G,"J3",$M:$M,"I",$N:$N,"J*")*SUMIFS($J:$J,$E:$E,"VRAI",$F:$F,"I",$M:$M,"G")*SUMIFS($J:$J,$E:$E,"VRAI",$I:$I,"H6",$F:$F,"I")</f>
        <v>0</v>
      </c>
      <c r="BY60" s="31">
        <f t="shared" si="24"/>
        <v>0</v>
      </c>
      <c r="BZ60" s="27">
        <f t="shared" si="25"/>
        <v>0</v>
      </c>
      <c r="CA60" s="27">
        <f t="shared" si="26"/>
        <v>0</v>
      </c>
      <c r="CB60" s="27">
        <f t="shared" si="27"/>
        <v>0</v>
      </c>
      <c r="CC60" s="27">
        <f t="shared" si="28"/>
        <v>0</v>
      </c>
      <c r="CD60" s="28">
        <f t="shared" si="29"/>
        <v>0</v>
      </c>
      <c r="CE60" s="54">
        <f>SUMIFS($D:$D,$O:$O,"J_3_1")</f>
        <v>928</v>
      </c>
      <c r="CF60" s="54">
        <f>SUMIFS($D:$D,$O:$O,"J_3_2")</f>
        <v>232</v>
      </c>
      <c r="CG60" s="54">
        <f>SUMIFS($D:$D,$O:$O,"J_3_3")</f>
        <v>0</v>
      </c>
      <c r="CH60" s="54">
        <f>SUMIFS($D:$D,$O:$O,"J_3_4")</f>
        <v>341</v>
      </c>
      <c r="CI60" s="54">
        <f>SUMIFS($D:$D,$O:$O,"J_3_5")</f>
        <v>0</v>
      </c>
      <c r="CJ60" s="55">
        <f>SUMIFS($D:$D,$O:$O,"J_3_6")</f>
        <v>0</v>
      </c>
      <c r="CK60" s="31">
        <f>SUMIFS($D:$D,$E:$E,"FAUX",$G:$G,"K3",$M:$M,"L",$N:$N,"K*")*SUMIFS($J:$J,$O:$O,"J_1_1")</f>
        <v>0</v>
      </c>
      <c r="CL60" s="27">
        <f>SUMIFS($D:$D,$E:$E,"FAUX",$G:$G,"K3",$M:$M,"L",$N:$N,"K*")*SUMIFS($J:$J,$O:$O,"J_1_2")</f>
        <v>0</v>
      </c>
      <c r="CM60" s="27">
        <f>SUMIFS($D:$D,$E:$E,"FAUX",$G:$G,"K3",$M:$M,"L",$N:$N,"K*")*SUMIFS($J:$J,$O:$O,"J_1_3")</f>
        <v>0</v>
      </c>
      <c r="CN60" s="27">
        <f>SUMIFS($D:$D,$E:$E,"FAUX",$G:$G,"K3",$M:$M,"L",$N:$N,"K*")*SUMIFS($J:$J,$O:$O,"J_1_4")</f>
        <v>0</v>
      </c>
      <c r="CO60" s="27">
        <f>SUMIFS($D:$D,$E:$E,"FAUX",$G:$G,"K3",$M:$M,"L",$N:$N,"K*")*SUMIFS($J:$J,$O:$O,"J_1_5")</f>
        <v>0</v>
      </c>
      <c r="CP60" s="28">
        <f>SUMIFS($D:$D,$E:$E,"FAUX",$G:$G,"K3",$M:$M,"L",$N:$N,"K*")*SUMIFS($J:$J,$O:$O,"J_1_6")</f>
        <v>0</v>
      </c>
    </row>
    <row r="61" spans="1:94">
      <c r="A61" s="35" t="s">
        <v>11</v>
      </c>
      <c r="B61" s="35">
        <v>2</v>
      </c>
      <c r="C61" s="35">
        <v>2</v>
      </c>
      <c r="D61" s="35">
        <v>0</v>
      </c>
      <c r="E61" s="35" t="b">
        <v>0</v>
      </c>
      <c r="F61" s="35"/>
      <c r="G61" s="53" t="str">
        <f t="shared" si="0"/>
        <v>D2</v>
      </c>
      <c r="H61" s="52" t="str">
        <f t="shared" si="5"/>
        <v/>
      </c>
      <c r="I61" s="41" t="str">
        <f t="shared" si="1"/>
        <v>D2</v>
      </c>
      <c r="J61" s="42" t="e">
        <f t="shared" si="2"/>
        <v>#DIV/0!</v>
      </c>
      <c r="K61" s="41">
        <f t="shared" si="6"/>
        <v>0</v>
      </c>
      <c r="L61" s="41" t="str">
        <f t="shared" si="3"/>
        <v/>
      </c>
      <c r="M61" s="41" t="str">
        <f t="shared" si="7"/>
        <v/>
      </c>
      <c r="N61" s="41" t="str">
        <f>IFERROR(VLOOKUP(I61,L61:L:L,1,FALSE),"")</f>
        <v/>
      </c>
      <c r="O61" s="56" t="str">
        <f t="shared" si="8"/>
        <v>D_2_2</v>
      </c>
      <c r="U61" t="s">
        <v>63</v>
      </c>
      <c r="V61">
        <f>SUMIFS(D:D,A:A,"H",B:B,"1")</f>
        <v>1148</v>
      </c>
      <c r="Z61" t="e">
        <f t="shared" si="9"/>
        <v>#N/A</v>
      </c>
      <c r="AA61" t="str">
        <f t="shared" si="10"/>
        <v>J4</v>
      </c>
      <c r="AB61" s="34" t="s">
        <v>78</v>
      </c>
      <c r="AC61" s="46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79.106840485123271</v>
      </c>
      <c r="AD61" s="47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61" s="47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50.15211323800289</v>
      </c>
      <c r="AF61" s="47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61" s="47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61" s="47">
        <f>SUMIFS($D:$D,$E:$E,"FAUX",$G:$G,"J4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61" s="46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129.25895372312621</v>
      </c>
      <c r="AJ61" s="47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61" s="47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61" s="47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10.421600360348323</v>
      </c>
      <c r="AM61" s="47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61" s="47">
        <f>SUMIFS($D:$D,$E:$E,"FAUX",$G:$G,"J4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61" s="46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139.68055408347453</v>
      </c>
      <c r="AP61" s="47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61" s="47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61" s="47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61" s="47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61" s="47">
        <f>SUMIFS($D:$D,$E:$E,"FAUX",$G:$G,"J4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61" s="46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139.6805540834745</v>
      </c>
      <c r="AV61" s="47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60.785247540818816</v>
      </c>
      <c r="AW61" s="47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61" s="47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22.054824328969659</v>
      </c>
      <c r="AY61" s="47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61" s="47">
        <f>SUMIFS($D:$D,$E:$E,"FAUX",$G:$G,"J4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61" s="46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1",$F:$F,"F")</f>
        <v>222.52062595326302</v>
      </c>
      <c r="BB61" s="47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61" s="47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3",$F:$F,"F")</f>
        <v>31.904783812476982</v>
      </c>
      <c r="BD61" s="47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61" s="47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61" s="47">
        <f>SUMIFS($D:$D,$E:$E,"FAUX",$G:$G,"J4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61" s="46">
        <f>SUMIFS($D:$D,$E:$E,"FAUX",$G:$G,"J4",$M:$M,"I",$N:$N,"J*")*SUMIFS($J:$J,$E:$E,"VRAI",$F:$F,"H",$M:$M,"F")*SUMIFS($J:$J,$E:$E,"VRAI",$F:$F,"I",$M:$M,"G")*SUMIFS($J:$J,$E:$E,"VRAI",$F:$F,"J",$M:$M,"H")*SUMIFS($J:$J,$E:$E,"VRAI",$I:$I,"F1",$F:$F,"G")</f>
        <v>254.42540976573997</v>
      </c>
      <c r="BH61" s="47">
        <f>SUMIFS($D:$D,$E:$E,"FAUX",$G:$G,"J4",$M:$M,"I",$N:$N,"J*")*SUMIFS($J:$J,$E:$E,"VRAI",$F:$F,"H",$M:$M,"F")*SUMIFS($J:$J,$E:$E,"VRAI",$F:$F,"I",$M:$M,"G")*SUMIFS($J:$J,$E:$E,"VRAI",$F:$F,"J",$M:$M,"H")*SUMIFS($J:$J,$E:$E,"VRAI",$I:$I,"F2",$F:$F,"G")</f>
        <v>66.057239416242581</v>
      </c>
      <c r="BI61" s="47">
        <f>SUMIFS($D:$D,$E:$E,"FAUX",$G:$G,"J4",$M:$M,"I",$N:$N,"J*")*SUMIFS($J:$J,$E:$E,"VRAI",$F:$F,"H",$M:$M,"F")*SUMIFS($J:$J,$E:$E,"VRAI",$F:$F,"I",$M:$M,"G")*SUMIFS($J:$J,$E:$E,"VRAI",$F:$F,"J",$M:$M,"H")*SUMIFS($J:$J,$E:$E,"VRAI",$I:$I,"F3",$F:$F,"G")</f>
        <v>0</v>
      </c>
      <c r="BJ61" s="47">
        <f>SUMIFS($D:$D,$E:$E,"FAUX",$G:$G,"J4",$M:$M,"I",$N:$N,"J*")*SUMIFS($J:$J,$E:$E,"VRAI",$F:$F,"H",$M:$M,"F")*SUMIFS($J:$J,$E:$E,"VRAI",$F:$F,"I",$M:$M,"G")*SUMIFS($J:$J,$E:$E,"VRAI",$F:$F,"J",$M:$M,"H")*SUMIFS($J:$J,$E:$E,"VRAI",$I:$I,"F4",$F:$F,"G")</f>
        <v>55.786855902763172</v>
      </c>
      <c r="BK61" s="47">
        <f>SUMIFS($D:$D,$E:$E,"FAUX",$G:$G,"J4",$M:$M,"I",$N:$N,"J*")*SUMIFS($J:$J,$E:$E,"VRAI",$F:$F,"H",$M:$M,"F")*SUMIFS($J:$J,$E:$E,"VRAI",$F:$F,"I",$M:$M,"G")*SUMIFS($J:$J,$E:$E,"VRAI",$F:$F,"J",$M:$M,"H")*SUMIFS($J:$J,$E:$E,"VRAI",$I:$I,"F5",$F:$F,"G")</f>
        <v>0</v>
      </c>
      <c r="BL61" s="48">
        <f>SUMIFS($D:$D,$E:$E,"FAUX",$G:$G,"J4",$M:$M,"I",$N:$N,"J*")*SUMIFS($J:$J,$E:$E,"VRAI",$F:$F,"H",$M:$M,"F")*SUMIFS($J:$J,$E:$E,"VRAI",$F:$F,"I",$M:$M,"G")*SUMIFS($J:$J,$E:$E,"VRAI",$F:$F,"J",$M:$M,"H")*SUMIFS($J:$J,$E:$E,"VRAI",$I:$I,"F6",$F:$F,"G")</f>
        <v>0</v>
      </c>
      <c r="BM61" s="46">
        <f>SUMIFS($D:$D,$E:$E,"FAUX",$G:$G,"J4",$M:$M,"I",$N:$N,"J*")*SUMIFS($J:$J,$E:$E,"VRAI",$F:$F,"I",$M:$M,"G")*SUMIFS($J:$J,$E:$E,"VRAI",$F:$F,"J",$M:$M,"H")*SUMIFS($J:$J,$E:$E,"VRAI",$I:$I,"G1",$F:$F,"H")</f>
        <v>376.26950508474573</v>
      </c>
      <c r="BN61" s="47">
        <f>SUMIFS($D:$D,$E:$E,"FAUX",$G:$G,"J4",$M:$M,"I",$N:$N,"J*")*SUMIFS($J:$J,$E:$E,"VRAI",$F:$F,"I",$M:$M,"G")*SUMIFS($J:$J,$E:$E,"VRAI",$F:$F,"J",$M:$M,"H")*SUMIFS($J:$J,$E:$E,"VRAI",$I:$I,"G2",$F:$F,"H")</f>
        <v>0</v>
      </c>
      <c r="BO61" s="47">
        <f>SUMIFS($D:$D,$E:$E,"FAUX",$G:$G,"J4",$M:$M,"I",$N:$N,"J*")*SUMIFS($J:$J,$E:$E,"VRAI",$F:$F,"I",$M:$M,"G")*SUMIFS($J:$J,$E:$E,"VRAI",$F:$F,"J",$M:$M,"H")*SUMIFS($J:$J,$E:$E,"VRAI",$I:$I,"G3",$F:$F,"H")</f>
        <v>5.8593084745762702</v>
      </c>
      <c r="BP61" s="47">
        <f>SUMIFS($D:$D,$E:$E,"FAUX",$G:$G,"J4",$M:$M,"I",$N:$N,"J*")*SUMIFS($J:$J,$E:$E,"VRAI",$F:$F,"I",$M:$M,"G")*SUMIFS($J:$J,$E:$E,"VRAI",$F:$F,"J",$M:$M,"H")*SUMIFS($J:$J,$E:$E,"VRAI",$I:$I,"G4",$F:$F,"H")</f>
        <v>0</v>
      </c>
      <c r="BQ61" s="47">
        <f>SUMIFS($D:$D,$E:$E,"FAUX",$G:$G,"J4",$M:$M,"I",$N:$N,"J*")*SUMIFS($J:$J,$E:$E,"VRAI",$F:$F,"I",$M:$M,"G")*SUMIFS($J:$J,$E:$E,"VRAI",$F:$F,"J",$M:$M,"H")*SUMIFS($J:$J,$E:$E,"VRAI",$I:$I,"G5",$F:$F,"H")</f>
        <v>0</v>
      </c>
      <c r="BR61" s="48">
        <f>SUMIFS($D:$D,$E:$E,"FAUX",$G:$G,"J4",$M:$M,"I",$N:$N,"J*")*SUMIFS($J:$J,$E:$E,"VRAI",$F:$F,"I",$M:$M,"G")*SUMIFS($J:$J,$E:$E,"VRAI",$F:$F,"J",$M:$M,"H")*SUMIFS($J:$J,$E:$E,"VRAI",$I:$I,"G6",$F:$F,"H")</f>
        <v>0</v>
      </c>
      <c r="BS61" s="46">
        <f>SUMIFS($D:$D,$E:$E,"FAUX",$G:$G,"J4",$M:$M,"I",$N:$N,"J*")*SUMIFS($J:$J,$E:$E,"VRAI",$F:$F,"I",$M:$M,"G")*SUMIFS($J:$J,$E:$E,"VRAI",$I:$I,"H1",$F:$F,"I")</f>
        <v>347.67245274346448</v>
      </c>
      <c r="BT61" s="47">
        <f>SUMIFS($D:$D,$E:$E,"FAUX",$G:$G,"J4",$M:$M,"I",$N:$N,"J*")*SUMIFS($J:$J,$E:$E,"VRAI",$F:$F,"I",$M:$M,"G")*SUMIFS($J:$J,$E:$E,"VRAI",$I:$I,"H2",$F:$F,"I")</f>
        <v>0</v>
      </c>
      <c r="BU61" s="47">
        <f>SUMIFS($D:$D,$E:$E,"FAUX",$G:$G,"J4",$M:$M,"I",$N:$N,"J*")*SUMIFS($J:$J,$E:$E,"VRAI",$F:$F,"I",$M:$M,"G")*SUMIFS($J:$J,$E:$E,"VRAI",$I:$I,"H3",$F:$F,"I")</f>
        <v>0</v>
      </c>
      <c r="BV61" s="47">
        <f>SUMIFS($D:$D,$E:$E,"FAUX",$G:$G,"J4",$M:$M,"I",$N:$N,"J*")*SUMIFS($J:$J,$E:$E,"VRAI",$F:$F,"I",$M:$M,"G")*SUMIFS($J:$J,$E:$E,"VRAI",$I:$I,"H4",$F:$F,"I")</f>
        <v>34.456360815857508</v>
      </c>
      <c r="BW61" s="47">
        <f>SUMIFS($D:$D,$E:$E,"FAUX",$G:$G,"J4",$M:$M,"I",$N:$N,"J*")*SUMIFS($J:$J,$E:$E,"VRAI",$F:$F,"I",$M:$M,"G")*SUMIFS($J:$J,$E:$E,"VRAI",$I:$I,"H5",$F:$F,"I")</f>
        <v>0</v>
      </c>
      <c r="BX61" s="48">
        <f>SUMIFS($D:$D,$E:$E,"FAUX",$G:$G,"J4",$M:$M,"I",$N:$N,"J*")*SUMIFS($J:$J,$E:$E,"VRAI",$F:$F,"I",$M:$M,"G")*SUMIFS($J:$J,$E:$E,"VRAI",$I:$I,"H6",$F:$F,"I")</f>
        <v>0</v>
      </c>
      <c r="BY61" s="31">
        <f t="shared" si="24"/>
        <v>0</v>
      </c>
      <c r="BZ61" s="27">
        <f t="shared" si="25"/>
        <v>0</v>
      </c>
      <c r="CA61" s="27">
        <f t="shared" si="26"/>
        <v>0</v>
      </c>
      <c r="CB61" s="27">
        <f t="shared" si="27"/>
        <v>0</v>
      </c>
      <c r="CC61" s="27">
        <f t="shared" si="28"/>
        <v>0</v>
      </c>
      <c r="CD61" s="28">
        <f t="shared" si="29"/>
        <v>0</v>
      </c>
      <c r="CE61" s="54">
        <f>SUMIFS($D:$D,$O:$O,"J_4_1")</f>
        <v>420</v>
      </c>
      <c r="CF61" s="54">
        <f>SUMIFS($D:$D,$O:$O,"J_4_2")</f>
        <v>121</v>
      </c>
      <c r="CG61" s="54">
        <f>SUMIFS($D:$D,$O:$O,"J_4_3")</f>
        <v>127</v>
      </c>
      <c r="CH61" s="54">
        <f>SUMIFS($D:$D,$O:$O,"J_4_4")</f>
        <v>0</v>
      </c>
      <c r="CI61" s="54">
        <f>SUMIFS($D:$D,$O:$O,"J_4_5")</f>
        <v>0</v>
      </c>
      <c r="CJ61" s="55">
        <f>SUMIFS($D:$D,$O:$O,"J_4_6")</f>
        <v>0</v>
      </c>
      <c r="CK61" s="31">
        <f>SUMIFS($D:$D,$E:$E,"FAUX",$G:$G,"K4",$M:$M,"L",$N:$N,"K*")*SUMIFS($J:$J,$O:$O,"J_1_1")</f>
        <v>0</v>
      </c>
      <c r="CL61" s="27">
        <f>SUMIFS($D:$D,$E:$E,"FAUX",$G:$G,"K4",$M:$M,"L",$N:$N,"K*")*SUMIFS($J:$J,$O:$O,"J_1_2")</f>
        <v>0</v>
      </c>
      <c r="CM61" s="27">
        <f>SUMIFS($D:$D,$E:$E,"FAUX",$G:$G,"K4",$M:$M,"L",$N:$N,"K*")*SUMIFS($J:$J,$O:$O,"J_1_3")</f>
        <v>0</v>
      </c>
      <c r="CN61" s="27">
        <f>SUMIFS($D:$D,$E:$E,"FAUX",$G:$G,"K4",$M:$M,"L",$N:$N,"K*")*SUMIFS($J:$J,$O:$O,"J_1_4")</f>
        <v>0</v>
      </c>
      <c r="CO61" s="27">
        <f>SUMIFS($D:$D,$E:$E,"FAUX",$G:$G,"K4",$M:$M,"L",$N:$N,"K*")*SUMIFS($J:$J,$O:$O,"J_1_5")</f>
        <v>0</v>
      </c>
      <c r="CP61" s="28">
        <f>SUMIFS($D:$D,$E:$E,"FAUX",$G:$G,"K4",$M:$M,"L",$N:$N,"K*")*SUMIFS($J:$J,$O:$O,"J_1_6")</f>
        <v>0</v>
      </c>
    </row>
    <row r="62" spans="1:94">
      <c r="A62" s="35" t="s">
        <v>11</v>
      </c>
      <c r="B62" s="35">
        <v>3</v>
      </c>
      <c r="C62" s="35">
        <v>4</v>
      </c>
      <c r="D62" s="35">
        <v>123</v>
      </c>
      <c r="E62" s="35" t="b">
        <v>1</v>
      </c>
      <c r="F62" s="35" t="s">
        <v>21</v>
      </c>
      <c r="G62" s="53" t="str">
        <f t="shared" si="0"/>
        <v>D3</v>
      </c>
      <c r="H62" s="52" t="str">
        <f t="shared" si="5"/>
        <v>E</v>
      </c>
      <c r="I62" s="41" t="str">
        <f t="shared" si="1"/>
        <v>D4</v>
      </c>
      <c r="J62" s="42">
        <f t="shared" si="2"/>
        <v>9.9113618049959704E-2</v>
      </c>
      <c r="K62" s="41">
        <f t="shared" si="6"/>
        <v>1241</v>
      </c>
      <c r="L62" s="41" t="str">
        <f t="shared" si="3"/>
        <v>D3</v>
      </c>
      <c r="M62" s="41" t="str">
        <f t="shared" si="7"/>
        <v/>
      </c>
      <c r="N62" s="41" t="str">
        <f>IFERROR(VLOOKUP(I62,L62:L:L,1,FALSE),"")</f>
        <v/>
      </c>
      <c r="O62" s="56" t="str">
        <f t="shared" si="8"/>
        <v>D_3_4</v>
      </c>
      <c r="U62" t="s">
        <v>64</v>
      </c>
      <c r="V62">
        <f>SUMIFS(D:D,A:A,"H",B:B,"2")</f>
        <v>479</v>
      </c>
      <c r="Z62" t="e">
        <f t="shared" si="9"/>
        <v>#N/A</v>
      </c>
      <c r="AA62" t="e">
        <f t="shared" si="10"/>
        <v>#N/A</v>
      </c>
      <c r="AB62" s="34" t="s">
        <v>79</v>
      </c>
      <c r="AC62" s="46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0</v>
      </c>
      <c r="AD62" s="47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62" s="47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0</v>
      </c>
      <c r="AF62" s="47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62" s="47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62" s="47">
        <f>SUMIFS($D:$D,$E:$E,"FAUX",$G:$G,"J5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62" s="46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62" s="47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62" s="47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62" s="47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62" s="47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62" s="47">
        <f>SUMIFS($D:$D,$E:$E,"FAUX",$G:$G,"J5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62" s="46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0</v>
      </c>
      <c r="AP62" s="47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62" s="47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62" s="47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62" s="47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62" s="47">
        <f>SUMIFS($D:$D,$E:$E,"FAUX",$G:$G,"J5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62" s="46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0</v>
      </c>
      <c r="AV62" s="47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0</v>
      </c>
      <c r="AW62" s="47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62" s="47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0</v>
      </c>
      <c r="AY62" s="47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62" s="47">
        <f>SUMIFS($D:$D,$E:$E,"FAUX",$G:$G,"J5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62" s="46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1",$F:$F,"F")</f>
        <v>0</v>
      </c>
      <c r="BB62" s="47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62" s="47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3",$F:$F,"F")</f>
        <v>0</v>
      </c>
      <c r="BD62" s="47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62" s="47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62" s="47">
        <f>SUMIFS($D:$D,$E:$E,"FAUX",$G:$G,"J5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62" s="46">
        <f>SUMIFS($D:$D,$E:$E,"FAUX",$G:$G,"J5",$M:$M,"I",$N:$N,"J*")*SUMIFS($J:$J,$E:$E,"VRAI",$F:$F,"H",$M:$M,"F")*SUMIFS($J:$J,$E:$E,"VRAI",$F:$F,"I",$M:$M,"G")*SUMIFS($J:$J,$E:$E,"VRAI",$F:$F,"J",$M:$M,"H")*SUMIFS($J:$J,$E:$E,"VRAI",$I:$I,"F1",$F:$F,"G")</f>
        <v>0</v>
      </c>
      <c r="BH62" s="47">
        <f>SUMIFS($D:$D,$E:$E,"FAUX",$G:$G,"J5",$M:$M,"I",$N:$N,"J*")*SUMIFS($J:$J,$E:$E,"VRAI",$F:$F,"H",$M:$M,"F")*SUMIFS($J:$J,$E:$E,"VRAI",$F:$F,"I",$M:$M,"G")*SUMIFS($J:$J,$E:$E,"VRAI",$F:$F,"J",$M:$M,"H")*SUMIFS($J:$J,$E:$E,"VRAI",$I:$I,"F2",$F:$F,"G")</f>
        <v>0</v>
      </c>
      <c r="BI62" s="47">
        <f>SUMIFS($D:$D,$E:$E,"FAUX",$G:$G,"J5",$M:$M,"I",$N:$N,"J*")*SUMIFS($J:$J,$E:$E,"VRAI",$F:$F,"H",$M:$M,"F")*SUMIFS($J:$J,$E:$E,"VRAI",$F:$F,"I",$M:$M,"G")*SUMIFS($J:$J,$E:$E,"VRAI",$F:$F,"J",$M:$M,"H")*SUMIFS($J:$J,$E:$E,"VRAI",$I:$I,"F3",$F:$F,"G")</f>
        <v>0</v>
      </c>
      <c r="BJ62" s="47">
        <f>SUMIFS($D:$D,$E:$E,"FAUX",$G:$G,"J5",$M:$M,"I",$N:$N,"J*")*SUMIFS($J:$J,$E:$E,"VRAI",$F:$F,"H",$M:$M,"F")*SUMIFS($J:$J,$E:$E,"VRAI",$F:$F,"I",$M:$M,"G")*SUMIFS($J:$J,$E:$E,"VRAI",$F:$F,"J",$M:$M,"H")*SUMIFS($J:$J,$E:$E,"VRAI",$I:$I,"F4",$F:$F,"G")</f>
        <v>0</v>
      </c>
      <c r="BK62" s="47">
        <f>SUMIFS($D:$D,$E:$E,"FAUX",$G:$G,"J5",$M:$M,"I",$N:$N,"J*")*SUMIFS($J:$J,$E:$E,"VRAI",$F:$F,"H",$M:$M,"F")*SUMIFS($J:$J,$E:$E,"VRAI",$F:$F,"I",$M:$M,"G")*SUMIFS($J:$J,$E:$E,"VRAI",$F:$F,"J",$M:$M,"H")*SUMIFS($J:$J,$E:$E,"VRAI",$I:$I,"F5",$F:$F,"G")</f>
        <v>0</v>
      </c>
      <c r="BL62" s="48">
        <f>SUMIFS($D:$D,$E:$E,"FAUX",$G:$G,"J5",$M:$M,"I",$N:$N,"J*")*SUMIFS($J:$J,$E:$E,"VRAI",$F:$F,"H",$M:$M,"F")*SUMIFS($J:$J,$E:$E,"VRAI",$F:$F,"I",$M:$M,"G")*SUMIFS($J:$J,$E:$E,"VRAI",$F:$F,"J",$M:$M,"H")*SUMIFS($J:$J,$E:$E,"VRAI",$I:$I,"F6",$F:$F,"G")</f>
        <v>0</v>
      </c>
      <c r="BM62" s="46">
        <f>SUMIFS($D:$D,$E:$E,"FAUX",$G:$G,"J5",$M:$M,"I",$N:$N,"J*")*SUMIFS($J:$J,$E:$E,"VRAI",$F:$F,"I",$M:$M,"G")*SUMIFS($J:$J,$E:$E,"VRAI",$F:$F,"J",$M:$M,"H")*SUMIFS($J:$J,$E:$E,"VRAI",$I:$I,"G1",$F:$F,"H")</f>
        <v>0</v>
      </c>
      <c r="BN62" s="47">
        <f>SUMIFS($D:$D,$E:$E,"FAUX",$G:$G,"J5",$M:$M,"I",$N:$N,"J*")*SUMIFS($J:$J,$E:$E,"VRAI",$F:$F,"I",$M:$M,"G")*SUMIFS($J:$J,$E:$E,"VRAI",$F:$F,"J",$M:$M,"H")*SUMIFS($J:$J,$E:$E,"VRAI",$I:$I,"G2",$F:$F,"H")</f>
        <v>0</v>
      </c>
      <c r="BO62" s="47">
        <f>SUMIFS($D:$D,$E:$E,"FAUX",$G:$G,"J5",$M:$M,"I",$N:$N,"J*")*SUMIFS($J:$J,$E:$E,"VRAI",$F:$F,"I",$M:$M,"G")*SUMIFS($J:$J,$E:$E,"VRAI",$F:$F,"J",$M:$M,"H")*SUMIFS($J:$J,$E:$E,"VRAI",$I:$I,"G3",$F:$F,"H")</f>
        <v>0</v>
      </c>
      <c r="BP62" s="47">
        <f>SUMIFS($D:$D,$E:$E,"FAUX",$G:$G,"J5",$M:$M,"I",$N:$N,"J*")*SUMIFS($J:$J,$E:$E,"VRAI",$F:$F,"I",$M:$M,"G")*SUMIFS($J:$J,$E:$E,"VRAI",$F:$F,"J",$M:$M,"H")*SUMIFS($J:$J,$E:$E,"VRAI",$I:$I,"G4",$F:$F,"H")</f>
        <v>0</v>
      </c>
      <c r="BQ62" s="47">
        <f>SUMIFS($D:$D,$E:$E,"FAUX",$G:$G,"J5",$M:$M,"I",$N:$N,"J*")*SUMIFS($J:$J,$E:$E,"VRAI",$F:$F,"I",$M:$M,"G")*SUMIFS($J:$J,$E:$E,"VRAI",$F:$F,"J",$M:$M,"H")*SUMIFS($J:$J,$E:$E,"VRAI",$I:$I,"G5",$F:$F,"H")</f>
        <v>0</v>
      </c>
      <c r="BR62" s="48">
        <f>SUMIFS($D:$D,$E:$E,"FAUX",$G:$G,"J5",$M:$M,"I",$N:$N,"J*")*SUMIFS($J:$J,$E:$E,"VRAI",$F:$F,"I",$M:$M,"G")*SUMIFS($J:$J,$E:$E,"VRAI",$F:$F,"J",$M:$M,"H")*SUMIFS($J:$J,$E:$E,"VRAI",$I:$I,"G6",$F:$F,"H")</f>
        <v>0</v>
      </c>
      <c r="BS62" s="46">
        <f>SUMIFS($D:$D,$E:$E,"FAUX",$G:$G,"J5",$M:$M,"I",$N:$N,"J*")*SUMIFS($J:$J,$E:$E,"VRAI",$F:$F,"I",$M:$M,"G")*SUMIFS($J:$J,$E:$E,"VRAI",$I:$I,"H1",$F:$F,"I")</f>
        <v>0</v>
      </c>
      <c r="BT62" s="47">
        <f>SUMIFS($D:$D,$E:$E,"FAUX",$G:$G,"J5",$M:$M,"I",$N:$N,"J*")*SUMIFS($J:$J,$E:$E,"VRAI",$F:$F,"I",$M:$M,"G")*SUMIFS($J:$J,$E:$E,"VRAI",$I:$I,"H2",$F:$F,"I")</f>
        <v>0</v>
      </c>
      <c r="BU62" s="47">
        <f>SUMIFS($D:$D,$E:$E,"FAUX",$G:$G,"J5",$M:$M,"I",$N:$N,"J*")*SUMIFS($J:$J,$E:$E,"VRAI",$F:$F,"I",$M:$M,"G")*SUMIFS($J:$J,$E:$E,"VRAI",$I:$I,"H3",$F:$F,"I")</f>
        <v>0</v>
      </c>
      <c r="BV62" s="47">
        <f>SUMIFS($D:$D,$E:$E,"FAUX",$G:$G,"J5",$M:$M,"I",$N:$N,"J*")*SUMIFS($J:$J,$E:$E,"VRAI",$F:$F,"I",$M:$M,"G")*SUMIFS($J:$J,$E:$E,"VRAI",$I:$I,"H4",$F:$F,"I")</f>
        <v>0</v>
      </c>
      <c r="BW62" s="47">
        <f>SUMIFS($D:$D,$E:$E,"FAUX",$G:$G,"J5",$M:$M,"I",$N:$N,"J*")*SUMIFS($J:$J,$E:$E,"VRAI",$F:$F,"I",$M:$M,"G")*SUMIFS($J:$J,$E:$E,"VRAI",$I:$I,"H5",$F:$F,"I")</f>
        <v>0</v>
      </c>
      <c r="BX62" s="48">
        <f>SUMIFS($D:$D,$E:$E,"FAUX",$G:$G,"J5",$M:$M,"I",$N:$N,"J*")*SUMIFS($J:$J,$E:$E,"VRAI",$F:$F,"I",$M:$M,"G")*SUMIFS($J:$J,$E:$E,"VRAI",$I:$I,"H6",$F:$F,"I")</f>
        <v>0</v>
      </c>
      <c r="BY62" s="31">
        <f t="shared" si="24"/>
        <v>0</v>
      </c>
      <c r="BZ62" s="27">
        <f t="shared" si="25"/>
        <v>0</v>
      </c>
      <c r="CA62" s="27">
        <f t="shared" si="26"/>
        <v>0</v>
      </c>
      <c r="CB62" s="27">
        <f t="shared" si="27"/>
        <v>0</v>
      </c>
      <c r="CC62" s="27">
        <f t="shared" si="28"/>
        <v>0</v>
      </c>
      <c r="CD62" s="28">
        <f t="shared" si="29"/>
        <v>0</v>
      </c>
      <c r="CE62" s="54">
        <f>SUMIFS($D:$D,$O:$O,"J_5_1")</f>
        <v>0</v>
      </c>
      <c r="CF62" s="54">
        <f>SUMIFS($D:$D,$O:$O,"J_5_2")</f>
        <v>0</v>
      </c>
      <c r="CG62" s="54">
        <f>SUMIFS($D:$D,$O:$O,"J_5_3")</f>
        <v>0</v>
      </c>
      <c r="CH62" s="54">
        <f>SUMIFS($D:$D,$O:$O,"J_5_4")</f>
        <v>0</v>
      </c>
      <c r="CI62" s="54">
        <f>SUMIFS($D:$D,$O:$O,"J_5_5")</f>
        <v>0</v>
      </c>
      <c r="CJ62" s="55">
        <f>SUMIFS($D:$D,$O:$O,"J_5_6")</f>
        <v>0</v>
      </c>
      <c r="CK62" s="31">
        <f>SUMIFS($D:$D,$E:$E,"FAUX",$G:$G,"K5",$M:$M,"L",$N:$N,"K*")*SUMIFS($J:$J,$O:$O,"J_1_1")</f>
        <v>0</v>
      </c>
      <c r="CL62" s="27">
        <f>SUMIFS($D:$D,$E:$E,"FAUX",$G:$G,"K5",$M:$M,"L",$N:$N,"K*")*SUMIFS($J:$J,$O:$O,"J_1_2")</f>
        <v>0</v>
      </c>
      <c r="CM62" s="27">
        <f>SUMIFS($D:$D,$E:$E,"FAUX",$G:$G,"K5",$M:$M,"L",$N:$N,"K*")*SUMIFS($J:$J,$O:$O,"J_1_3")</f>
        <v>0</v>
      </c>
      <c r="CN62" s="27">
        <f>SUMIFS($D:$D,$E:$E,"FAUX",$G:$G,"K5",$M:$M,"L",$N:$N,"K*")*SUMIFS($J:$J,$O:$O,"J_1_4")</f>
        <v>0</v>
      </c>
      <c r="CO62" s="27">
        <f>SUMIFS($D:$D,$E:$E,"FAUX",$G:$G,"K5",$M:$M,"L",$N:$N,"K*")*SUMIFS($J:$J,$O:$O,"J_1_5")</f>
        <v>0</v>
      </c>
      <c r="CP62" s="28">
        <f>SUMIFS($D:$D,$E:$E,"FAUX",$G:$G,"K5",$M:$M,"L",$N:$N,"K*")*SUMIFS($J:$J,$O:$O,"J_1_6")</f>
        <v>0</v>
      </c>
    </row>
    <row r="63" spans="1:94">
      <c r="A63" s="35" t="s">
        <v>11</v>
      </c>
      <c r="B63" s="35">
        <v>3</v>
      </c>
      <c r="C63" s="35">
        <v>1</v>
      </c>
      <c r="D63" s="35">
        <v>779</v>
      </c>
      <c r="E63" s="35" t="b">
        <v>1</v>
      </c>
      <c r="F63" s="35" t="s">
        <v>21</v>
      </c>
      <c r="G63" s="53" t="str">
        <f t="shared" si="0"/>
        <v>D3</v>
      </c>
      <c r="H63" s="52" t="str">
        <f t="shared" si="5"/>
        <v>E</v>
      </c>
      <c r="I63" s="41" t="str">
        <f t="shared" si="1"/>
        <v>D1</v>
      </c>
      <c r="J63" s="42">
        <f t="shared" si="2"/>
        <v>0.62771958098307812</v>
      </c>
      <c r="K63" s="41">
        <f t="shared" si="6"/>
        <v>1241</v>
      </c>
      <c r="L63" s="41" t="str">
        <f t="shared" si="3"/>
        <v>D3</v>
      </c>
      <c r="M63" s="41" t="str">
        <f t="shared" si="7"/>
        <v>C</v>
      </c>
      <c r="N63" s="41" t="str">
        <f>IFERROR(VLOOKUP(I63,L63:L:L,1,FALSE),"")</f>
        <v>D1</v>
      </c>
      <c r="O63" s="56" t="str">
        <f t="shared" si="8"/>
        <v>D_3_1</v>
      </c>
      <c r="U63" t="s">
        <v>65</v>
      </c>
      <c r="V63">
        <f>SUMIFS(D:D,A:A,"H",B:B,"3")</f>
        <v>1475</v>
      </c>
      <c r="Z63" t="e">
        <f t="shared" si="9"/>
        <v>#N/A</v>
      </c>
      <c r="AA63" t="e">
        <f t="shared" si="10"/>
        <v>#N/A</v>
      </c>
      <c r="AB63" s="34" t="s">
        <v>80</v>
      </c>
      <c r="AC63" s="46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1")</f>
        <v>0</v>
      </c>
      <c r="AD63" s="47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2")</f>
        <v>0</v>
      </c>
      <c r="AE63" s="47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3")</f>
        <v>0</v>
      </c>
      <c r="AF63" s="47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4")</f>
        <v>0</v>
      </c>
      <c r="AG63" s="47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5")</f>
        <v>0</v>
      </c>
      <c r="AH63" s="47">
        <f>SUMIFS($D:$D,$E:$E,"FAUX",$G:$G,"J6",$M:$M,"I",$N:$N,"J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B",$I:$I,"A6")</f>
        <v>0</v>
      </c>
      <c r="AI63" s="46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1")</f>
        <v>0</v>
      </c>
      <c r="AJ63" s="47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2")</f>
        <v>0</v>
      </c>
      <c r="AK63" s="47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3")</f>
        <v>0</v>
      </c>
      <c r="AL63" s="47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4")</f>
        <v>0</v>
      </c>
      <c r="AM63" s="47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5")</f>
        <v>0</v>
      </c>
      <c r="AN63" s="47">
        <f>SUMIFS($D:$D,$E:$E,"FAUX",$G:$G,"J6",$M:$M,"I",$N:$N,"J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H:$H,"C",$I:$I,"B6")</f>
        <v>0</v>
      </c>
      <c r="AO63" s="46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1")</f>
        <v>0</v>
      </c>
      <c r="AP63" s="47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2")</f>
        <v>0</v>
      </c>
      <c r="AQ63" s="47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3")</f>
        <v>0</v>
      </c>
      <c r="AR63" s="47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4")</f>
        <v>0</v>
      </c>
      <c r="AS63" s="47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5")</f>
        <v>0</v>
      </c>
      <c r="AT63" s="47">
        <f>SUMIFS($D:$D,$E:$E,"FAUX",$G:$G,"J6",$M:$M,"I",$N:$N,"J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H:$H,"D",$I:$I,"C6")</f>
        <v>0</v>
      </c>
      <c r="AU63" s="46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1")</f>
        <v>0</v>
      </c>
      <c r="AV63" s="47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2")</f>
        <v>0</v>
      </c>
      <c r="AW63" s="47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3")</f>
        <v>0</v>
      </c>
      <c r="AX63" s="47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4")</f>
        <v>0</v>
      </c>
      <c r="AY63" s="47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5")</f>
        <v>0</v>
      </c>
      <c r="AZ63" s="47">
        <f>SUMIFS($D:$D,$E:$E,"FAUX",$G:$G,"J6",$M:$M,"I",$N:$N,"J*")*SUMIFS($J:$J,$E:$E,"VRAI",$F:$F,"F",$M:$M,"D")*SUMIFS($J:$J,$E:$E,"VRAI",$F:$F,"G",$M:$M,"E")*SUMIFS($J:$J,$E:$E,"VRAI",$F:$F,"H",$M:$M,"F")*SUMIFS($J:$J,$E:$E,"VRAI",$F:$F,"I",$M:$M,"G")*SUMIFS($J:$J,$E:$E,"VRAI",$F:$F,"J",$M:$M,"H")*SUMIFS($J:$J,$E:$E,"VRAI",$H:$H,"E",$I:$I,"D6")</f>
        <v>0</v>
      </c>
      <c r="BA63" s="46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1",$F:$F,"F")</f>
        <v>0</v>
      </c>
      <c r="BB63" s="47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2",$F:$F,"F")</f>
        <v>0</v>
      </c>
      <c r="BC63" s="47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3",$F:$F,"F")</f>
        <v>0</v>
      </c>
      <c r="BD63" s="47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4",$F:$F,"F")</f>
        <v>0</v>
      </c>
      <c r="BE63" s="47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5",$F:$F,"F")</f>
        <v>0</v>
      </c>
      <c r="BF63" s="47">
        <f>SUMIFS($D:$D,$E:$E,"FAUX",$G:$G,"J6",$M:$M,"I",$N:$N,"J*")*SUMIFS($J:$J,$E:$E,"VRAI",$F:$F,"G",$M:$M,"E")*SUMIFS($J:$J,$E:$E,"VRAI",$F:$F,"H",$M:$M,"F")*SUMIFS($J:$J,$E:$E,"VRAI",$F:$F,"I",$M:$M,"G")*SUMIFS($J:$J,$E:$E,"VRAI",$F:$F,"J",$M:$M,"H")*SUMIFS($J:$J,$E:$E,"VRAI",$I:$I,"E6",$F:$F,"F")</f>
        <v>0</v>
      </c>
      <c r="BG63" s="49">
        <f>SUMIFS($D:$D,$E:$E,"FAUX",$G:$G,"J6",$M:$M,"I",$N:$N,"J*")*SUMIFS($J:$J,$E:$E,"VRAI",$F:$F,"H",$M:$M,"F")*SUMIFS($J:$J,$E:$E,"VRAI",$F:$F,"I",$M:$M,"G")*SUMIFS($J:$J,$E:$E,"VRAI",$F:$F,"J",$M:$M,"H")*SUMIFS($J:$J,$E:$E,"VRAI",$I:$I,"F1",$F:$F,"G")</f>
        <v>0</v>
      </c>
      <c r="BH63" s="50">
        <f>SUMIFS($D:$D,$E:$E,"FAUX",$G:$G,"J6",$M:$M,"I",$N:$N,"J*")*SUMIFS($J:$J,$E:$E,"VRAI",$F:$F,"H",$M:$M,"F")*SUMIFS($J:$J,$E:$E,"VRAI",$F:$F,"I",$M:$M,"G")*SUMIFS($J:$J,$E:$E,"VRAI",$F:$F,"J",$M:$M,"H")*SUMIFS($J:$J,$E:$E,"VRAI",$I:$I,"F2",$F:$F,"G")</f>
        <v>0</v>
      </c>
      <c r="BI63" s="50">
        <f>SUMIFS($D:$D,$E:$E,"FAUX",$G:$G,"J6",$M:$M,"I",$N:$N,"J*")*SUMIFS($J:$J,$E:$E,"VRAI",$F:$F,"H",$M:$M,"F")*SUMIFS($J:$J,$E:$E,"VRAI",$F:$F,"I",$M:$M,"G")*SUMIFS($J:$J,$E:$E,"VRAI",$F:$F,"J",$M:$M,"H")*SUMIFS($J:$J,$E:$E,"VRAI",$I:$I,"F3",$F:$F,"G")</f>
        <v>0</v>
      </c>
      <c r="BJ63" s="50">
        <f>SUMIFS($D:$D,$E:$E,"FAUX",$G:$G,"J6",$M:$M,"I",$N:$N,"J*")*SUMIFS($J:$J,$E:$E,"VRAI",$F:$F,"H",$M:$M,"F")*SUMIFS($J:$J,$E:$E,"VRAI",$F:$F,"I",$M:$M,"G")*SUMIFS($J:$J,$E:$E,"VRAI",$F:$F,"J",$M:$M,"H")*SUMIFS($J:$J,$E:$E,"VRAI",$I:$I,"F4",$F:$F,"G")</f>
        <v>0</v>
      </c>
      <c r="BK63" s="50">
        <f>SUMIFS($D:$D,$E:$E,"FAUX",$G:$G,"J6",$M:$M,"I",$N:$N,"J*")*SUMIFS($J:$J,$E:$E,"VRAI",$F:$F,"H",$M:$M,"F")*SUMIFS($J:$J,$E:$E,"VRAI",$F:$F,"I",$M:$M,"G")*SUMIFS($J:$J,$E:$E,"VRAI",$F:$F,"J",$M:$M,"H")*SUMIFS($J:$J,$E:$E,"VRAI",$I:$I,"F5",$F:$F,"G")</f>
        <v>0</v>
      </c>
      <c r="BL63" s="51">
        <f>SUMIFS($D:$D,$E:$E,"FAUX",$G:$G,"J6",$M:$M,"I",$N:$N,"J*")*SUMIFS($J:$J,$E:$E,"VRAI",$F:$F,"H",$M:$M,"F")*SUMIFS($J:$J,$E:$E,"VRAI",$F:$F,"I",$M:$M,"G")*SUMIFS($J:$J,$E:$E,"VRAI",$F:$F,"J",$M:$M,"H")*SUMIFS($J:$J,$E:$E,"VRAI",$I:$I,"F6",$F:$F,"G")</f>
        <v>0</v>
      </c>
      <c r="BM63" s="49">
        <f>SUMIFS($D:$D,$E:$E,"FAUX",$G:$G,"J6",$M:$M,"I",$N:$N,"J*")*SUMIFS($J:$J,$E:$E,"VRAI",$F:$F,"I",$M:$M,"G")*SUMIFS($J:$J,$E:$E,"VRAI",$F:$F,"J",$M:$M,"H")*SUMIFS($J:$J,$E:$E,"VRAI",$I:$I,"G1",$F:$F,"H")</f>
        <v>0</v>
      </c>
      <c r="BN63" s="50">
        <f>SUMIFS($D:$D,$E:$E,"FAUX",$G:$G,"J6",$M:$M,"I",$N:$N,"J*")*SUMIFS($J:$J,$E:$E,"VRAI",$F:$F,"I",$M:$M,"G")*SUMIFS($J:$J,$E:$E,"VRAI",$F:$F,"J",$M:$M,"H")*SUMIFS($J:$J,$E:$E,"VRAI",$I:$I,"G2",$F:$F,"H")</f>
        <v>0</v>
      </c>
      <c r="BO63" s="50">
        <f>SUMIFS($D:$D,$E:$E,"FAUX",$G:$G,"J6",$M:$M,"I",$N:$N,"J*")*SUMIFS($J:$J,$E:$E,"VRAI",$F:$F,"I",$M:$M,"G")*SUMIFS($J:$J,$E:$E,"VRAI",$F:$F,"J",$M:$M,"H")*SUMIFS($J:$J,$E:$E,"VRAI",$I:$I,"G3",$F:$F,"H")</f>
        <v>0</v>
      </c>
      <c r="BP63" s="50">
        <f>SUMIFS($D:$D,$E:$E,"FAUX",$G:$G,"J6",$M:$M,"I",$N:$N,"J*")*SUMIFS($J:$J,$E:$E,"VRAI",$F:$F,"I",$M:$M,"G")*SUMIFS($J:$J,$E:$E,"VRAI",$F:$F,"J",$M:$M,"H")*SUMIFS($J:$J,$E:$E,"VRAI",$I:$I,"G4",$F:$F,"H")</f>
        <v>0</v>
      </c>
      <c r="BQ63" s="50">
        <f>SUMIFS($D:$D,$E:$E,"FAUX",$G:$G,"J6",$M:$M,"I",$N:$N,"J*")*SUMIFS($J:$J,$E:$E,"VRAI",$F:$F,"I",$M:$M,"G")*SUMIFS($J:$J,$E:$E,"VRAI",$F:$F,"J",$M:$M,"H")*SUMIFS($J:$J,$E:$E,"VRAI",$I:$I,"G5",$F:$F,"H")</f>
        <v>0</v>
      </c>
      <c r="BR63" s="51">
        <f>SUMIFS($D:$D,$E:$E,"FAUX",$G:$G,"J6",$M:$M,"I",$N:$N,"J*")*SUMIFS($J:$J,$E:$E,"VRAI",$F:$F,"I",$M:$M,"G")*SUMIFS($J:$J,$E:$E,"VRAI",$F:$F,"J",$M:$M,"H")*SUMIFS($J:$J,$E:$E,"VRAI",$I:$I,"G6",$F:$F,"H")</f>
        <v>0</v>
      </c>
      <c r="BS63" s="49">
        <f>SUMIFS($D:$D,$E:$E,"FAUX",$G:$G,"J6",$M:$M,"I",$N:$N,"J*")*SUMIFS($J:$J,$E:$E,"VRAI",$F:$F,"I",$M:$M,"G")*SUMIFS($J:$J,$E:$E,"VRAI",$I:$I,"H1",$F:$F,"I")</f>
        <v>0</v>
      </c>
      <c r="BT63" s="50">
        <f>SUMIFS($D:$D,$E:$E,"FAUX",$G:$G,"J6",$M:$M,"I",$N:$N,"J*")*SUMIFS($J:$J,$E:$E,"VRAI",$F:$F,"I",$M:$M,"G")*SUMIFS($J:$J,$E:$E,"VRAI",$I:$I,"H2",$F:$F,"I")</f>
        <v>0</v>
      </c>
      <c r="BU63" s="50">
        <f>SUMIFS($D:$D,$E:$E,"FAUX",$G:$G,"J6",$M:$M,"I",$N:$N,"J*")*SUMIFS($J:$J,$E:$E,"VRAI",$F:$F,"I",$M:$M,"G")*SUMIFS($J:$J,$E:$E,"VRAI",$I:$I,"H3",$F:$F,"I")</f>
        <v>0</v>
      </c>
      <c r="BV63" s="50">
        <f>SUMIFS($D:$D,$E:$E,"FAUX",$G:$G,"J6",$M:$M,"I",$N:$N,"J*")*SUMIFS($J:$J,$E:$E,"VRAI",$F:$F,"I",$M:$M,"G")*SUMIFS($J:$J,$E:$E,"VRAI",$I:$I,"H4",$F:$F,"I")</f>
        <v>0</v>
      </c>
      <c r="BW63" s="50">
        <f>SUMIFS($D:$D,$E:$E,"FAUX",$G:$G,"J6",$M:$M,"I",$N:$N,"J*")*SUMIFS($J:$J,$E:$E,"VRAI",$F:$F,"I",$M:$M,"G")*SUMIFS($J:$J,$E:$E,"VRAI",$I:$I,"H5",$F:$F,"I")</f>
        <v>0</v>
      </c>
      <c r="BX63" s="51">
        <f>SUMIFS($D:$D,$E:$E,"FAUX",$G:$G,"J6",$M:$M,"I",$N:$N,"J*")*SUMIFS($J:$J,$E:$E,"VRAI",$F:$F,"I",$M:$M,"G")*SUMIFS($J:$J,$E:$E,"VRAI",$I:$I,"H6",$F:$F,"I")</f>
        <v>0</v>
      </c>
      <c r="BY63" s="33">
        <f t="shared" si="24"/>
        <v>0</v>
      </c>
      <c r="BZ63" s="29">
        <f t="shared" si="25"/>
        <v>0</v>
      </c>
      <c r="CA63" s="29">
        <f t="shared" si="26"/>
        <v>0</v>
      </c>
      <c r="CB63" s="29">
        <f t="shared" si="27"/>
        <v>0</v>
      </c>
      <c r="CC63" s="29">
        <f t="shared" si="28"/>
        <v>0</v>
      </c>
      <c r="CD63" s="30">
        <f t="shared" si="29"/>
        <v>0</v>
      </c>
      <c r="CE63" s="54">
        <f>SUMIFS($D:$D,$O:$O,"J_6_1")</f>
        <v>0</v>
      </c>
      <c r="CF63" s="54">
        <f>SUMIFS($D:$D,$O:$O,"J_6_2")</f>
        <v>0</v>
      </c>
      <c r="CG63" s="54">
        <f>SUMIFS($D:$D,$O:$O,"J_6_3")</f>
        <v>0</v>
      </c>
      <c r="CH63" s="54">
        <f>SUMIFS($D:$D,$O:$O,"J_6_4")</f>
        <v>0</v>
      </c>
      <c r="CI63" s="54">
        <f>SUMIFS($D:$D,$O:$O,"J_6_5")</f>
        <v>0</v>
      </c>
      <c r="CJ63" s="55">
        <f>SUMIFS($D:$D,$O:$O,"J_6_6")</f>
        <v>0</v>
      </c>
      <c r="CK63" s="33">
        <f>SUMIFS($D:$D,$E:$E,"FAUX",$G:$G,"K6",$M:$M,"L",$N:$N,"K*")*SUMIFS($J:$J,$O:$O,"J_1_1")</f>
        <v>0</v>
      </c>
      <c r="CL63" s="29">
        <f>SUMIFS($D:$D,$E:$E,"FAUX",$G:$G,"K6",$M:$M,"L",$N:$N,"K*")*SUMIFS($J:$J,$O:$O,"J_1_2")</f>
        <v>0</v>
      </c>
      <c r="CM63" s="29">
        <f>SUMIFS($D:$D,$E:$E,"FAUX",$G:$G,"K6",$M:$M,"L",$N:$N,"K*")*SUMIFS($J:$J,$O:$O,"J_1_3")</f>
        <v>0</v>
      </c>
      <c r="CN63" s="29">
        <f>SUMIFS($D:$D,$E:$E,"FAUX",$G:$G,"K6",$M:$M,"L",$N:$N,"K*")*SUMIFS($J:$J,$O:$O,"J_1_4")</f>
        <v>0</v>
      </c>
      <c r="CO63" s="29">
        <f>SUMIFS($D:$D,$E:$E,"FAUX",$G:$G,"K6",$M:$M,"L",$N:$N,"K*")*SUMIFS($J:$J,$O:$O,"J_1_5")</f>
        <v>0</v>
      </c>
      <c r="CP63" s="30">
        <f>SUMIFS($D:$D,$E:$E,"FAUX",$G:$G,"K6",$M:$M,"L",$N:$N,"K*")*SUMIFS($J:$J,$O:$O,"J_1_6")</f>
        <v>0</v>
      </c>
    </row>
    <row r="64" spans="1:94">
      <c r="A64" s="35" t="s">
        <v>11</v>
      </c>
      <c r="B64" s="35">
        <v>3</v>
      </c>
      <c r="C64" s="35">
        <v>2</v>
      </c>
      <c r="D64" s="35">
        <v>339</v>
      </c>
      <c r="E64" s="35" t="b">
        <v>1</v>
      </c>
      <c r="F64" s="35" t="s">
        <v>21</v>
      </c>
      <c r="G64" s="53" t="str">
        <f t="shared" si="0"/>
        <v>D3</v>
      </c>
      <c r="H64" s="52" t="str">
        <f t="shared" si="5"/>
        <v>E</v>
      </c>
      <c r="I64" s="41" t="str">
        <f t="shared" si="1"/>
        <v>D2</v>
      </c>
      <c r="J64" s="42">
        <f t="shared" si="2"/>
        <v>0.27316680096696211</v>
      </c>
      <c r="K64" s="41">
        <f t="shared" si="6"/>
        <v>1241</v>
      </c>
      <c r="L64" s="41" t="str">
        <f t="shared" si="3"/>
        <v>D3</v>
      </c>
      <c r="M64" s="41" t="str">
        <f t="shared" si="7"/>
        <v/>
      </c>
      <c r="N64" s="41" t="str">
        <f>IFERROR(VLOOKUP(I64,L64:L:L,1,FALSE),"")</f>
        <v/>
      </c>
      <c r="O64" s="56" t="str">
        <f t="shared" si="8"/>
        <v>D_3_2</v>
      </c>
      <c r="U64" t="s">
        <v>66</v>
      </c>
      <c r="V64">
        <f>SUMIFS(D:D,A:A,"H",B:B,"4")</f>
        <v>0</v>
      </c>
      <c r="Z64" t="str">
        <f t="shared" si="9"/>
        <v>K1</v>
      </c>
      <c r="AA64" t="str">
        <f t="shared" si="10"/>
        <v>K1</v>
      </c>
      <c r="AB64" s="34" t="s">
        <v>81</v>
      </c>
      <c r="AC64" s="43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0</v>
      </c>
      <c r="AD64" s="44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4" s="44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0</v>
      </c>
      <c r="AF64" s="44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4" s="44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4" s="44">
        <f>SUMIFS($D:$D,$E:$E,"FAUX",$G:$G,"K1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4" s="13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0</v>
      </c>
      <c r="AJ64" s="14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4" s="14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4" s="14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0</v>
      </c>
      <c r="AM64" s="14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4" s="14">
        <f>SUMIFS($D:$D,$E:$E,"FAUX",$G:$G,"K1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4" s="43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0</v>
      </c>
      <c r="AP64" s="44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4" s="44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4" s="44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4" s="44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4" s="44">
        <f>SUMIFS($D:$D,$E:$E,"FAUX",$G:$G,"K1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4" s="43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0</v>
      </c>
      <c r="AV64" s="44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0</v>
      </c>
      <c r="AW64" s="44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4" s="44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0</v>
      </c>
      <c r="AY64" s="44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4" s="44">
        <f>SUMIFS($D:$D,$E:$E,"FAUX",$G:$G,"K1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4" s="43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0</v>
      </c>
      <c r="BB64" s="44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4" s="44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0</v>
      </c>
      <c r="BD64" s="44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4" s="44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4" s="44">
        <f>SUMIFS($D:$D,$E:$E,"FAUX",$G:$G,"K1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4" s="43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1",$F:$F,"G")</f>
        <v>0</v>
      </c>
      <c r="BH64" s="44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2",$F:$F,"G")</f>
        <v>0</v>
      </c>
      <c r="BI64" s="44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4" s="44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4",$F:$F,"G")</f>
        <v>0</v>
      </c>
      <c r="BK64" s="44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4" s="45">
        <f>SUMIFS($D:$D,$E:$E,"FAUX",$G:$G,"K1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4" s="43">
        <f>SUMIFS($D:$D,$E:$E,"FAUX",$G:$G,"K1",$M:$M,"J",$N:$N,"K*")*SUMIFS($J:$J,$E:$E,"VRAI",$F:$F,"I",$M:$M,"G")*SUMIFS($J:$J,$E:$E,"VRAI",$F:$F,"J",$M:$M,"H")*SUMIFS($J:$J,$E:$E,"VRAI",$F:$F,"K",$M:$M,"I")*SUMIFS($J:$J,$E:$E,"VRAI",$I:$I,"G1",$F:$F,"H")</f>
        <v>0</v>
      </c>
      <c r="BN64" s="44">
        <f>SUMIFS($D:$D,$E:$E,"FAUX",$G:$G,"K1",$M:$M,"J",$N:$N,"K*")*SUMIFS($J:$J,$E:$E,"VRAI",$F:$F,"I",$M:$M,"G")*SUMIFS($J:$J,$E:$E,"VRAI",$F:$F,"J",$M:$M,"H")*SUMIFS($J:$J,$E:$E,"VRAI",$F:$F,"K",$M:$M,"I")*SUMIFS($J:$J,$E:$E,"VRAI",$I:$I,"G2",$F:$F,"H")</f>
        <v>0</v>
      </c>
      <c r="BO64" s="44">
        <f>SUMIFS($D:$D,$E:$E,"FAUX",$G:$G,"K1",$M:$M,"J",$N:$N,"K*")*SUMIFS($J:$J,$E:$E,"VRAI",$F:$F,"I",$M:$M,"G")*SUMIFS($J:$J,$E:$E,"VRAI",$F:$F,"J",$M:$M,"H")*SUMIFS($J:$J,$E:$E,"VRAI",$F:$F,"K",$M:$M,"I")*SUMIFS($J:$J,$E:$E,"VRAI",$I:$I,"G3",$F:$F,"H")</f>
        <v>0</v>
      </c>
      <c r="BP64" s="44">
        <f>SUMIFS($D:$D,$E:$E,"FAUX",$G:$G,"K1",$M:$M,"J",$N:$N,"K*")*SUMIFS($J:$J,$E:$E,"VRAI",$F:$F,"I",$M:$M,"G")*SUMIFS($J:$J,$E:$E,"VRAI",$F:$F,"J",$M:$M,"H")*SUMIFS($J:$J,$E:$E,"VRAI",$F:$F,"K",$M:$M,"I")*SUMIFS($J:$J,$E:$E,"VRAI",$I:$I,"G4",$F:$F,"H")</f>
        <v>0</v>
      </c>
      <c r="BQ64" s="44">
        <f>SUMIFS($D:$D,$E:$E,"FAUX",$G:$G,"K1",$M:$M,"J",$N:$N,"K*")*SUMIFS($J:$J,$E:$E,"VRAI",$F:$F,"I",$M:$M,"G")*SUMIFS($J:$J,$E:$E,"VRAI",$F:$F,"J",$M:$M,"H")*SUMIFS($J:$J,$E:$E,"VRAI",$F:$F,"K",$M:$M,"I")*SUMIFS($J:$J,$E:$E,"VRAI",$I:$I,"G5",$F:$F,"H")</f>
        <v>0</v>
      </c>
      <c r="BR64" s="45">
        <f>SUMIFS($D:$D,$E:$E,"FAUX",$G:$G,"K1",$M:$M,"J",$N:$N,"K*")*SUMIFS($J:$J,$E:$E,"VRAI",$F:$F,"I",$M:$M,"G")*SUMIFS($J:$J,$E:$E,"VRAI",$F:$F,"J",$M:$M,"H")*SUMIFS($J:$J,$E:$E,"VRAI",$F:$F,"K",$M:$M,"I")*SUMIFS($J:$J,$E:$E,"VRAI",$I:$I,"G6",$F:$F,"H")</f>
        <v>0</v>
      </c>
      <c r="BS64" s="43">
        <f>SUMIFS($D:$D,$E:$E,"FAUX",$G:$G,"K1",$M:$M,"J",$N:$N,"K*")*SUMIFS($J:$J,$E:$E,"VRAI",$F:$F,"J",$M:$M,"H")*SUMIFS($J:$J,$E:$E,"VRAI",$F:$F,"K",$M:$M,"I")*SUMIFS($J:$J,$E:$E,"VRAI",$I:$I,"H1",$F:$F,"I")</f>
        <v>0</v>
      </c>
      <c r="BT64" s="44">
        <f>SUMIFS($D:$D,$E:$E,"FAUX",$G:$G,"K1",$M:$M,"J",$N:$N,"K*")*SUMIFS($J:$J,$E:$E,"VRAI",$F:$F,"J",$M:$M,"H")*SUMIFS($J:$J,$E:$E,"VRAI",$F:$F,"K",$M:$M,"I")*SUMIFS($J:$J,$E:$E,"VRAI",$I:$I,"H2",$F:$F,"I")</f>
        <v>0</v>
      </c>
      <c r="BU64" s="44">
        <f>SUMIFS($D:$D,$E:$E,"FAUX",$G:$G,"K1",$M:$M,"J",$N:$N,"K*")*SUMIFS($J:$J,$E:$E,"VRAI",$F:$F,"J",$M:$M,"H")*SUMIFS($J:$J,$E:$E,"VRAI",$F:$F,"K",$M:$M,"I")*SUMIFS($J:$J,$E:$E,"VRAI",$I:$I,"H3",$F:$F,"I")</f>
        <v>0</v>
      </c>
      <c r="BV64" s="44">
        <f>SUMIFS($D:$D,$E:$E,"FAUX",$G:$G,"K1",$M:$M,"J",$N:$N,"K*")*SUMIFS($J:$J,$E:$E,"VRAI",$F:$F,"J",$M:$M,"H")*SUMIFS($J:$J,$E:$E,"VRAI",$F:$F,"K",$M:$M,"I")*SUMIFS($J:$J,$E:$E,"VRAI",$I:$I,"H4",$F:$F,"I")</f>
        <v>0</v>
      </c>
      <c r="BW64" s="44">
        <f>SUMIFS($D:$D,$E:$E,"FAUX",$G:$G,"K1",$M:$M,"J",$N:$N,"K*")*SUMIFS($J:$J,$E:$E,"VRAI",$F:$F,"J",$M:$M,"H")*SUMIFS($J:$J,$E:$E,"VRAI",$F:$F,"K",$M:$M,"I")*SUMIFS($J:$J,$E:$E,"VRAI",$I:$I,"H5",$F:$F,"I")</f>
        <v>0</v>
      </c>
      <c r="BX64" s="45">
        <f>SUMIFS($D:$D,$E:$E,"FAUX",$G:$G,"K1",$M:$M,"J",$N:$N,"K*")*SUMIFS($J:$J,$E:$E,"VRAI",$F:$F,"J",$M:$M,"H")*SUMIFS($J:$J,$E:$E,"VRAI",$F:$F,"K",$M:$M,"I")*SUMIFS($J:$J,$E:$E,"VRAI",$I:$I,"H6",$F:$F,"I")</f>
        <v>0</v>
      </c>
      <c r="BY64" s="13">
        <f>SUMIFS($D:$D,$E:$E,"FAUX",$G:$G,"K1",$M:$M,"J",$N:$N,"K*")*SUMIFS($J:$J,$E:$E,"VRAI",$F:$F,"K",$M:$M,"I")*SUMIFS($J:$J,$E:$E,"VRAI",$I:$I,"I1",$F:$F,"J")</f>
        <v>0</v>
      </c>
      <c r="BZ64" s="14">
        <f>SUMIFS($D:$D,$E:$E,"FAUX",$G:$G,"K1",$M:$M,"J",$N:$N,"K*")*SUMIFS($J:$J,$E:$E,"VRAI",$F:$F,"K",$M:$M,"I")*SUMIFS($J:$J,$E:$E,"VRAI",$I:$I,"I2",$F:$F,"J")</f>
        <v>0</v>
      </c>
      <c r="CA64" s="14">
        <f>SUMIFS($D:$D,$E:$E,"FAUX",$G:$G,"K1",$M:$M,"J",$N:$N,"K*")*SUMIFS($J:$J,$E:$E,"VRAI",$F:$F,"K",$M:$M,"I")*SUMIFS($J:$J,$E:$E,"VRAI",$I:$I,"I3",$F:$F,"J")</f>
        <v>0</v>
      </c>
      <c r="CB64" s="14">
        <f>SUMIFS($D:$D,$E:$E,"FAUX",$G:$G,"K1",$M:$M,"J",$N:$N,"K*")*SUMIFS($J:$J,$E:$E,"VRAI",$F:$F,"K",$M:$M,"I")*SUMIFS($J:$J,$E:$E,"VRAI",$I:$I,"I4",$F:$F,"J")</f>
        <v>0</v>
      </c>
      <c r="CC64" s="14">
        <f>SUMIFS($D:$D,$E:$E,"FAUX",$G:$G,"K1",$M:$M,"J",$N:$N,"K*")*SUMIFS($J:$J,$E:$E,"VRAI",$F:$F,"K",$M:$M,"I")*SUMIFS($J:$J,$E:$E,"VRAI",$I:$I,"I5",$F:$F,"J")</f>
        <v>0</v>
      </c>
      <c r="CD64" s="15">
        <f>SUMIFS($D:$D,$E:$E,"FAUX",$G:$G,"K1",$M:$M,"J",$N:$N,"K*")*SUMIFS($J:$J,$E:$E,"VRAI",$F:$F,"K",$M:$M,"I")*SUMIFS($J:$J,$E:$E,"VRAI",$I:$I,"I6",$F:$F,"J")</f>
        <v>0</v>
      </c>
      <c r="CE64" s="32">
        <f>SUMIFS($D:$D,$E:$E,"FAUX",$G:$G,"G1",$M:$M,"F",$N:$N,"G*")*SUMIFS($J:$J,$E:$E,"VRAI",$I:$I,"J1",$F:$F,"K")</f>
        <v>0</v>
      </c>
      <c r="CF64" s="25">
        <f>SUMIFS($D:$D,$E:$E,"FAUX",$G:$G,"G1",$M:$M,"F",$N:$N,"G*")*SUMIFS($J:$J,$E:$E,"VRAI",$I:$I,"J2",$F:$F,"K")</f>
        <v>0</v>
      </c>
      <c r="CG64" s="25">
        <f>SUMIFS($D:$D,$E:$E,"FAUX",$G:$G,"G1",$M:$M,"F",$N:$N,"G*")*SUMIFS($J:$J,$E:$E,"VRAI",$I:$I,"J3",$F:$F,"K")</f>
        <v>0</v>
      </c>
      <c r="CH64" s="25">
        <f>SUMIFS($D:$D,$E:$E,"FAUX",$G:$G,"G1",$M:$M,"F",$N:$N,"G*")*SUMIFS($J:$J,$E:$E,"VRAI",$I:$I,"J4",$F:$F,"K")</f>
        <v>0</v>
      </c>
      <c r="CI64" s="25">
        <f>SUMIFS($D:$D,$E:$E,"FAUX",$G:$G,"G1",$M:$M,"F",$N:$N,"G*")*SUMIFS($J:$J,$E:$E,"VRAI",$I:$I,"J5",$F:$F,"K")</f>
        <v>0</v>
      </c>
      <c r="CJ64" s="26">
        <f>SUMIFS($D:$D,$E:$E,"FAUX",$G:$G,"G1",$M:$M,"F",$N:$N,"G*")*SUMIFS($J:$J,$E:$E,"VRAI",$I:$I,"J6",$F:$F,"K")</f>
        <v>0</v>
      </c>
      <c r="CK64" s="38">
        <f>SUMIFS($D:$D,$O:$O,"K_1_1")</f>
        <v>0</v>
      </c>
      <c r="CL64" s="38">
        <f>SUMIFS($D:$D,$O:$O,"K_1_2")</f>
        <v>632</v>
      </c>
      <c r="CM64" s="38">
        <f>SUMIFS($D:$D,$O:$O,"K_1_3")</f>
        <v>403</v>
      </c>
      <c r="CN64" s="38">
        <f>SUMIFS($D:$D,$O:$O,"K_1_4")</f>
        <v>0</v>
      </c>
      <c r="CO64" s="38">
        <f>SUMIFS($D:$D,$O:$O,"K_1_5")</f>
        <v>0</v>
      </c>
      <c r="CP64" s="38">
        <f>SUMIFS($D:$D,$O:$O,"K_1_6")</f>
        <v>0</v>
      </c>
    </row>
    <row r="65" spans="1:94">
      <c r="A65" s="35" t="s">
        <v>11</v>
      </c>
      <c r="B65" s="35">
        <v>3</v>
      </c>
      <c r="C65" s="35">
        <v>3</v>
      </c>
      <c r="D65" s="35">
        <v>0</v>
      </c>
      <c r="E65" s="35" t="b">
        <v>1</v>
      </c>
      <c r="F65" s="35" t="s">
        <v>21</v>
      </c>
      <c r="G65" s="53" t="str">
        <f t="shared" si="0"/>
        <v>D3</v>
      </c>
      <c r="H65" s="52" t="str">
        <f t="shared" si="5"/>
        <v>E</v>
      </c>
      <c r="I65" s="41" t="str">
        <f t="shared" si="1"/>
        <v>D3</v>
      </c>
      <c r="J65" s="42">
        <f t="shared" si="2"/>
        <v>0</v>
      </c>
      <c r="K65" s="41">
        <f t="shared" si="6"/>
        <v>1241</v>
      </c>
      <c r="L65" s="41" t="str">
        <f t="shared" si="3"/>
        <v>D3</v>
      </c>
      <c r="M65" s="41" t="str">
        <f t="shared" si="7"/>
        <v>E</v>
      </c>
      <c r="N65" s="41" t="str">
        <f>IFERROR(VLOOKUP(I65,L65:L:L,1,FALSE),"")</f>
        <v>D3</v>
      </c>
      <c r="O65" s="56" t="str">
        <f t="shared" si="8"/>
        <v>D_3_3</v>
      </c>
      <c r="U65" t="s">
        <v>67</v>
      </c>
      <c r="V65">
        <f>SUMIFS(D:D,A:A,"H",B:B,"5")</f>
        <v>0</v>
      </c>
      <c r="Z65" t="e">
        <f t="shared" si="9"/>
        <v>#N/A</v>
      </c>
      <c r="AA65" t="str">
        <f t="shared" si="10"/>
        <v>K2</v>
      </c>
      <c r="AB65" s="34" t="s">
        <v>82</v>
      </c>
      <c r="AC65" s="46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111.0913917127716</v>
      </c>
      <c r="AD65" s="47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5" s="47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70.429662248917907</v>
      </c>
      <c r="AF65" s="47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5" s="47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5" s="47">
        <f>SUMIFS($D:$D,$E:$E,"FAUX",$G:$G,"K2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5" s="16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181.52105396168946</v>
      </c>
      <c r="AJ65" s="17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5" s="17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5" s="17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14.635271498716239</v>
      </c>
      <c r="AM65" s="17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5" s="17">
        <f>SUMIFS($D:$D,$E:$E,"FAUX",$G:$G,"K2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5" s="46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196.1563254604057</v>
      </c>
      <c r="AP65" s="47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5" s="47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5" s="47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5" s="47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5" s="47">
        <f>SUMIFS($D:$D,$E:$E,"FAUX",$G:$G,"K2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5" s="46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196.15632546040572</v>
      </c>
      <c r="AV65" s="47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85.361995290215077</v>
      </c>
      <c r="AW65" s="47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5" s="47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30.972051388485117</v>
      </c>
      <c r="AY65" s="47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5" s="47">
        <f>SUMIFS($D:$D,$E:$E,"FAUX",$G:$G,"K2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5" s="46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312.49037213910594</v>
      </c>
      <c r="BB65" s="47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5" s="47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44.804555640036192</v>
      </c>
      <c r="BD65" s="47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5" s="47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5" s="47">
        <f>SUMIFS($D:$D,$E:$E,"FAUX",$G:$G,"K2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5" s="46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1",$F:$F,"G")</f>
        <v>357.2949277791422</v>
      </c>
      <c r="BH65" s="47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2",$F:$F,"G")</f>
        <v>92.765563817887369</v>
      </c>
      <c r="BI65" s="47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5" s="47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4",$F:$F,"G")</f>
        <v>78.3426493020321</v>
      </c>
      <c r="BK65" s="47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5" s="48">
        <f>SUMIFS($D:$D,$E:$E,"FAUX",$G:$G,"K2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5" s="46">
        <f>SUMIFS($D:$D,$E:$E,"FAUX",$G:$G,"K2",$M:$M,"J",$N:$N,"K*")*SUMIFS($J:$J,$E:$E,"VRAI",$F:$F,"I",$M:$M,"G")*SUMIFS($J:$J,$E:$E,"VRAI",$F:$F,"J",$M:$M,"H")*SUMIFS($J:$J,$E:$E,"VRAI",$F:$F,"K",$M:$M,"I")*SUMIFS($J:$J,$E:$E,"VRAI",$I:$I,"G1",$F:$F,"H")</f>
        <v>528.40314089906167</v>
      </c>
      <c r="BN65" s="47">
        <f>SUMIFS($D:$D,$E:$E,"FAUX",$G:$G,"K2",$M:$M,"J",$N:$N,"K*")*SUMIFS($J:$J,$E:$E,"VRAI",$F:$F,"I",$M:$M,"G")*SUMIFS($J:$J,$E:$E,"VRAI",$F:$F,"J",$M:$M,"H")*SUMIFS($J:$J,$E:$E,"VRAI",$F:$F,"K",$M:$M,"I")*SUMIFS($J:$J,$E:$E,"VRAI",$I:$I,"G2",$F:$F,"H")</f>
        <v>0</v>
      </c>
      <c r="BO65" s="47">
        <f>SUMIFS($D:$D,$E:$E,"FAUX",$G:$G,"K2",$M:$M,"J",$N:$N,"K*")*SUMIFS($J:$J,$E:$E,"VRAI",$F:$F,"I",$M:$M,"G")*SUMIFS($J:$J,$E:$E,"VRAI",$F:$F,"J",$M:$M,"H")*SUMIFS($J:$J,$E:$E,"VRAI",$F:$F,"K",$M:$M,"I")*SUMIFS($J:$J,$E:$E,"VRAI",$I:$I,"G3",$F:$F,"H")</f>
        <v>8.2283495197551915</v>
      </c>
      <c r="BP65" s="47">
        <f>SUMIFS($D:$D,$E:$E,"FAUX",$G:$G,"K2",$M:$M,"J",$N:$N,"K*")*SUMIFS($J:$J,$E:$E,"VRAI",$F:$F,"I",$M:$M,"G")*SUMIFS($J:$J,$E:$E,"VRAI",$F:$F,"J",$M:$M,"H")*SUMIFS($J:$J,$E:$E,"VRAI",$F:$F,"K",$M:$M,"I")*SUMIFS($J:$J,$E:$E,"VRAI",$I:$I,"G4",$F:$F,"H")</f>
        <v>0</v>
      </c>
      <c r="BQ65" s="47">
        <f>SUMIFS($D:$D,$E:$E,"FAUX",$G:$G,"K2",$M:$M,"J",$N:$N,"K*")*SUMIFS($J:$J,$E:$E,"VRAI",$F:$F,"I",$M:$M,"G")*SUMIFS($J:$J,$E:$E,"VRAI",$F:$F,"J",$M:$M,"H")*SUMIFS($J:$J,$E:$E,"VRAI",$F:$F,"K",$M:$M,"I")*SUMIFS($J:$J,$E:$E,"VRAI",$I:$I,"G5",$F:$F,"H")</f>
        <v>0</v>
      </c>
      <c r="BR65" s="48">
        <f>SUMIFS($D:$D,$E:$E,"FAUX",$G:$G,"K2",$M:$M,"J",$N:$N,"K*")*SUMIFS($J:$J,$E:$E,"VRAI",$F:$F,"I",$M:$M,"G")*SUMIFS($J:$J,$E:$E,"VRAI",$F:$F,"J",$M:$M,"H")*SUMIFS($J:$J,$E:$E,"VRAI",$F:$F,"K",$M:$M,"I")*SUMIFS($J:$J,$E:$E,"VRAI",$I:$I,"G6",$F:$F,"H")</f>
        <v>0</v>
      </c>
      <c r="BS65" s="46">
        <f>SUMIFS($D:$D,$E:$E,"FAUX",$G:$G,"K2",$M:$M,"J",$N:$N,"K*")*SUMIFS($J:$J,$E:$E,"VRAI",$F:$F,"J",$M:$M,"H")*SUMIFS($J:$J,$E:$E,"VRAI",$F:$F,"K",$M:$M,"I")*SUMIFS($J:$J,$E:$E,"VRAI",$I:$I,"H1",$F:$F,"I")</f>
        <v>536.63149041881672</v>
      </c>
      <c r="BT65" s="47">
        <f>SUMIFS($D:$D,$E:$E,"FAUX",$G:$G,"K2",$M:$M,"J",$N:$N,"K*")*SUMIFS($J:$J,$E:$E,"VRAI",$F:$F,"J",$M:$M,"H")*SUMIFS($J:$J,$E:$E,"VRAI",$F:$F,"K",$M:$M,"I")*SUMIFS($J:$J,$E:$E,"VRAI",$I:$I,"H2",$F:$F,"I")</f>
        <v>0</v>
      </c>
      <c r="BU65" s="47">
        <f>SUMIFS($D:$D,$E:$E,"FAUX",$G:$G,"K2",$M:$M,"J",$N:$N,"K*")*SUMIFS($J:$J,$E:$E,"VRAI",$F:$F,"J",$M:$M,"H")*SUMIFS($J:$J,$E:$E,"VRAI",$F:$F,"K",$M:$M,"I")*SUMIFS($J:$J,$E:$E,"VRAI",$I:$I,"H3",$F:$F,"I")</f>
        <v>0</v>
      </c>
      <c r="BV65" s="47">
        <f>SUMIFS($D:$D,$E:$E,"FAUX",$G:$G,"K2",$M:$M,"J",$N:$N,"K*")*SUMIFS($J:$J,$E:$E,"VRAI",$F:$F,"J",$M:$M,"H")*SUMIFS($J:$J,$E:$E,"VRAI",$F:$F,"K",$M:$M,"I")*SUMIFS($J:$J,$E:$E,"VRAI",$I:$I,"H4",$F:$F,"I")</f>
        <v>53.183299721089888</v>
      </c>
      <c r="BW65" s="47">
        <f>SUMIFS($D:$D,$E:$E,"FAUX",$G:$G,"K2",$M:$M,"J",$N:$N,"K*")*SUMIFS($J:$J,$E:$E,"VRAI",$F:$F,"J",$M:$M,"H")*SUMIFS($J:$J,$E:$E,"VRAI",$F:$F,"K",$M:$M,"I")*SUMIFS($J:$J,$E:$E,"VRAI",$I:$I,"H5",$F:$F,"I")</f>
        <v>0</v>
      </c>
      <c r="BX65" s="48">
        <f>SUMIFS($D:$D,$E:$E,"FAUX",$G:$G,"K2",$M:$M,"J",$N:$N,"K*")*SUMIFS($J:$J,$E:$E,"VRAI",$F:$F,"J",$M:$M,"H")*SUMIFS($J:$J,$E:$E,"VRAI",$F:$F,"K",$M:$M,"I")*SUMIFS($J:$J,$E:$E,"VRAI",$I:$I,"H6",$F:$F,"I")</f>
        <v>0</v>
      </c>
      <c r="BY65" s="16">
        <f>SUMIFS($D:$D,$E:$E,"FAUX",$G:$G,"K2",$M:$M,"J",$N:$N,"K*")*SUMIFS($J:$J,$E:$E,"VRAI",$F:$F,"K",$M:$M,"I")*SUMIFS($J:$J,$E:$E,"VRAI",$I:$I,"I1",$F:$F,"J")</f>
        <v>589.81479013990668</v>
      </c>
      <c r="BZ65" s="17">
        <f>SUMIFS($D:$D,$E:$E,"FAUX",$G:$G,"K2",$M:$M,"J",$N:$N,"K*")*SUMIFS($J:$J,$E:$E,"VRAI",$F:$F,"K",$M:$M,"I")*SUMIFS($J:$J,$E:$E,"VRAI",$I:$I,"I2",$F:$F,"J")</f>
        <v>0</v>
      </c>
      <c r="CA65" s="17">
        <f>SUMIFS($D:$D,$E:$E,"FAUX",$G:$G,"K2",$M:$M,"J",$N:$N,"K*")*SUMIFS($J:$J,$E:$E,"VRAI",$F:$F,"K",$M:$M,"I")*SUMIFS($J:$J,$E:$E,"VRAI",$I:$I,"I3",$F:$F,"J")</f>
        <v>0</v>
      </c>
      <c r="CB65" s="17">
        <f>SUMIFS($D:$D,$E:$E,"FAUX",$G:$G,"K2",$M:$M,"J",$N:$N,"K*")*SUMIFS($J:$J,$E:$E,"VRAI",$F:$F,"K",$M:$M,"I")*SUMIFS($J:$J,$E:$E,"VRAI",$I:$I,"I4",$F:$F,"J")</f>
        <v>0</v>
      </c>
      <c r="CC65" s="17">
        <f>SUMIFS($D:$D,$E:$E,"FAUX",$G:$G,"K2",$M:$M,"J",$N:$N,"K*")*SUMIFS($J:$J,$E:$E,"VRAI",$F:$F,"K",$M:$M,"I")*SUMIFS($J:$J,$E:$E,"VRAI",$I:$I,"I5",$F:$F,"J")</f>
        <v>0</v>
      </c>
      <c r="CD65" s="18">
        <f>SUMIFS($D:$D,$E:$E,"FAUX",$G:$G,"K2",$M:$M,"J",$N:$N,"K*")*SUMIFS($J:$J,$E:$E,"VRAI",$F:$F,"K",$M:$M,"I")*SUMIFS($J:$J,$E:$E,"VRAI",$I:$I,"I6",$F:$F,"J")</f>
        <v>0</v>
      </c>
      <c r="CE65" s="31">
        <f t="shared" ref="CE65:CE69" si="30">SUMIFS($D:$D,$E:$E,"FAUX",$G:$G,"G1",$M:$M,"F",$N:$N,"G*")*SUMIFS($J:$J,$E:$E,"VRAI",$I:$I,"J1",$F:$F,"K")</f>
        <v>0</v>
      </c>
      <c r="CF65" s="27">
        <f t="shared" ref="CF65:CF69" si="31">SUMIFS($D:$D,$E:$E,"FAUX",$G:$G,"G1",$M:$M,"F",$N:$N,"G*")*SUMIFS($J:$J,$E:$E,"VRAI",$I:$I,"J2",$F:$F,"K")</f>
        <v>0</v>
      </c>
      <c r="CG65" s="27">
        <f t="shared" ref="CG65:CG69" si="32">SUMIFS($D:$D,$E:$E,"FAUX",$G:$G,"G1",$M:$M,"F",$N:$N,"G*")*SUMIFS($J:$J,$E:$E,"VRAI",$I:$I,"J3",$F:$F,"K")</f>
        <v>0</v>
      </c>
      <c r="CH65" s="27">
        <f t="shared" ref="CH65:CH69" si="33">SUMIFS($D:$D,$E:$E,"FAUX",$G:$G,"G1",$M:$M,"F",$N:$N,"G*")*SUMIFS($J:$J,$E:$E,"VRAI",$I:$I,"J4",$F:$F,"K")</f>
        <v>0</v>
      </c>
      <c r="CI65" s="27">
        <f t="shared" ref="CI65:CI69" si="34">SUMIFS($D:$D,$E:$E,"FAUX",$G:$G,"G1",$M:$M,"F",$N:$N,"G*")*SUMIFS($J:$J,$E:$E,"VRAI",$I:$I,"J5",$F:$F,"K")</f>
        <v>0</v>
      </c>
      <c r="CJ65" s="28">
        <f t="shared" ref="CJ65:CJ69" si="35">SUMIFS($D:$D,$E:$E,"FAUX",$G:$G,"G1",$M:$M,"F",$N:$N,"G*")*SUMIFS($J:$J,$E:$E,"VRAI",$I:$I,"J6",$F:$F,"K")</f>
        <v>0</v>
      </c>
      <c r="CK65" s="54">
        <f>SUMIFS($D:$D,$O:$O,"K_2_1")</f>
        <v>954</v>
      </c>
      <c r="CL65" s="54">
        <f>SUMIFS($D:$D,$O:$O,"K_2_2")</f>
        <v>0</v>
      </c>
      <c r="CM65" s="54">
        <f>SUMIFS($D:$D,$O:$O,"K_2_3")</f>
        <v>168</v>
      </c>
      <c r="CN65" s="54">
        <f>SUMIFS($D:$D,$O:$O,"K_2_4")</f>
        <v>0</v>
      </c>
      <c r="CO65" s="54">
        <f>SUMIFS($D:$D,$O:$O,"K_2_5")</f>
        <v>0</v>
      </c>
      <c r="CP65" s="54">
        <f>SUMIFS($D:$D,$O:$O,"K_2_6")</f>
        <v>0</v>
      </c>
    </row>
    <row r="66" spans="1:94">
      <c r="A66" s="35" t="s">
        <v>11</v>
      </c>
      <c r="B66" s="35">
        <v>4</v>
      </c>
      <c r="C66" s="35">
        <v>1</v>
      </c>
      <c r="D66" s="35">
        <v>0</v>
      </c>
      <c r="E66" s="35" t="b">
        <v>0</v>
      </c>
      <c r="F66" s="35"/>
      <c r="G66" s="53" t="str">
        <f t="shared" si="0"/>
        <v>D4</v>
      </c>
      <c r="H66" s="52" t="str">
        <f t="shared" si="5"/>
        <v/>
      </c>
      <c r="I66" s="41" t="str">
        <f t="shared" si="1"/>
        <v>D1</v>
      </c>
      <c r="J66" s="42" t="e">
        <f t="shared" si="2"/>
        <v>#DIV/0!</v>
      </c>
      <c r="K66" s="41">
        <f t="shared" si="6"/>
        <v>0</v>
      </c>
      <c r="L66" s="41" t="str">
        <f t="shared" si="3"/>
        <v/>
      </c>
      <c r="M66" s="41" t="str">
        <f t="shared" si="7"/>
        <v>C</v>
      </c>
      <c r="N66" s="41" t="str">
        <f>IFERROR(VLOOKUP(I66,L66:L:L,1,FALSE),"")</f>
        <v>D1</v>
      </c>
      <c r="O66" s="56" t="str">
        <f t="shared" si="8"/>
        <v>D_4_1</v>
      </c>
      <c r="U66" t="s">
        <v>68</v>
      </c>
      <c r="V66">
        <f>SUMIFS(D:D,A:A,"H",B:B,"6")</f>
        <v>0</v>
      </c>
      <c r="Z66" t="e">
        <f t="shared" si="9"/>
        <v>#N/A</v>
      </c>
      <c r="AA66" t="str">
        <f t="shared" si="10"/>
        <v>K3</v>
      </c>
      <c r="AB66" s="34" t="s">
        <v>83</v>
      </c>
      <c r="AC66" s="46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62.765471837718948</v>
      </c>
      <c r="AD66" s="47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6" s="47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39.792020914220906</v>
      </c>
      <c r="AF66" s="47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6" s="47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6" s="47">
        <f>SUMIFS($D:$D,$E:$E,"FAUX",$G:$G,"K3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6" s="16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102.55749275193986</v>
      </c>
      <c r="AJ66" s="17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6" s="17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6" s="17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8.2687749872201817</v>
      </c>
      <c r="AM66" s="17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6" s="17">
        <f>SUMIFS($D:$D,$E:$E,"FAUX",$G:$G,"K3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6" s="46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110.82626773916004</v>
      </c>
      <c r="AP66" s="47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6" s="47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6" s="47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6" s="47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6" s="47">
        <f>SUMIFS($D:$D,$E:$E,"FAUX",$G:$G,"K3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6" s="46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110.82626773916004</v>
      </c>
      <c r="AV66" s="47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48.228632559146675</v>
      </c>
      <c r="AW66" s="47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6" s="47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17.498884379867377</v>
      </c>
      <c r="AY66" s="47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6" s="47">
        <f>SUMIFS($D:$D,$E:$E,"FAUX",$G:$G,"K3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6" s="46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176.55378467817411</v>
      </c>
      <c r="BB66" s="47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6" s="47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25.314104287190261</v>
      </c>
      <c r="BD66" s="47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6" s="47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6" s="47">
        <f>SUMIFS($D:$D,$E:$E,"FAUX",$G:$G,"K3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6" s="46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1",$F:$F,"G")</f>
        <v>201.86788896536439</v>
      </c>
      <c r="BH66" s="47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2",$F:$F,"G")</f>
        <v>52.411571171741393</v>
      </c>
      <c r="BI66" s="47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6" s="47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4",$F:$F,"G")</f>
        <v>44.262775653873476</v>
      </c>
      <c r="BK66" s="47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6" s="48">
        <f>SUMIFS($D:$D,$E:$E,"FAUX",$G:$G,"K3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6" s="46">
        <f>SUMIFS($D:$D,$E:$E,"FAUX",$G:$G,"K3",$M:$M,"J",$N:$N,"K*")*SUMIFS($J:$J,$E:$E,"VRAI",$F:$F,"I",$M:$M,"G")*SUMIFS($J:$J,$E:$E,"VRAI",$F:$F,"J",$M:$M,"H")*SUMIFS($J:$J,$E:$E,"VRAI",$F:$F,"K",$M:$M,"I")*SUMIFS($J:$J,$E:$E,"VRAI",$I:$I,"G1",$F:$F,"H")</f>
        <v>298.54223579097925</v>
      </c>
      <c r="BN66" s="47">
        <f>SUMIFS($D:$D,$E:$E,"FAUX",$G:$G,"K3",$M:$M,"J",$N:$N,"K*")*SUMIFS($J:$J,$E:$E,"VRAI",$F:$F,"I",$M:$M,"G")*SUMIFS($J:$J,$E:$E,"VRAI",$F:$F,"J",$M:$M,"H")*SUMIFS($J:$J,$E:$E,"VRAI",$F:$F,"K",$M:$M,"I")*SUMIFS($J:$J,$E:$E,"VRAI",$I:$I,"G2",$F:$F,"H")</f>
        <v>0</v>
      </c>
      <c r="BO66" s="47">
        <f>SUMIFS($D:$D,$E:$E,"FAUX",$G:$G,"K3",$M:$M,"J",$N:$N,"K*")*SUMIFS($J:$J,$E:$E,"VRAI",$F:$F,"I",$M:$M,"G")*SUMIFS($J:$J,$E:$E,"VRAI",$F:$F,"J",$M:$M,"H")*SUMIFS($J:$J,$E:$E,"VRAI",$F:$F,"K",$M:$M,"I")*SUMIFS($J:$J,$E:$E,"VRAI",$I:$I,"G3",$F:$F,"H")</f>
        <v>4.6489312276184984</v>
      </c>
      <c r="BP66" s="47">
        <f>SUMIFS($D:$D,$E:$E,"FAUX",$G:$G,"K3",$M:$M,"J",$N:$N,"K*")*SUMIFS($J:$J,$E:$E,"VRAI",$F:$F,"I",$M:$M,"G")*SUMIFS($J:$J,$E:$E,"VRAI",$F:$F,"J",$M:$M,"H")*SUMIFS($J:$J,$E:$E,"VRAI",$F:$F,"K",$M:$M,"I")*SUMIFS($J:$J,$E:$E,"VRAI",$I:$I,"G4",$F:$F,"H")</f>
        <v>0</v>
      </c>
      <c r="BQ66" s="47">
        <f>SUMIFS($D:$D,$E:$E,"FAUX",$G:$G,"K3",$M:$M,"J",$N:$N,"K*")*SUMIFS($J:$J,$E:$E,"VRAI",$F:$F,"I",$M:$M,"G")*SUMIFS($J:$J,$E:$E,"VRAI",$F:$F,"J",$M:$M,"H")*SUMIFS($J:$J,$E:$E,"VRAI",$F:$F,"K",$M:$M,"I")*SUMIFS($J:$J,$E:$E,"VRAI",$I:$I,"G5",$F:$F,"H")</f>
        <v>0</v>
      </c>
      <c r="BR66" s="48">
        <f>SUMIFS($D:$D,$E:$E,"FAUX",$G:$G,"K3",$M:$M,"J",$N:$N,"K*")*SUMIFS($J:$J,$E:$E,"VRAI",$F:$F,"I",$M:$M,"G")*SUMIFS($J:$J,$E:$E,"VRAI",$F:$F,"J",$M:$M,"H")*SUMIFS($J:$J,$E:$E,"VRAI",$F:$F,"K",$M:$M,"I")*SUMIFS($J:$J,$E:$E,"VRAI",$I:$I,"G6",$F:$F,"H")</f>
        <v>0</v>
      </c>
      <c r="BS66" s="46">
        <f>SUMIFS($D:$D,$E:$E,"FAUX",$G:$G,"K3",$M:$M,"J",$N:$N,"K*")*SUMIFS($J:$J,$E:$E,"VRAI",$F:$F,"J",$M:$M,"H")*SUMIFS($J:$J,$E:$E,"VRAI",$F:$F,"K",$M:$M,"I")*SUMIFS($J:$J,$E:$E,"VRAI",$I:$I,"H1",$F:$F,"I")</f>
        <v>303.19116701859775</v>
      </c>
      <c r="BT66" s="47">
        <f>SUMIFS($D:$D,$E:$E,"FAUX",$G:$G,"K3",$M:$M,"J",$N:$N,"K*")*SUMIFS($J:$J,$E:$E,"VRAI",$F:$F,"J",$M:$M,"H")*SUMIFS($J:$J,$E:$E,"VRAI",$F:$F,"K",$M:$M,"I")*SUMIFS($J:$J,$E:$E,"VRAI",$I:$I,"H2",$F:$F,"I")</f>
        <v>0</v>
      </c>
      <c r="BU66" s="47">
        <f>SUMIFS($D:$D,$E:$E,"FAUX",$G:$G,"K3",$M:$M,"J",$N:$N,"K*")*SUMIFS($J:$J,$E:$E,"VRAI",$F:$F,"J",$M:$M,"H")*SUMIFS($J:$J,$E:$E,"VRAI",$F:$F,"K",$M:$M,"I")*SUMIFS($J:$J,$E:$E,"VRAI",$I:$I,"H3",$F:$F,"I")</f>
        <v>0</v>
      </c>
      <c r="BV66" s="47">
        <f>SUMIFS($D:$D,$E:$E,"FAUX",$G:$G,"K3",$M:$M,"J",$N:$N,"K*")*SUMIFS($J:$J,$E:$E,"VRAI",$F:$F,"J",$M:$M,"H")*SUMIFS($J:$J,$E:$E,"VRAI",$F:$F,"K",$M:$M,"I")*SUMIFS($J:$J,$E:$E,"VRAI",$I:$I,"H4",$F:$F,"I")</f>
        <v>30.048006865479508</v>
      </c>
      <c r="BW66" s="47">
        <f>SUMIFS($D:$D,$E:$E,"FAUX",$G:$G,"K3",$M:$M,"J",$N:$N,"K*")*SUMIFS($J:$J,$E:$E,"VRAI",$F:$F,"J",$M:$M,"H")*SUMIFS($J:$J,$E:$E,"VRAI",$F:$F,"K",$M:$M,"I")*SUMIFS($J:$J,$E:$E,"VRAI",$I:$I,"H5",$F:$F,"I")</f>
        <v>0</v>
      </c>
      <c r="BX66" s="48">
        <f>SUMIFS($D:$D,$E:$E,"FAUX",$G:$G,"K3",$M:$M,"J",$N:$N,"K*")*SUMIFS($J:$J,$E:$E,"VRAI",$F:$F,"J",$M:$M,"H")*SUMIFS($J:$J,$E:$E,"VRAI",$F:$F,"K",$M:$M,"I")*SUMIFS($J:$J,$E:$E,"VRAI",$I:$I,"H6",$F:$F,"I")</f>
        <v>0</v>
      </c>
      <c r="BY66" s="16">
        <f>SUMIFS($D:$D,$E:$E,"FAUX",$G:$G,"K3",$M:$M,"J",$N:$N,"K*")*SUMIFS($J:$J,$E:$E,"VRAI",$F:$F,"K",$M:$M,"I")*SUMIFS($J:$J,$E:$E,"VRAI",$I:$I,"I1",$F:$F,"J")</f>
        <v>333.23917388407727</v>
      </c>
      <c r="BZ66" s="17">
        <f>SUMIFS($D:$D,$E:$E,"FAUX",$G:$G,"K3",$M:$M,"J",$N:$N,"K*")*SUMIFS($J:$J,$E:$E,"VRAI",$F:$F,"K",$M:$M,"I")*SUMIFS($J:$J,$E:$E,"VRAI",$I:$I,"I2",$F:$F,"J")</f>
        <v>0</v>
      </c>
      <c r="CA66" s="17">
        <f>SUMIFS($D:$D,$E:$E,"FAUX",$G:$G,"K3",$M:$M,"J",$N:$N,"K*")*SUMIFS($J:$J,$E:$E,"VRAI",$F:$F,"K",$M:$M,"I")*SUMIFS($J:$J,$E:$E,"VRAI",$I:$I,"I3",$F:$F,"J")</f>
        <v>0</v>
      </c>
      <c r="CB66" s="17">
        <f>SUMIFS($D:$D,$E:$E,"FAUX",$G:$G,"K3",$M:$M,"J",$N:$N,"K*")*SUMIFS($J:$J,$E:$E,"VRAI",$F:$F,"K",$M:$M,"I")*SUMIFS($J:$J,$E:$E,"VRAI",$I:$I,"I4",$F:$F,"J")</f>
        <v>0</v>
      </c>
      <c r="CC66" s="17">
        <f>SUMIFS($D:$D,$E:$E,"FAUX",$G:$G,"K3",$M:$M,"J",$N:$N,"K*")*SUMIFS($J:$J,$E:$E,"VRAI",$F:$F,"K",$M:$M,"I")*SUMIFS($J:$J,$E:$E,"VRAI",$I:$I,"I5",$F:$F,"J")</f>
        <v>0</v>
      </c>
      <c r="CD66" s="18">
        <f>SUMIFS($D:$D,$E:$E,"FAUX",$G:$G,"K3",$M:$M,"J",$N:$N,"K*")*SUMIFS($J:$J,$E:$E,"VRAI",$F:$F,"K",$M:$M,"I")*SUMIFS($J:$J,$E:$E,"VRAI",$I:$I,"I6",$F:$F,"J")</f>
        <v>0</v>
      </c>
      <c r="CE66" s="31">
        <f t="shared" si="30"/>
        <v>0</v>
      </c>
      <c r="CF66" s="27">
        <f t="shared" si="31"/>
        <v>0</v>
      </c>
      <c r="CG66" s="27">
        <f t="shared" si="32"/>
        <v>0</v>
      </c>
      <c r="CH66" s="27">
        <f t="shared" si="33"/>
        <v>0</v>
      </c>
      <c r="CI66" s="27">
        <f t="shared" si="34"/>
        <v>0</v>
      </c>
      <c r="CJ66" s="28">
        <f t="shared" si="35"/>
        <v>0</v>
      </c>
      <c r="CK66" s="54">
        <f>SUMIFS($D:$D,$O:$O,"K_3_1")</f>
        <v>539</v>
      </c>
      <c r="CL66" s="54">
        <f>SUMIFS($D:$D,$O:$O,"K_3_2")</f>
        <v>126</v>
      </c>
      <c r="CM66" s="54">
        <f>SUMIFS($D:$D,$O:$O,"K_3_3")</f>
        <v>0</v>
      </c>
      <c r="CN66" s="54">
        <f>SUMIFS($D:$D,$O:$O,"K_3_4")</f>
        <v>0</v>
      </c>
      <c r="CO66" s="54">
        <f>SUMIFS($D:$D,$O:$O,"K_3_5")</f>
        <v>0</v>
      </c>
      <c r="CP66" s="54">
        <f>SUMIFS($D:$D,$O:$O,"K_3_6")</f>
        <v>0</v>
      </c>
    </row>
    <row r="67" spans="1:94">
      <c r="A67" s="35" t="s">
        <v>11</v>
      </c>
      <c r="B67" s="35">
        <v>4</v>
      </c>
      <c r="C67" s="35">
        <v>2</v>
      </c>
      <c r="D67" s="35">
        <v>0</v>
      </c>
      <c r="E67" s="35" t="b">
        <v>0</v>
      </c>
      <c r="F67" s="35"/>
      <c r="G67" s="53" t="str">
        <f t="shared" si="0"/>
        <v>D4</v>
      </c>
      <c r="H67" s="52" t="str">
        <f t="shared" si="5"/>
        <v/>
      </c>
      <c r="I67" s="41" t="str">
        <f t="shared" si="1"/>
        <v>D2</v>
      </c>
      <c r="J67" s="42" t="e">
        <f t="shared" si="2"/>
        <v>#DIV/0!</v>
      </c>
      <c r="K67" s="41">
        <f t="shared" si="6"/>
        <v>0</v>
      </c>
      <c r="L67" s="41" t="str">
        <f t="shared" si="3"/>
        <v/>
      </c>
      <c r="M67" s="41" t="str">
        <f t="shared" si="7"/>
        <v/>
      </c>
      <c r="N67" s="41" t="str">
        <f>IFERROR(VLOOKUP(I67,L67:L:L,1,FALSE),"")</f>
        <v/>
      </c>
      <c r="O67" s="56" t="str">
        <f t="shared" si="8"/>
        <v>D_4_2</v>
      </c>
      <c r="Z67" t="e">
        <f t="shared" si="9"/>
        <v>#N/A</v>
      </c>
      <c r="AA67" t="e">
        <f t="shared" si="10"/>
        <v>#N/A</v>
      </c>
      <c r="AB67" s="34" t="s">
        <v>84</v>
      </c>
      <c r="AC67" s="46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0</v>
      </c>
      <c r="AD67" s="47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7" s="47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0</v>
      </c>
      <c r="AF67" s="47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7" s="47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7" s="47">
        <f>SUMIFS($D:$D,$E:$E,"FAUX",$G:$G,"K4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7" s="16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0</v>
      </c>
      <c r="AJ67" s="17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7" s="17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7" s="17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0</v>
      </c>
      <c r="AM67" s="17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7" s="17">
        <f>SUMIFS($D:$D,$E:$E,"FAUX",$G:$G,"K4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7" s="46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0</v>
      </c>
      <c r="AP67" s="47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7" s="47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7" s="47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7" s="47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7" s="47">
        <f>SUMIFS($D:$D,$E:$E,"FAUX",$G:$G,"K4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7" s="46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0</v>
      </c>
      <c r="AV67" s="47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0</v>
      </c>
      <c r="AW67" s="47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7" s="47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0</v>
      </c>
      <c r="AY67" s="47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7" s="47">
        <f>SUMIFS($D:$D,$E:$E,"FAUX",$G:$G,"K4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7" s="46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0</v>
      </c>
      <c r="BB67" s="47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7" s="47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0</v>
      </c>
      <c r="BD67" s="47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7" s="47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7" s="47">
        <f>SUMIFS($D:$D,$E:$E,"FAUX",$G:$G,"K4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7" s="46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1",$F:$F,"G")</f>
        <v>0</v>
      </c>
      <c r="BH67" s="47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2",$F:$F,"G")</f>
        <v>0</v>
      </c>
      <c r="BI67" s="47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7" s="47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4",$F:$F,"G")</f>
        <v>0</v>
      </c>
      <c r="BK67" s="47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7" s="48">
        <f>SUMIFS($D:$D,$E:$E,"FAUX",$G:$G,"K4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7" s="46">
        <f>SUMIFS($D:$D,$E:$E,"FAUX",$G:$G,"K4",$M:$M,"J",$N:$N,"K*")*SUMIFS($J:$J,$E:$E,"VRAI",$F:$F,"I",$M:$M,"G")*SUMIFS($J:$J,$E:$E,"VRAI",$F:$F,"J",$M:$M,"H")*SUMIFS($J:$J,$E:$E,"VRAI",$F:$F,"K",$M:$M,"I")*SUMIFS($J:$J,$E:$E,"VRAI",$I:$I,"G1",$F:$F,"H")</f>
        <v>0</v>
      </c>
      <c r="BN67" s="47">
        <f>SUMIFS($D:$D,$E:$E,"FAUX",$G:$G,"K4",$M:$M,"J",$N:$N,"K*")*SUMIFS($J:$J,$E:$E,"VRAI",$F:$F,"I",$M:$M,"G")*SUMIFS($J:$J,$E:$E,"VRAI",$F:$F,"J",$M:$M,"H")*SUMIFS($J:$J,$E:$E,"VRAI",$F:$F,"K",$M:$M,"I")*SUMIFS($J:$J,$E:$E,"VRAI",$I:$I,"G2",$F:$F,"H")</f>
        <v>0</v>
      </c>
      <c r="BO67" s="47">
        <f>SUMIFS($D:$D,$E:$E,"FAUX",$G:$G,"K4",$M:$M,"J",$N:$N,"K*")*SUMIFS($J:$J,$E:$E,"VRAI",$F:$F,"I",$M:$M,"G")*SUMIFS($J:$J,$E:$E,"VRAI",$F:$F,"J",$M:$M,"H")*SUMIFS($J:$J,$E:$E,"VRAI",$F:$F,"K",$M:$M,"I")*SUMIFS($J:$J,$E:$E,"VRAI",$I:$I,"G3",$F:$F,"H")</f>
        <v>0</v>
      </c>
      <c r="BP67" s="47">
        <f>SUMIFS($D:$D,$E:$E,"FAUX",$G:$G,"K4",$M:$M,"J",$N:$N,"K*")*SUMIFS($J:$J,$E:$E,"VRAI",$F:$F,"I",$M:$M,"G")*SUMIFS($J:$J,$E:$E,"VRAI",$F:$F,"J",$M:$M,"H")*SUMIFS($J:$J,$E:$E,"VRAI",$F:$F,"K",$M:$M,"I")*SUMIFS($J:$J,$E:$E,"VRAI",$I:$I,"G4",$F:$F,"H")</f>
        <v>0</v>
      </c>
      <c r="BQ67" s="47">
        <f>SUMIFS($D:$D,$E:$E,"FAUX",$G:$G,"K4",$M:$M,"J",$N:$N,"K*")*SUMIFS($J:$J,$E:$E,"VRAI",$F:$F,"I",$M:$M,"G")*SUMIFS($J:$J,$E:$E,"VRAI",$F:$F,"J",$M:$M,"H")*SUMIFS($J:$J,$E:$E,"VRAI",$F:$F,"K",$M:$M,"I")*SUMIFS($J:$J,$E:$E,"VRAI",$I:$I,"G5",$F:$F,"H")</f>
        <v>0</v>
      </c>
      <c r="BR67" s="48">
        <f>SUMIFS($D:$D,$E:$E,"FAUX",$G:$G,"K4",$M:$M,"J",$N:$N,"K*")*SUMIFS($J:$J,$E:$E,"VRAI",$F:$F,"I",$M:$M,"G")*SUMIFS($J:$J,$E:$E,"VRAI",$F:$F,"J",$M:$M,"H")*SUMIFS($J:$J,$E:$E,"VRAI",$F:$F,"K",$M:$M,"I")*SUMIFS($J:$J,$E:$E,"VRAI",$I:$I,"G6",$F:$F,"H")</f>
        <v>0</v>
      </c>
      <c r="BS67" s="46">
        <f>SUMIFS($D:$D,$E:$E,"FAUX",$G:$G,"K4",$M:$M,"J",$N:$N,"K*")*SUMIFS($J:$J,$E:$E,"VRAI",$F:$F,"J",$M:$M,"H")*SUMIFS($J:$J,$E:$E,"VRAI",$F:$F,"K",$M:$M,"I")*SUMIFS($J:$J,$E:$E,"VRAI",$I:$I,"H1",$F:$F,"I")</f>
        <v>0</v>
      </c>
      <c r="BT67" s="47">
        <f>SUMIFS($D:$D,$E:$E,"FAUX",$G:$G,"K4",$M:$M,"J",$N:$N,"K*")*SUMIFS($J:$J,$E:$E,"VRAI",$F:$F,"J",$M:$M,"H")*SUMIFS($J:$J,$E:$E,"VRAI",$F:$F,"K",$M:$M,"I")*SUMIFS($J:$J,$E:$E,"VRAI",$I:$I,"H2",$F:$F,"I")</f>
        <v>0</v>
      </c>
      <c r="BU67" s="47">
        <f>SUMIFS($D:$D,$E:$E,"FAUX",$G:$G,"K4",$M:$M,"J",$N:$N,"K*")*SUMIFS($J:$J,$E:$E,"VRAI",$F:$F,"J",$M:$M,"H")*SUMIFS($J:$J,$E:$E,"VRAI",$F:$F,"K",$M:$M,"I")*SUMIFS($J:$J,$E:$E,"VRAI",$I:$I,"H3",$F:$F,"I")</f>
        <v>0</v>
      </c>
      <c r="BV67" s="47">
        <f>SUMIFS($D:$D,$E:$E,"FAUX",$G:$G,"K4",$M:$M,"J",$N:$N,"K*")*SUMIFS($J:$J,$E:$E,"VRAI",$F:$F,"J",$M:$M,"H")*SUMIFS($J:$J,$E:$E,"VRAI",$F:$F,"K",$M:$M,"I")*SUMIFS($J:$J,$E:$E,"VRAI",$I:$I,"H4",$F:$F,"I")</f>
        <v>0</v>
      </c>
      <c r="BW67" s="47">
        <f>SUMIFS($D:$D,$E:$E,"FAUX",$G:$G,"K4",$M:$M,"J",$N:$N,"K*")*SUMIFS($J:$J,$E:$E,"VRAI",$F:$F,"J",$M:$M,"H")*SUMIFS($J:$J,$E:$E,"VRAI",$F:$F,"K",$M:$M,"I")*SUMIFS($J:$J,$E:$E,"VRAI",$I:$I,"H5",$F:$F,"I")</f>
        <v>0</v>
      </c>
      <c r="BX67" s="48">
        <f>SUMIFS($D:$D,$E:$E,"FAUX",$G:$G,"K4",$M:$M,"J",$N:$N,"K*")*SUMIFS($J:$J,$E:$E,"VRAI",$F:$F,"J",$M:$M,"H")*SUMIFS($J:$J,$E:$E,"VRAI",$F:$F,"K",$M:$M,"I")*SUMIFS($J:$J,$E:$E,"VRAI",$I:$I,"H6",$F:$F,"I")</f>
        <v>0</v>
      </c>
      <c r="BY67" s="16">
        <f>SUMIFS($D:$D,$E:$E,"FAUX",$G:$G,"K4",$M:$M,"J",$N:$N,"K*")*SUMIFS($J:$J,$E:$E,"VRAI",$F:$F,"K",$M:$M,"I")*SUMIFS($J:$J,$E:$E,"VRAI",$I:$I,"I1",$F:$F,"J")</f>
        <v>0</v>
      </c>
      <c r="BZ67" s="17">
        <f>SUMIFS($D:$D,$E:$E,"FAUX",$G:$G,"K4",$M:$M,"J",$N:$N,"K*")*SUMIFS($J:$J,$E:$E,"VRAI",$F:$F,"K",$M:$M,"I")*SUMIFS($J:$J,$E:$E,"VRAI",$I:$I,"I2",$F:$F,"J")</f>
        <v>0</v>
      </c>
      <c r="CA67" s="17">
        <f>SUMIFS($D:$D,$E:$E,"FAUX",$G:$G,"K4",$M:$M,"J",$N:$N,"K*")*SUMIFS($J:$J,$E:$E,"VRAI",$F:$F,"K",$M:$M,"I")*SUMIFS($J:$J,$E:$E,"VRAI",$I:$I,"I3",$F:$F,"J")</f>
        <v>0</v>
      </c>
      <c r="CB67" s="17">
        <f>SUMIFS($D:$D,$E:$E,"FAUX",$G:$G,"K4",$M:$M,"J",$N:$N,"K*")*SUMIFS($J:$J,$E:$E,"VRAI",$F:$F,"K",$M:$M,"I")*SUMIFS($J:$J,$E:$E,"VRAI",$I:$I,"I4",$F:$F,"J")</f>
        <v>0</v>
      </c>
      <c r="CC67" s="17">
        <f>SUMIFS($D:$D,$E:$E,"FAUX",$G:$G,"K4",$M:$M,"J",$N:$N,"K*")*SUMIFS($J:$J,$E:$E,"VRAI",$F:$F,"K",$M:$M,"I")*SUMIFS($J:$J,$E:$E,"VRAI",$I:$I,"I5",$F:$F,"J")</f>
        <v>0</v>
      </c>
      <c r="CD67" s="18">
        <f>SUMIFS($D:$D,$E:$E,"FAUX",$G:$G,"K4",$M:$M,"J",$N:$N,"K*")*SUMIFS($J:$J,$E:$E,"VRAI",$F:$F,"K",$M:$M,"I")*SUMIFS($J:$J,$E:$E,"VRAI",$I:$I,"I6",$F:$F,"J")</f>
        <v>0</v>
      </c>
      <c r="CE67" s="31">
        <f t="shared" si="30"/>
        <v>0</v>
      </c>
      <c r="CF67" s="27">
        <f t="shared" si="31"/>
        <v>0</v>
      </c>
      <c r="CG67" s="27">
        <f t="shared" si="32"/>
        <v>0</v>
      </c>
      <c r="CH67" s="27">
        <f t="shared" si="33"/>
        <v>0</v>
      </c>
      <c r="CI67" s="27">
        <f t="shared" si="34"/>
        <v>0</v>
      </c>
      <c r="CJ67" s="28">
        <f t="shared" si="35"/>
        <v>0</v>
      </c>
      <c r="CK67" s="54">
        <f>SUMIFS($D:$D,$O:$O,"K_4_1")</f>
        <v>0</v>
      </c>
      <c r="CL67" s="54">
        <f>SUMIFS($D:$D,$O:$O,"K_4_2")</f>
        <v>0</v>
      </c>
      <c r="CM67" s="54">
        <f>SUMIFS($D:$D,$O:$O,"K_4_3")</f>
        <v>0</v>
      </c>
      <c r="CN67" s="54">
        <f>SUMIFS($D:$D,$O:$O,"K_4_4")</f>
        <v>0</v>
      </c>
      <c r="CO67" s="54">
        <f>SUMIFS($D:$D,$O:$O,"K_4_5")</f>
        <v>0</v>
      </c>
      <c r="CP67" s="54">
        <f>SUMIFS($D:$D,$O:$O,"K_4_6")</f>
        <v>0</v>
      </c>
    </row>
    <row r="68" spans="1:94">
      <c r="A68" s="35" t="s">
        <v>11</v>
      </c>
      <c r="B68" s="35">
        <v>4</v>
      </c>
      <c r="C68" s="35">
        <v>3</v>
      </c>
      <c r="D68" s="35">
        <v>0</v>
      </c>
      <c r="E68" s="35" t="b">
        <v>0</v>
      </c>
      <c r="F68" s="35"/>
      <c r="G68" s="53" t="str">
        <f t="shared" ref="G68:G131" si="36">$A68&amp;$B68</f>
        <v>D4</v>
      </c>
      <c r="H68" s="52" t="str">
        <f t="shared" si="5"/>
        <v/>
      </c>
      <c r="I68" s="41" t="str">
        <f t="shared" ref="I68:I131" si="37">$A68&amp;$C68</f>
        <v>D3</v>
      </c>
      <c r="J68" s="42" t="e">
        <f t="shared" ref="J68:J131" si="38">D68/K68</f>
        <v>#DIV/0!</v>
      </c>
      <c r="K68" s="41">
        <f t="shared" si="6"/>
        <v>0</v>
      </c>
      <c r="L68" s="41" t="str">
        <f t="shared" ref="L68:L131" si="39">IF(E68=TRUE,VLOOKUP(G68,I:I,1,FALSE),"")</f>
        <v/>
      </c>
      <c r="M68" s="41" t="str">
        <f t="shared" si="7"/>
        <v>E</v>
      </c>
      <c r="N68" s="41" t="str">
        <f>IFERROR(VLOOKUP(I68,L68:L:L,1,FALSE),"")</f>
        <v>D3</v>
      </c>
      <c r="O68" s="56" t="str">
        <f t="shared" si="8"/>
        <v>D_4_3</v>
      </c>
      <c r="Z68" t="e">
        <f t="shared" si="9"/>
        <v>#N/A</v>
      </c>
      <c r="AA68" t="e">
        <f t="shared" si="10"/>
        <v>#N/A</v>
      </c>
      <c r="AB68" s="34" t="s">
        <v>85</v>
      </c>
      <c r="AC68" s="46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0</v>
      </c>
      <c r="AD68" s="47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8" s="47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0</v>
      </c>
      <c r="AF68" s="47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8" s="47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8" s="47">
        <f>SUMIFS($D:$D,$E:$E,"FAUX",$G:$G,"K5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8" s="16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0</v>
      </c>
      <c r="AJ68" s="17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8" s="17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8" s="17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0</v>
      </c>
      <c r="AM68" s="17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8" s="17">
        <f>SUMIFS($D:$D,$E:$E,"FAUX",$G:$G,"K5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8" s="46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0</v>
      </c>
      <c r="AP68" s="47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8" s="47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8" s="47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8" s="47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8" s="47">
        <f>SUMIFS($D:$D,$E:$E,"FAUX",$G:$G,"K5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8" s="46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0</v>
      </c>
      <c r="AV68" s="47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0</v>
      </c>
      <c r="AW68" s="47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8" s="47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0</v>
      </c>
      <c r="AY68" s="47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8" s="47">
        <f>SUMIFS($D:$D,$E:$E,"FAUX",$G:$G,"K5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8" s="46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0</v>
      </c>
      <c r="BB68" s="47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8" s="47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0</v>
      </c>
      <c r="BD68" s="47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8" s="47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8" s="47">
        <f>SUMIFS($D:$D,$E:$E,"FAUX",$G:$G,"K5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8" s="46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1",$F:$F,"G")</f>
        <v>0</v>
      </c>
      <c r="BH68" s="47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2",$F:$F,"G")</f>
        <v>0</v>
      </c>
      <c r="BI68" s="47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8" s="47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4",$F:$F,"G")</f>
        <v>0</v>
      </c>
      <c r="BK68" s="47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8" s="48">
        <f>SUMIFS($D:$D,$E:$E,"FAUX",$G:$G,"K5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8" s="46">
        <f>SUMIFS($D:$D,$E:$E,"FAUX",$G:$G,"K5",$M:$M,"J",$N:$N,"K*")*SUMIFS($J:$J,$E:$E,"VRAI",$F:$F,"I",$M:$M,"G")*SUMIFS($J:$J,$E:$E,"VRAI",$F:$F,"J",$M:$M,"H")*SUMIFS($J:$J,$E:$E,"VRAI",$F:$F,"K",$M:$M,"I")*SUMIFS($J:$J,$E:$E,"VRAI",$I:$I,"G1",$F:$F,"H")</f>
        <v>0</v>
      </c>
      <c r="BN68" s="47">
        <f>SUMIFS($D:$D,$E:$E,"FAUX",$G:$G,"K5",$M:$M,"J",$N:$N,"K*")*SUMIFS($J:$J,$E:$E,"VRAI",$F:$F,"I",$M:$M,"G")*SUMIFS($J:$J,$E:$E,"VRAI",$F:$F,"J",$M:$M,"H")*SUMIFS($J:$J,$E:$E,"VRAI",$F:$F,"K",$M:$M,"I")*SUMIFS($J:$J,$E:$E,"VRAI",$I:$I,"G2",$F:$F,"H")</f>
        <v>0</v>
      </c>
      <c r="BO68" s="47">
        <f>SUMIFS($D:$D,$E:$E,"FAUX",$G:$G,"K5",$M:$M,"J",$N:$N,"K*")*SUMIFS($J:$J,$E:$E,"VRAI",$F:$F,"I",$M:$M,"G")*SUMIFS($J:$J,$E:$E,"VRAI",$F:$F,"J",$M:$M,"H")*SUMIFS($J:$J,$E:$E,"VRAI",$F:$F,"K",$M:$M,"I")*SUMIFS($J:$J,$E:$E,"VRAI",$I:$I,"G3",$F:$F,"H")</f>
        <v>0</v>
      </c>
      <c r="BP68" s="47">
        <f>SUMIFS($D:$D,$E:$E,"FAUX",$G:$G,"K5",$M:$M,"J",$N:$N,"K*")*SUMIFS($J:$J,$E:$E,"VRAI",$F:$F,"I",$M:$M,"G")*SUMIFS($J:$J,$E:$E,"VRAI",$F:$F,"J",$M:$M,"H")*SUMIFS($J:$J,$E:$E,"VRAI",$F:$F,"K",$M:$M,"I")*SUMIFS($J:$J,$E:$E,"VRAI",$I:$I,"G4",$F:$F,"H")</f>
        <v>0</v>
      </c>
      <c r="BQ68" s="47">
        <f>SUMIFS($D:$D,$E:$E,"FAUX",$G:$G,"K5",$M:$M,"J",$N:$N,"K*")*SUMIFS($J:$J,$E:$E,"VRAI",$F:$F,"I",$M:$M,"G")*SUMIFS($J:$J,$E:$E,"VRAI",$F:$F,"J",$M:$M,"H")*SUMIFS($J:$J,$E:$E,"VRAI",$F:$F,"K",$M:$M,"I")*SUMIFS($J:$J,$E:$E,"VRAI",$I:$I,"G5",$F:$F,"H")</f>
        <v>0</v>
      </c>
      <c r="BR68" s="48">
        <f>SUMIFS($D:$D,$E:$E,"FAUX",$G:$G,"K5",$M:$M,"J",$N:$N,"K*")*SUMIFS($J:$J,$E:$E,"VRAI",$F:$F,"I",$M:$M,"G")*SUMIFS($J:$J,$E:$E,"VRAI",$F:$F,"J",$M:$M,"H")*SUMIFS($J:$J,$E:$E,"VRAI",$F:$F,"K",$M:$M,"I")*SUMIFS($J:$J,$E:$E,"VRAI",$I:$I,"G6",$F:$F,"H")</f>
        <v>0</v>
      </c>
      <c r="BS68" s="46">
        <f>SUMIFS($D:$D,$E:$E,"FAUX",$G:$G,"K5",$M:$M,"J",$N:$N,"K*")*SUMIFS($J:$J,$E:$E,"VRAI",$F:$F,"J",$M:$M,"H")*SUMIFS($J:$J,$E:$E,"VRAI",$F:$F,"K",$M:$M,"I")*SUMIFS($J:$J,$E:$E,"VRAI",$I:$I,"H1",$F:$F,"I")</f>
        <v>0</v>
      </c>
      <c r="BT68" s="47">
        <f>SUMIFS($D:$D,$E:$E,"FAUX",$G:$G,"K5",$M:$M,"J",$N:$N,"K*")*SUMIFS($J:$J,$E:$E,"VRAI",$F:$F,"J",$M:$M,"H")*SUMIFS($J:$J,$E:$E,"VRAI",$F:$F,"K",$M:$M,"I")*SUMIFS($J:$J,$E:$E,"VRAI",$I:$I,"H2",$F:$F,"I")</f>
        <v>0</v>
      </c>
      <c r="BU68" s="47">
        <f>SUMIFS($D:$D,$E:$E,"FAUX",$G:$G,"K5",$M:$M,"J",$N:$N,"K*")*SUMIFS($J:$J,$E:$E,"VRAI",$F:$F,"J",$M:$M,"H")*SUMIFS($J:$J,$E:$E,"VRAI",$F:$F,"K",$M:$M,"I")*SUMIFS($J:$J,$E:$E,"VRAI",$I:$I,"H3",$F:$F,"I")</f>
        <v>0</v>
      </c>
      <c r="BV68" s="47">
        <f>SUMIFS($D:$D,$E:$E,"FAUX",$G:$G,"K5",$M:$M,"J",$N:$N,"K*")*SUMIFS($J:$J,$E:$E,"VRAI",$F:$F,"J",$M:$M,"H")*SUMIFS($J:$J,$E:$E,"VRAI",$F:$F,"K",$M:$M,"I")*SUMIFS($J:$J,$E:$E,"VRAI",$I:$I,"H4",$F:$F,"I")</f>
        <v>0</v>
      </c>
      <c r="BW68" s="47">
        <f>SUMIFS($D:$D,$E:$E,"FAUX",$G:$G,"K5",$M:$M,"J",$N:$N,"K*")*SUMIFS($J:$J,$E:$E,"VRAI",$F:$F,"J",$M:$M,"H")*SUMIFS($J:$J,$E:$E,"VRAI",$F:$F,"K",$M:$M,"I")*SUMIFS($J:$J,$E:$E,"VRAI",$I:$I,"H5",$F:$F,"I")</f>
        <v>0</v>
      </c>
      <c r="BX68" s="48">
        <f>SUMIFS($D:$D,$E:$E,"FAUX",$G:$G,"K5",$M:$M,"J",$N:$N,"K*")*SUMIFS($J:$J,$E:$E,"VRAI",$F:$F,"J",$M:$M,"H")*SUMIFS($J:$J,$E:$E,"VRAI",$F:$F,"K",$M:$M,"I")*SUMIFS($J:$J,$E:$E,"VRAI",$I:$I,"H6",$F:$F,"I")</f>
        <v>0</v>
      </c>
      <c r="BY68" s="16">
        <f>SUMIFS($D:$D,$E:$E,"FAUX",$G:$G,"K5",$M:$M,"J",$N:$N,"K*")*SUMIFS($J:$J,$E:$E,"VRAI",$F:$F,"K",$M:$M,"I")*SUMIFS($J:$J,$E:$E,"VRAI",$I:$I,"I1",$F:$F,"J")</f>
        <v>0</v>
      </c>
      <c r="BZ68" s="17">
        <f>SUMIFS($D:$D,$E:$E,"FAUX",$G:$G,"K5",$M:$M,"J",$N:$N,"K*")*SUMIFS($J:$J,$E:$E,"VRAI",$F:$F,"K",$M:$M,"I")*SUMIFS($J:$J,$E:$E,"VRAI",$I:$I,"I2",$F:$F,"J")</f>
        <v>0</v>
      </c>
      <c r="CA68" s="17">
        <f>SUMIFS($D:$D,$E:$E,"FAUX",$G:$G,"K5",$M:$M,"J",$N:$N,"K*")*SUMIFS($J:$J,$E:$E,"VRAI",$F:$F,"K",$M:$M,"I")*SUMIFS($J:$J,$E:$E,"VRAI",$I:$I,"I3",$F:$F,"J")</f>
        <v>0</v>
      </c>
      <c r="CB68" s="17">
        <f>SUMIFS($D:$D,$E:$E,"FAUX",$G:$G,"K5",$M:$M,"J",$N:$N,"K*")*SUMIFS($J:$J,$E:$E,"VRAI",$F:$F,"K",$M:$M,"I")*SUMIFS($J:$J,$E:$E,"VRAI",$I:$I,"I4",$F:$F,"J")</f>
        <v>0</v>
      </c>
      <c r="CC68" s="17">
        <f>SUMIFS($D:$D,$E:$E,"FAUX",$G:$G,"K5",$M:$M,"J",$N:$N,"K*")*SUMIFS($J:$J,$E:$E,"VRAI",$F:$F,"K",$M:$M,"I")*SUMIFS($J:$J,$E:$E,"VRAI",$I:$I,"I5",$F:$F,"J")</f>
        <v>0</v>
      </c>
      <c r="CD68" s="18">
        <f>SUMIFS($D:$D,$E:$E,"FAUX",$G:$G,"K5",$M:$M,"J",$N:$N,"K*")*SUMIFS($J:$J,$E:$E,"VRAI",$F:$F,"K",$M:$M,"I")*SUMIFS($J:$J,$E:$E,"VRAI",$I:$I,"I6",$F:$F,"J")</f>
        <v>0</v>
      </c>
      <c r="CE68" s="31">
        <f t="shared" si="30"/>
        <v>0</v>
      </c>
      <c r="CF68" s="27">
        <f t="shared" si="31"/>
        <v>0</v>
      </c>
      <c r="CG68" s="27">
        <f t="shared" si="32"/>
        <v>0</v>
      </c>
      <c r="CH68" s="27">
        <f t="shared" si="33"/>
        <v>0</v>
      </c>
      <c r="CI68" s="27">
        <f t="shared" si="34"/>
        <v>0</v>
      </c>
      <c r="CJ68" s="28">
        <f t="shared" si="35"/>
        <v>0</v>
      </c>
      <c r="CK68" s="54">
        <f>SUMIFS($D:$D,$O:$O,"K_5_1")</f>
        <v>0</v>
      </c>
      <c r="CL68" s="54">
        <f>SUMIFS($D:$D,$O:$O,"K_5_2")</f>
        <v>0</v>
      </c>
      <c r="CM68" s="54">
        <f>SUMIFS($D:$D,$O:$O,"K_5_3")</f>
        <v>0</v>
      </c>
      <c r="CN68" s="54">
        <f>SUMIFS($D:$D,$O:$O,"K_5_4")</f>
        <v>0</v>
      </c>
      <c r="CO68" s="54">
        <f>SUMIFS($D:$D,$O:$O,"K_5_5")</f>
        <v>0</v>
      </c>
      <c r="CP68" s="54">
        <f>SUMIFS($D:$D,$O:$O,"K_5_6")</f>
        <v>0</v>
      </c>
    </row>
    <row r="69" spans="1:94">
      <c r="A69" s="35" t="s">
        <v>11</v>
      </c>
      <c r="B69" s="35">
        <v>4</v>
      </c>
      <c r="C69" s="35">
        <v>4</v>
      </c>
      <c r="D69" s="35">
        <v>0</v>
      </c>
      <c r="E69" s="35" t="b">
        <v>0</v>
      </c>
      <c r="F69" s="35"/>
      <c r="G69" s="53" t="str">
        <f t="shared" si="36"/>
        <v>D4</v>
      </c>
      <c r="H69" s="52" t="str">
        <f t="shared" ref="H69:H132" si="40">IF(ISBLANK(F69),"",F69)</f>
        <v/>
      </c>
      <c r="I69" s="41" t="str">
        <f t="shared" si="37"/>
        <v>D4</v>
      </c>
      <c r="J69" s="42" t="e">
        <f t="shared" si="38"/>
        <v>#DIV/0!</v>
      </c>
      <c r="K69" s="41">
        <f t="shared" ref="K69:K132" si="41">VLOOKUP(G69,$U$3:$V$136,2,)</f>
        <v>0</v>
      </c>
      <c r="L69" s="41" t="str">
        <f t="shared" si="39"/>
        <v/>
      </c>
      <c r="M69" s="41" t="str">
        <f t="shared" ref="M69:M132" si="42">IFERROR(VLOOKUP(N69,G:H,2,FALSE),"")</f>
        <v/>
      </c>
      <c r="N69" s="41" t="str">
        <f>IFERROR(VLOOKUP(I69,L69:L:L,1,FALSE),"")</f>
        <v/>
      </c>
      <c r="O69" s="56" t="str">
        <f t="shared" ref="O69:O132" si="43">A69&amp;"_"&amp;B69&amp;"_"&amp;C69</f>
        <v>D_4_4</v>
      </c>
      <c r="U69" s="1" t="s">
        <v>25</v>
      </c>
      <c r="V69" s="2">
        <f>SUMIF(A:A,"I",D:D)</f>
        <v>2876</v>
      </c>
      <c r="Z69" t="e">
        <f t="shared" ref="Z69" si="44">VLOOKUP($AB69,$N:$N,1,)</f>
        <v>#N/A</v>
      </c>
      <c r="AA69" t="e">
        <f t="shared" ref="AA69" si="45">VLOOKUP($AB69,$G:$G,1,)</f>
        <v>#N/A</v>
      </c>
      <c r="AB69" s="34" t="s">
        <v>86</v>
      </c>
      <c r="AC69" s="49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1")</f>
        <v>0</v>
      </c>
      <c r="AD69" s="50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2")</f>
        <v>0</v>
      </c>
      <c r="AE69" s="50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3")</f>
        <v>0</v>
      </c>
      <c r="AF69" s="50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4")</f>
        <v>0</v>
      </c>
      <c r="AG69" s="50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5")</f>
        <v>0</v>
      </c>
      <c r="AH69" s="50">
        <f>SUMIFS($D:$D,$E:$E,"FAUX",$G:$G,"K6",$M:$M,"J",$N:$N,"K*")*SUMIFS($J:$J,$E:$E,"VRAI",$F:$F,"D",$M:$M,"B")*SUMIFS($J:$J,$E:$E,"VRAI",$F:$F,"C",$M:$M,"A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B",$I:$I,"A6")</f>
        <v>0</v>
      </c>
      <c r="AI69" s="19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1")</f>
        <v>0</v>
      </c>
      <c r="AJ69" s="20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2")</f>
        <v>0</v>
      </c>
      <c r="AK69" s="20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3")</f>
        <v>0</v>
      </c>
      <c r="AL69" s="20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4")</f>
        <v>0</v>
      </c>
      <c r="AM69" s="20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5")</f>
        <v>0</v>
      </c>
      <c r="AN69" s="20">
        <f>SUMIFS($D:$D,$E:$E,"FAUX",$G:$G,"K6",$M:$M,"J",$N:$N,"K*")*SUMIFS($J:$J,$E:$E,"VRAI",$F:$F,"D",$M:$M,"B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C",$I:$I,"B6")</f>
        <v>0</v>
      </c>
      <c r="AO69" s="49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1")</f>
        <v>0</v>
      </c>
      <c r="AP69" s="50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2")</f>
        <v>0</v>
      </c>
      <c r="AQ69" s="50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3")</f>
        <v>0</v>
      </c>
      <c r="AR69" s="50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4")</f>
        <v>0</v>
      </c>
      <c r="AS69" s="50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5")</f>
        <v>0</v>
      </c>
      <c r="AT69" s="50">
        <f>SUMIFS($D:$D,$E:$E,"FAUX",$G:$G,"K6",$M:$M,"J",$N:$N,"K*")*SUMIFS($J:$J,$E:$E,"VRAI",$F:$F,"E",$M:$M,"C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D",$I:$I,"C6")</f>
        <v>0</v>
      </c>
      <c r="AU69" s="49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1")</f>
        <v>0</v>
      </c>
      <c r="AV69" s="50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2")</f>
        <v>0</v>
      </c>
      <c r="AW69" s="50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3")</f>
        <v>0</v>
      </c>
      <c r="AX69" s="50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4")</f>
        <v>0</v>
      </c>
      <c r="AY69" s="50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5")</f>
        <v>0</v>
      </c>
      <c r="AZ69" s="50">
        <f>SUMIFS($D:$D,$E:$E,"FAUX",$G:$G,"K6",$M:$M,"J",$N:$N,"K*")*SUMIFS($J:$J,$E:$E,"VRAI",$F:$F,"F",$M:$M,"D")*SUMIFS($J:$J,$E:$E,"VRAI",$F:$F,"G",$M:$M,"E")*SUMIFS($J:$J,$E:$E,"VRAI",$F:$F,"H",$M:$M,"F")*SUMIFS($J:$J,$E:$E,"VRAI",$F:$F,"I",$M:$M,"G")*SUMIFS($J:$J,$E:$E,"VRAI",$F:$F,"J",$M:$M,"H")*SUMIFS($J:$J,$E:$E,"VRAI",$F:$F,"K",$M:$M,"I")*SUMIFS($J:$J,$E:$E,"VRAI",$H:$H,"E",$I:$I,"D6")</f>
        <v>0</v>
      </c>
      <c r="BA69" s="49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1",$F:$F,"F")</f>
        <v>0</v>
      </c>
      <c r="BB69" s="50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2",$F:$F,"F")</f>
        <v>0</v>
      </c>
      <c r="BC69" s="50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3",$F:$F,"F")</f>
        <v>0</v>
      </c>
      <c r="BD69" s="50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4",$F:$F,"F")</f>
        <v>0</v>
      </c>
      <c r="BE69" s="50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5",$F:$F,"F")</f>
        <v>0</v>
      </c>
      <c r="BF69" s="50">
        <f>SUMIFS($D:$D,$E:$E,"FAUX",$G:$G,"K6",$M:$M,"J",$N:$N,"K*")*SUMIFS($J:$J,$E:$E,"VRAI",$F:$F,"G",$M:$M,"E")*SUMIFS($J:$J,$E:$E,"VRAI",$F:$F,"H",$M:$M,"F")*SUMIFS($J:$J,$E:$E,"VRAI",$F:$F,"I",$M:$M,"G")*SUMIFS($J:$J,$E:$E,"VRAI",$F:$F,"J",$M:$M,"H")*SUMIFS($J:$J,$E:$E,"VRAI",$F:$F,"K",$M:$M,"I")*SUMIFS($J:$J,$E:$E,"VRAI",$I:$I,"E6",$F:$F,"F")</f>
        <v>0</v>
      </c>
      <c r="BG69" s="49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1",$F:$F,"G")</f>
        <v>0</v>
      </c>
      <c r="BH69" s="50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2",$F:$F,"G")</f>
        <v>0</v>
      </c>
      <c r="BI69" s="50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3",$F:$F,"G")</f>
        <v>0</v>
      </c>
      <c r="BJ69" s="50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4",$F:$F,"G")</f>
        <v>0</v>
      </c>
      <c r="BK69" s="50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5",$F:$F,"G")</f>
        <v>0</v>
      </c>
      <c r="BL69" s="51">
        <f>SUMIFS($D:$D,$E:$E,"FAUX",$G:$G,"K6",$M:$M,"J",$N:$N,"K*")*SUMIFS($J:$J,$E:$E,"VRAI",$F:$F,"H",$M:$M,"F")*SUMIFS($J:$J,$E:$E,"VRAI",$F:$F,"I",$M:$M,"G")*SUMIFS($J:$J,$E:$E,"VRAI",$F:$F,"J",$M:$M,"H")*SUMIFS($J:$J,$E:$E,"VRAI",$F:$F,"K",$M:$M,"I")*SUMIFS($J:$J,$E:$E,"VRAI",$I:$I,"F6",$F:$F,"G")</f>
        <v>0</v>
      </c>
      <c r="BM69" s="49">
        <f>SUMIFS($D:$D,$E:$E,"FAUX",$G:$G,"K6",$M:$M,"J",$N:$N,"K*")*SUMIFS($J:$J,$E:$E,"VRAI",$F:$F,"I",$M:$M,"G")*SUMIFS($J:$J,$E:$E,"VRAI",$F:$F,"J",$M:$M,"H")*SUMIFS($J:$J,$E:$E,"VRAI",$F:$F,"K",$M:$M,"I")*SUMIFS($J:$J,$E:$E,"VRAI",$I:$I,"G1",$F:$F,"H")</f>
        <v>0</v>
      </c>
      <c r="BN69" s="50">
        <f>SUMIFS($D:$D,$E:$E,"FAUX",$G:$G,"K6",$M:$M,"J",$N:$N,"K*")*SUMIFS($J:$J,$E:$E,"VRAI",$F:$F,"I",$M:$M,"G")*SUMIFS($J:$J,$E:$E,"VRAI",$F:$F,"J",$M:$M,"H")*SUMIFS($J:$J,$E:$E,"VRAI",$F:$F,"K",$M:$M,"I")*SUMIFS($J:$J,$E:$E,"VRAI",$I:$I,"G2",$F:$F,"H")</f>
        <v>0</v>
      </c>
      <c r="BO69" s="50">
        <f>SUMIFS($D:$D,$E:$E,"FAUX",$G:$G,"K6",$M:$M,"J",$N:$N,"K*")*SUMIFS($J:$J,$E:$E,"VRAI",$F:$F,"I",$M:$M,"G")*SUMIFS($J:$J,$E:$E,"VRAI",$F:$F,"J",$M:$M,"H")*SUMIFS($J:$J,$E:$E,"VRAI",$F:$F,"K",$M:$M,"I")*SUMIFS($J:$J,$E:$E,"VRAI",$I:$I,"G3",$F:$F,"H")</f>
        <v>0</v>
      </c>
      <c r="BP69" s="50">
        <f>SUMIFS($D:$D,$E:$E,"FAUX",$G:$G,"K6",$M:$M,"J",$N:$N,"K*")*SUMIFS($J:$J,$E:$E,"VRAI",$F:$F,"I",$M:$M,"G")*SUMIFS($J:$J,$E:$E,"VRAI",$F:$F,"J",$M:$M,"H")*SUMIFS($J:$J,$E:$E,"VRAI",$F:$F,"K",$M:$M,"I")*SUMIFS($J:$J,$E:$E,"VRAI",$I:$I,"G4",$F:$F,"H")</f>
        <v>0</v>
      </c>
      <c r="BQ69" s="50">
        <f>SUMIFS($D:$D,$E:$E,"FAUX",$G:$G,"K6",$M:$M,"J",$N:$N,"K*")*SUMIFS($J:$J,$E:$E,"VRAI",$F:$F,"I",$M:$M,"G")*SUMIFS($J:$J,$E:$E,"VRAI",$F:$F,"J",$M:$M,"H")*SUMIFS($J:$J,$E:$E,"VRAI",$F:$F,"K",$M:$M,"I")*SUMIFS($J:$J,$E:$E,"VRAI",$I:$I,"G5",$F:$F,"H")</f>
        <v>0</v>
      </c>
      <c r="BR69" s="51">
        <f>SUMIFS($D:$D,$E:$E,"FAUX",$G:$G,"K6",$M:$M,"J",$N:$N,"K*")*SUMIFS($J:$J,$E:$E,"VRAI",$F:$F,"I",$M:$M,"G")*SUMIFS($J:$J,$E:$E,"VRAI",$F:$F,"J",$M:$M,"H")*SUMIFS($J:$J,$E:$E,"VRAI",$F:$F,"K",$M:$M,"I")*SUMIFS($J:$J,$E:$E,"VRAI",$I:$I,"G6",$F:$F,"H")</f>
        <v>0</v>
      </c>
      <c r="BS69" s="49">
        <f>SUMIFS($D:$D,$E:$E,"FAUX",$G:$G,"K6",$M:$M,"J",$N:$N,"K*")*SUMIFS($J:$J,$E:$E,"VRAI",$F:$F,"J",$M:$M,"H")*SUMIFS($J:$J,$E:$E,"VRAI",$F:$F,"K",$M:$M,"I")*SUMIFS($J:$J,$E:$E,"VRAI",$I:$I,"H1",$F:$F,"I")</f>
        <v>0</v>
      </c>
      <c r="BT69" s="50">
        <f>SUMIFS($D:$D,$E:$E,"FAUX",$G:$G,"K6",$M:$M,"J",$N:$N,"K*")*SUMIFS($J:$J,$E:$E,"VRAI",$F:$F,"J",$M:$M,"H")*SUMIFS($J:$J,$E:$E,"VRAI",$F:$F,"K",$M:$M,"I")*SUMIFS($J:$J,$E:$E,"VRAI",$I:$I,"H2",$F:$F,"I")</f>
        <v>0</v>
      </c>
      <c r="BU69" s="50">
        <f>SUMIFS($D:$D,$E:$E,"FAUX",$G:$G,"K6",$M:$M,"J",$N:$N,"K*")*SUMIFS($J:$J,$E:$E,"VRAI",$F:$F,"J",$M:$M,"H")*SUMIFS($J:$J,$E:$E,"VRAI",$F:$F,"K",$M:$M,"I")*SUMIFS($J:$J,$E:$E,"VRAI",$I:$I,"H3",$F:$F,"I")</f>
        <v>0</v>
      </c>
      <c r="BV69" s="50">
        <f>SUMIFS($D:$D,$E:$E,"FAUX",$G:$G,"K6",$M:$M,"J",$N:$N,"K*")*SUMIFS($J:$J,$E:$E,"VRAI",$F:$F,"J",$M:$M,"H")*SUMIFS($J:$J,$E:$E,"VRAI",$F:$F,"K",$M:$M,"I")*SUMIFS($J:$J,$E:$E,"VRAI",$I:$I,"H4",$F:$F,"I")</f>
        <v>0</v>
      </c>
      <c r="BW69" s="50">
        <f>SUMIFS($D:$D,$E:$E,"FAUX",$G:$G,"K6",$M:$M,"J",$N:$N,"K*")*SUMIFS($J:$J,$E:$E,"VRAI",$F:$F,"J",$M:$M,"H")*SUMIFS($J:$J,$E:$E,"VRAI",$F:$F,"K",$M:$M,"I")*SUMIFS($J:$J,$E:$E,"VRAI",$I:$I,"H5",$F:$F,"I")</f>
        <v>0</v>
      </c>
      <c r="BX69" s="51">
        <f>SUMIFS($D:$D,$E:$E,"FAUX",$G:$G,"K6",$M:$M,"J",$N:$N,"K*")*SUMIFS($J:$J,$E:$E,"VRAI",$F:$F,"J",$M:$M,"H")*SUMIFS($J:$J,$E:$E,"VRAI",$F:$F,"K",$M:$M,"I")*SUMIFS($J:$J,$E:$E,"VRAI",$I:$I,"H6",$F:$F,"I")</f>
        <v>0</v>
      </c>
      <c r="BY69" s="19">
        <f>SUMIFS($D:$D,$E:$E,"FAUX",$G:$G,"K6",$M:$M,"J",$N:$N,"K*")*SUMIFS($J:$J,$E:$E,"VRAI",$F:$F,"K",$M:$M,"I")*SUMIFS($J:$J,$E:$E,"VRAI",$I:$I,"I1",$F:$F,"J")</f>
        <v>0</v>
      </c>
      <c r="BZ69" s="20">
        <f>SUMIFS($D:$D,$E:$E,"FAUX",$G:$G,"K6",$M:$M,"J",$N:$N,"K*")*SUMIFS($J:$J,$E:$E,"VRAI",$F:$F,"K",$M:$M,"I")*SUMIFS($J:$J,$E:$E,"VRAI",$I:$I,"I2",$F:$F,"J")</f>
        <v>0</v>
      </c>
      <c r="CA69" s="20">
        <f>SUMIFS($D:$D,$E:$E,"FAUX",$G:$G,"K6",$M:$M,"J",$N:$N,"K*")*SUMIFS($J:$J,$E:$E,"VRAI",$F:$F,"K",$M:$M,"I")*SUMIFS($J:$J,$E:$E,"VRAI",$I:$I,"I3",$F:$F,"J")</f>
        <v>0</v>
      </c>
      <c r="CB69" s="20">
        <f>SUMIFS($D:$D,$E:$E,"FAUX",$G:$G,"K6",$M:$M,"J",$N:$N,"K*")*SUMIFS($J:$J,$E:$E,"VRAI",$F:$F,"K",$M:$M,"I")*SUMIFS($J:$J,$E:$E,"VRAI",$I:$I,"I4",$F:$F,"J")</f>
        <v>0</v>
      </c>
      <c r="CC69" s="20">
        <f>SUMIFS($D:$D,$E:$E,"FAUX",$G:$G,"K6",$M:$M,"J",$N:$N,"K*")*SUMIFS($J:$J,$E:$E,"VRAI",$F:$F,"K",$M:$M,"I")*SUMIFS($J:$J,$E:$E,"VRAI",$I:$I,"I5",$F:$F,"J")</f>
        <v>0</v>
      </c>
      <c r="CD69" s="21">
        <f>SUMIFS($D:$D,$E:$E,"FAUX",$G:$G,"K6",$M:$M,"J",$N:$N,"K*")*SUMIFS($J:$J,$E:$E,"VRAI",$F:$F,"K",$M:$M,"I")*SUMIFS($J:$J,$E:$E,"VRAI",$I:$I,"I6",$F:$F,"J")</f>
        <v>0</v>
      </c>
      <c r="CE69" s="33">
        <f t="shared" si="30"/>
        <v>0</v>
      </c>
      <c r="CF69" s="29">
        <f t="shared" si="31"/>
        <v>0</v>
      </c>
      <c r="CG69" s="29">
        <f t="shared" si="32"/>
        <v>0</v>
      </c>
      <c r="CH69" s="29">
        <f t="shared" si="33"/>
        <v>0</v>
      </c>
      <c r="CI69" s="29">
        <f t="shared" si="34"/>
        <v>0</v>
      </c>
      <c r="CJ69" s="30">
        <f t="shared" si="35"/>
        <v>0</v>
      </c>
      <c r="CK69" s="54">
        <f>SUMIFS($D:$D,$O:$O,"K_6_1")</f>
        <v>0</v>
      </c>
      <c r="CL69" s="54">
        <f>SUMIFS($D:$D,$O:$O,"K_6_2")</f>
        <v>0</v>
      </c>
      <c r="CM69" s="54">
        <f>SUMIFS($D:$D,$O:$O,"K_6_3")</f>
        <v>0</v>
      </c>
      <c r="CN69" s="54">
        <f>SUMIFS($D:$D,$O:$O,"K_6_4")</f>
        <v>0</v>
      </c>
      <c r="CO69" s="54">
        <f>SUMIFS($D:$D,$O:$O,"K_6_5")</f>
        <v>0</v>
      </c>
      <c r="CP69" s="54">
        <f>SUMIFS($D:$D,$O:$O,"K_6_6")</f>
        <v>0</v>
      </c>
    </row>
    <row r="70" spans="1:94">
      <c r="A70" s="35" t="s">
        <v>21</v>
      </c>
      <c r="B70" s="35">
        <v>1</v>
      </c>
      <c r="C70" s="35">
        <v>2</v>
      </c>
      <c r="D70" s="35">
        <v>900</v>
      </c>
      <c r="E70" s="35" t="b">
        <v>1</v>
      </c>
      <c r="F70" s="35" t="s">
        <v>11</v>
      </c>
      <c r="G70" s="53" t="str">
        <f t="shared" si="36"/>
        <v>E1</v>
      </c>
      <c r="H70" s="52" t="str">
        <f t="shared" si="40"/>
        <v>D</v>
      </c>
      <c r="I70" s="41" t="str">
        <f t="shared" si="37"/>
        <v>E2</v>
      </c>
      <c r="J70" s="42">
        <f t="shared" si="38"/>
        <v>0.94438614900314799</v>
      </c>
      <c r="K70" s="41">
        <f t="shared" si="41"/>
        <v>953</v>
      </c>
      <c r="L70" s="41" t="str">
        <f t="shared" si="39"/>
        <v>E1</v>
      </c>
      <c r="M70" s="41" t="str">
        <f t="shared" si="42"/>
        <v>F</v>
      </c>
      <c r="N70" s="41" t="str">
        <f>IFERROR(VLOOKUP(I70,L70:L:L,1,FALSE),"")</f>
        <v>E2</v>
      </c>
      <c r="O70" s="56" t="str">
        <f t="shared" si="43"/>
        <v>E_1_2</v>
      </c>
      <c r="U70" t="s">
        <v>69</v>
      </c>
      <c r="V70">
        <f>SUMIFS(D:D,A:A,"I",B:B,"1")</f>
        <v>1277</v>
      </c>
      <c r="AU70" s="6"/>
      <c r="AV70" s="6"/>
      <c r="AW70" s="6"/>
      <c r="AX70" s="6"/>
      <c r="AY70" s="6"/>
      <c r="AZ70" s="6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</row>
    <row r="71" spans="1:94">
      <c r="A71" s="35" t="s">
        <v>21</v>
      </c>
      <c r="B71" s="35">
        <v>1</v>
      </c>
      <c r="C71" s="35">
        <v>3</v>
      </c>
      <c r="D71" s="35">
        <v>53</v>
      </c>
      <c r="E71" s="35" t="b">
        <v>1</v>
      </c>
      <c r="F71" s="35" t="s">
        <v>11</v>
      </c>
      <c r="G71" s="53" t="str">
        <f t="shared" si="36"/>
        <v>E1</v>
      </c>
      <c r="H71" s="52" t="str">
        <f t="shared" si="40"/>
        <v>D</v>
      </c>
      <c r="I71" s="41" t="str">
        <f t="shared" si="37"/>
        <v>E3</v>
      </c>
      <c r="J71" s="42">
        <f t="shared" si="38"/>
        <v>5.5613850996852045E-2</v>
      </c>
      <c r="K71" s="41">
        <f t="shared" si="41"/>
        <v>953</v>
      </c>
      <c r="L71" s="41" t="str">
        <f t="shared" si="39"/>
        <v>E1</v>
      </c>
      <c r="M71" s="41" t="str">
        <f t="shared" si="42"/>
        <v/>
      </c>
      <c r="N71" s="41" t="str">
        <f>IFERROR(VLOOKUP(I71,L71:L:L,1,FALSE),"")</f>
        <v/>
      </c>
      <c r="O71" s="56" t="str">
        <f t="shared" si="43"/>
        <v>E_1_3</v>
      </c>
      <c r="U71" t="s">
        <v>70</v>
      </c>
      <c r="V71">
        <f>SUMIFS(D:D,A:A,"I",B:B,"2")</f>
        <v>1341</v>
      </c>
    </row>
    <row r="72" spans="1:94">
      <c r="A72" s="35" t="s">
        <v>21</v>
      </c>
      <c r="B72" s="35">
        <v>1</v>
      </c>
      <c r="C72" s="35">
        <v>4</v>
      </c>
      <c r="D72" s="35">
        <v>0</v>
      </c>
      <c r="E72" s="35" t="b">
        <v>1</v>
      </c>
      <c r="F72" s="35" t="s">
        <v>11</v>
      </c>
      <c r="G72" s="53" t="str">
        <f t="shared" si="36"/>
        <v>E1</v>
      </c>
      <c r="H72" s="52" t="str">
        <f t="shared" si="40"/>
        <v>D</v>
      </c>
      <c r="I72" s="41" t="str">
        <f t="shared" si="37"/>
        <v>E4</v>
      </c>
      <c r="J72" s="42">
        <f t="shared" si="38"/>
        <v>0</v>
      </c>
      <c r="K72" s="41">
        <f t="shared" si="41"/>
        <v>953</v>
      </c>
      <c r="L72" s="41" t="str">
        <f t="shared" si="39"/>
        <v>E1</v>
      </c>
      <c r="M72" s="41" t="str">
        <f t="shared" si="42"/>
        <v/>
      </c>
      <c r="N72" s="41" t="str">
        <f>IFERROR(VLOOKUP(I72,L72:L:L,1,FALSE),"")</f>
        <v/>
      </c>
      <c r="O72" s="56" t="str">
        <f t="shared" si="43"/>
        <v>E_1_4</v>
      </c>
      <c r="U72" t="s">
        <v>71</v>
      </c>
      <c r="V72">
        <f>SUMIFS(D:D,A:A,"I",B:B,"3")</f>
        <v>258</v>
      </c>
    </row>
    <row r="73" spans="1:94">
      <c r="A73" s="35" t="s">
        <v>21</v>
      </c>
      <c r="B73" s="35">
        <v>1</v>
      </c>
      <c r="C73" s="35">
        <v>1</v>
      </c>
      <c r="D73" s="35">
        <v>0</v>
      </c>
      <c r="E73" s="35" t="b">
        <v>1</v>
      </c>
      <c r="F73" s="35" t="s">
        <v>11</v>
      </c>
      <c r="G73" s="53" t="str">
        <f t="shared" si="36"/>
        <v>E1</v>
      </c>
      <c r="H73" s="52" t="str">
        <f t="shared" si="40"/>
        <v>D</v>
      </c>
      <c r="I73" s="41" t="str">
        <f t="shared" si="37"/>
        <v>E1</v>
      </c>
      <c r="J73" s="42">
        <f t="shared" si="38"/>
        <v>0</v>
      </c>
      <c r="K73" s="41">
        <f t="shared" si="41"/>
        <v>953</v>
      </c>
      <c r="L73" s="41" t="str">
        <f t="shared" si="39"/>
        <v>E1</v>
      </c>
      <c r="M73" s="41" t="str">
        <f t="shared" si="42"/>
        <v>D</v>
      </c>
      <c r="N73" s="41" t="str">
        <f>IFERROR(VLOOKUP(I73,L73:L:L,1,FALSE),"")</f>
        <v>E1</v>
      </c>
      <c r="O73" s="56" t="str">
        <f t="shared" si="43"/>
        <v>E_1_1</v>
      </c>
      <c r="U73" t="s">
        <v>72</v>
      </c>
      <c r="V73">
        <f>SUMIFS(D:D,A:A,"I",B:B,"4")</f>
        <v>0</v>
      </c>
    </row>
    <row r="74" spans="1:94">
      <c r="A74" s="35" t="s">
        <v>21</v>
      </c>
      <c r="B74" s="35">
        <v>2</v>
      </c>
      <c r="C74" s="35">
        <v>3</v>
      </c>
      <c r="D74" s="35">
        <v>157</v>
      </c>
      <c r="E74" s="35" t="b">
        <v>1</v>
      </c>
      <c r="F74" s="35" t="s">
        <v>22</v>
      </c>
      <c r="G74" s="53" t="str">
        <f t="shared" si="36"/>
        <v>E2</v>
      </c>
      <c r="H74" s="52" t="str">
        <f t="shared" si="40"/>
        <v>F</v>
      </c>
      <c r="I74" s="41" t="str">
        <f t="shared" si="37"/>
        <v>E3</v>
      </c>
      <c r="J74" s="42">
        <f t="shared" si="38"/>
        <v>0.12539936102236421</v>
      </c>
      <c r="K74" s="41">
        <f t="shared" si="41"/>
        <v>1252</v>
      </c>
      <c r="L74" s="41" t="str">
        <f t="shared" si="39"/>
        <v>E2</v>
      </c>
      <c r="M74" s="41" t="str">
        <f t="shared" si="42"/>
        <v/>
      </c>
      <c r="N74" s="41" t="str">
        <f>IFERROR(VLOOKUP(I74,L74:L:L,1,FALSE),"")</f>
        <v/>
      </c>
      <c r="O74" s="56" t="str">
        <f t="shared" si="43"/>
        <v>E_2_3</v>
      </c>
      <c r="U74" t="s">
        <v>73</v>
      </c>
      <c r="V74">
        <f>SUMIFS(D:D,A:A,"I",B:B,"5")</f>
        <v>0</v>
      </c>
    </row>
    <row r="75" spans="1:94">
      <c r="A75" s="35" t="s">
        <v>21</v>
      </c>
      <c r="B75" s="35">
        <v>2</v>
      </c>
      <c r="C75" s="35">
        <v>4</v>
      </c>
      <c r="D75" s="35">
        <v>0</v>
      </c>
      <c r="E75" s="35" t="b">
        <v>1</v>
      </c>
      <c r="F75" s="35" t="s">
        <v>22</v>
      </c>
      <c r="G75" s="53" t="str">
        <f t="shared" si="36"/>
        <v>E2</v>
      </c>
      <c r="H75" s="52" t="str">
        <f t="shared" si="40"/>
        <v>F</v>
      </c>
      <c r="I75" s="41" t="str">
        <f t="shared" si="37"/>
        <v>E4</v>
      </c>
      <c r="J75" s="42">
        <f t="shared" si="38"/>
        <v>0</v>
      </c>
      <c r="K75" s="41">
        <f t="shared" si="41"/>
        <v>1252</v>
      </c>
      <c r="L75" s="41" t="str">
        <f t="shared" si="39"/>
        <v>E2</v>
      </c>
      <c r="M75" s="41" t="str">
        <f t="shared" si="42"/>
        <v/>
      </c>
      <c r="N75" s="41" t="str">
        <f>IFERROR(VLOOKUP(I75,L75:L:L,1,FALSE),"")</f>
        <v/>
      </c>
      <c r="O75" s="56" t="str">
        <f t="shared" si="43"/>
        <v>E_2_4</v>
      </c>
      <c r="U75" t="s">
        <v>74</v>
      </c>
      <c r="V75">
        <f>SUMIFS(D:D,A:A,"I",B:B,"6")</f>
        <v>0</v>
      </c>
    </row>
    <row r="76" spans="1:94">
      <c r="A76" s="35" t="s">
        <v>21</v>
      </c>
      <c r="B76" s="35">
        <v>2</v>
      </c>
      <c r="C76" s="35">
        <v>1</v>
      </c>
      <c r="D76" s="35">
        <v>1095</v>
      </c>
      <c r="E76" s="35" t="b">
        <v>1</v>
      </c>
      <c r="F76" s="35" t="s">
        <v>22</v>
      </c>
      <c r="G76" s="53" t="str">
        <f t="shared" si="36"/>
        <v>E2</v>
      </c>
      <c r="H76" s="52" t="str">
        <f t="shared" si="40"/>
        <v>F</v>
      </c>
      <c r="I76" s="41" t="str">
        <f t="shared" si="37"/>
        <v>E1</v>
      </c>
      <c r="J76" s="42">
        <f t="shared" si="38"/>
        <v>0.87460063897763574</v>
      </c>
      <c r="K76" s="41">
        <f t="shared" si="41"/>
        <v>1252</v>
      </c>
      <c r="L76" s="41" t="str">
        <f t="shared" si="39"/>
        <v>E2</v>
      </c>
      <c r="M76" s="41" t="str">
        <f t="shared" si="42"/>
        <v>D</v>
      </c>
      <c r="N76" s="41" t="str">
        <f>IFERROR(VLOOKUP(I76,L76:L:L,1,FALSE),"")</f>
        <v>E1</v>
      </c>
      <c r="O76" s="56" t="str">
        <f t="shared" si="43"/>
        <v>E_2_1</v>
      </c>
    </row>
    <row r="77" spans="1:94">
      <c r="A77" s="35" t="s">
        <v>21</v>
      </c>
      <c r="B77" s="35">
        <v>2</v>
      </c>
      <c r="C77" s="35">
        <v>2</v>
      </c>
      <c r="D77" s="35">
        <v>0</v>
      </c>
      <c r="E77" s="35" t="b">
        <v>1</v>
      </c>
      <c r="F77" s="35" t="s">
        <v>22</v>
      </c>
      <c r="G77" s="53" t="str">
        <f t="shared" si="36"/>
        <v>E2</v>
      </c>
      <c r="H77" s="52" t="str">
        <f t="shared" si="40"/>
        <v>F</v>
      </c>
      <c r="I77" s="41" t="str">
        <f t="shared" si="37"/>
        <v>E2</v>
      </c>
      <c r="J77" s="42">
        <f t="shared" si="38"/>
        <v>0</v>
      </c>
      <c r="K77" s="41">
        <f t="shared" si="41"/>
        <v>1252</v>
      </c>
      <c r="L77" s="41" t="str">
        <f t="shared" si="39"/>
        <v>E2</v>
      </c>
      <c r="M77" s="41" t="str">
        <f t="shared" si="42"/>
        <v>F</v>
      </c>
      <c r="N77" s="41" t="str">
        <f>IFERROR(VLOOKUP(I77,L77:L:L,1,FALSE),"")</f>
        <v>E2</v>
      </c>
      <c r="O77" s="56" t="str">
        <f t="shared" si="43"/>
        <v>E_2_2</v>
      </c>
      <c r="U77" s="1" t="s">
        <v>26</v>
      </c>
      <c r="V77" s="2">
        <f>SUMIF(A:A,"J",D:D)</f>
        <v>3560</v>
      </c>
    </row>
    <row r="78" spans="1:94">
      <c r="A78" s="35" t="s">
        <v>21</v>
      </c>
      <c r="B78" s="35">
        <v>3</v>
      </c>
      <c r="C78" s="35">
        <v>4</v>
      </c>
      <c r="D78" s="35">
        <v>0</v>
      </c>
      <c r="E78" s="35" t="b">
        <v>0</v>
      </c>
      <c r="F78" s="35"/>
      <c r="G78" s="53" t="str">
        <f t="shared" si="36"/>
        <v>E3</v>
      </c>
      <c r="H78" s="52" t="str">
        <f t="shared" si="40"/>
        <v/>
      </c>
      <c r="I78" s="41" t="str">
        <f t="shared" si="37"/>
        <v>E4</v>
      </c>
      <c r="J78" s="42">
        <f t="shared" si="38"/>
        <v>0</v>
      </c>
      <c r="K78" s="41">
        <f t="shared" si="41"/>
        <v>192</v>
      </c>
      <c r="L78" s="41" t="str">
        <f t="shared" si="39"/>
        <v/>
      </c>
      <c r="M78" s="41" t="str">
        <f t="shared" si="42"/>
        <v/>
      </c>
      <c r="N78" s="41" t="str">
        <f>IFERROR(VLOOKUP(I78,L78:L:L,1,FALSE),"")</f>
        <v/>
      </c>
      <c r="O78" s="56" t="str">
        <f t="shared" si="43"/>
        <v>E_3_4</v>
      </c>
      <c r="U78" t="s">
        <v>75</v>
      </c>
      <c r="V78">
        <f>SUMIFS(D:D,A:A,"J",B:B,"1")</f>
        <v>1391</v>
      </c>
    </row>
    <row r="79" spans="1:94">
      <c r="A79" s="35" t="s">
        <v>21</v>
      </c>
      <c r="B79" s="35">
        <v>3</v>
      </c>
      <c r="C79" s="35">
        <v>1</v>
      </c>
      <c r="D79" s="35">
        <v>111</v>
      </c>
      <c r="E79" s="35" t="b">
        <v>0</v>
      </c>
      <c r="F79" s="35"/>
      <c r="G79" s="53" t="str">
        <f t="shared" si="36"/>
        <v>E3</v>
      </c>
      <c r="H79" s="52" t="str">
        <f t="shared" si="40"/>
        <v/>
      </c>
      <c r="I79" s="41" t="str">
        <f t="shared" si="37"/>
        <v>E1</v>
      </c>
      <c r="J79" s="42">
        <f t="shared" si="38"/>
        <v>0.578125</v>
      </c>
      <c r="K79" s="41">
        <f t="shared" si="41"/>
        <v>192</v>
      </c>
      <c r="L79" s="41" t="str">
        <f t="shared" si="39"/>
        <v/>
      </c>
      <c r="M79" s="41" t="str">
        <f t="shared" si="42"/>
        <v>D</v>
      </c>
      <c r="N79" s="41" t="str">
        <f>IFERROR(VLOOKUP(I79,L79:L:L,1,FALSE),"")</f>
        <v>E1</v>
      </c>
      <c r="O79" s="56" t="str">
        <f t="shared" si="43"/>
        <v>E_3_1</v>
      </c>
      <c r="U79" t="s">
        <v>76</v>
      </c>
      <c r="V79">
        <f>SUMIFS(D:D,A:A,"J",B:B,"2")</f>
        <v>0</v>
      </c>
    </row>
    <row r="80" spans="1:94">
      <c r="A80" s="35" t="s">
        <v>21</v>
      </c>
      <c r="B80" s="35">
        <v>3</v>
      </c>
      <c r="C80" s="35">
        <v>2</v>
      </c>
      <c r="D80" s="35">
        <v>81</v>
      </c>
      <c r="E80" s="35" t="b">
        <v>0</v>
      </c>
      <c r="F80" s="35"/>
      <c r="G80" s="53" t="str">
        <f t="shared" si="36"/>
        <v>E3</v>
      </c>
      <c r="H80" s="52" t="str">
        <f t="shared" si="40"/>
        <v/>
      </c>
      <c r="I80" s="41" t="str">
        <f t="shared" si="37"/>
        <v>E2</v>
      </c>
      <c r="J80" s="42">
        <f t="shared" si="38"/>
        <v>0.421875</v>
      </c>
      <c r="K80" s="41">
        <f t="shared" si="41"/>
        <v>192</v>
      </c>
      <c r="L80" s="41" t="str">
        <f t="shared" si="39"/>
        <v/>
      </c>
      <c r="M80" s="41" t="str">
        <f t="shared" si="42"/>
        <v>F</v>
      </c>
      <c r="N80" s="41" t="str">
        <f>IFERROR(VLOOKUP(I80,L80:L:L,1,FALSE),"")</f>
        <v>E2</v>
      </c>
      <c r="O80" s="56" t="str">
        <f t="shared" si="43"/>
        <v>E_3_2</v>
      </c>
      <c r="U80" t="s">
        <v>77</v>
      </c>
      <c r="V80">
        <f>SUMIFS(D:D,A:A,"J",B:B,"3")</f>
        <v>1501</v>
      </c>
    </row>
    <row r="81" spans="1:23">
      <c r="A81" s="35" t="s">
        <v>21</v>
      </c>
      <c r="B81" s="35">
        <v>3</v>
      </c>
      <c r="C81" s="35">
        <v>3</v>
      </c>
      <c r="D81" s="35">
        <v>0</v>
      </c>
      <c r="E81" s="35" t="b">
        <v>0</v>
      </c>
      <c r="F81" s="35"/>
      <c r="G81" s="53" t="str">
        <f t="shared" si="36"/>
        <v>E3</v>
      </c>
      <c r="H81" s="52" t="str">
        <f t="shared" si="40"/>
        <v/>
      </c>
      <c r="I81" s="41" t="str">
        <f t="shared" si="37"/>
        <v>E3</v>
      </c>
      <c r="J81" s="42">
        <f t="shared" si="38"/>
        <v>0</v>
      </c>
      <c r="K81" s="41">
        <f t="shared" si="41"/>
        <v>192</v>
      </c>
      <c r="L81" s="41" t="str">
        <f t="shared" si="39"/>
        <v/>
      </c>
      <c r="M81" s="41" t="str">
        <f t="shared" si="42"/>
        <v/>
      </c>
      <c r="N81" s="41" t="str">
        <f>IFERROR(VLOOKUP(I81,L81:L:L,1,FALSE),"")</f>
        <v/>
      </c>
      <c r="O81" s="56" t="str">
        <f t="shared" si="43"/>
        <v>E_3_3</v>
      </c>
      <c r="U81" t="s">
        <v>78</v>
      </c>
      <c r="V81">
        <f>SUMIFS(D:D,A:A,"J",B:B,"4")</f>
        <v>668</v>
      </c>
    </row>
    <row r="82" spans="1:23">
      <c r="A82" s="35" t="s">
        <v>21</v>
      </c>
      <c r="B82" s="35">
        <v>4</v>
      </c>
      <c r="C82" s="35">
        <v>1</v>
      </c>
      <c r="D82" s="35">
        <v>29</v>
      </c>
      <c r="E82" s="35" t="b">
        <v>0</v>
      </c>
      <c r="F82" s="35"/>
      <c r="G82" s="53" t="str">
        <f t="shared" si="36"/>
        <v>E4</v>
      </c>
      <c r="H82" s="52" t="str">
        <f t="shared" si="40"/>
        <v/>
      </c>
      <c r="I82" s="41" t="str">
        <f t="shared" si="37"/>
        <v>E1</v>
      </c>
      <c r="J82" s="42">
        <f t="shared" si="38"/>
        <v>0.12133891213389121</v>
      </c>
      <c r="K82" s="41">
        <f t="shared" si="41"/>
        <v>239</v>
      </c>
      <c r="L82" s="41" t="str">
        <f t="shared" si="39"/>
        <v/>
      </c>
      <c r="M82" s="41" t="str">
        <f t="shared" si="42"/>
        <v>D</v>
      </c>
      <c r="N82" s="41" t="str">
        <f>IFERROR(VLOOKUP(I82,L82:L:L,1,FALSE),"")</f>
        <v>E1</v>
      </c>
      <c r="O82" s="56" t="str">
        <f t="shared" si="43"/>
        <v>E_4_1</v>
      </c>
      <c r="U82" t="s">
        <v>79</v>
      </c>
      <c r="V82">
        <f>SUMIFS(D:D,A:A,"J",B:B,"5")</f>
        <v>0</v>
      </c>
    </row>
    <row r="83" spans="1:23">
      <c r="A83" s="35" t="s">
        <v>21</v>
      </c>
      <c r="B83" s="35">
        <v>4</v>
      </c>
      <c r="C83" s="35">
        <v>2</v>
      </c>
      <c r="D83" s="35">
        <v>170</v>
      </c>
      <c r="E83" s="35" t="b">
        <v>0</v>
      </c>
      <c r="F83" s="35"/>
      <c r="G83" s="53" t="str">
        <f t="shared" si="36"/>
        <v>E4</v>
      </c>
      <c r="H83" s="52" t="str">
        <f t="shared" si="40"/>
        <v/>
      </c>
      <c r="I83" s="41" t="str">
        <f t="shared" si="37"/>
        <v>E2</v>
      </c>
      <c r="J83" s="42">
        <f t="shared" si="38"/>
        <v>0.71129707112970708</v>
      </c>
      <c r="K83" s="41">
        <f t="shared" si="41"/>
        <v>239</v>
      </c>
      <c r="L83" s="41" t="str">
        <f t="shared" si="39"/>
        <v/>
      </c>
      <c r="M83" s="41" t="str">
        <f t="shared" si="42"/>
        <v>F</v>
      </c>
      <c r="N83" s="41" t="str">
        <f>IFERROR(VLOOKUP(I83,L83:L:L,1,FALSE),"")</f>
        <v>E2</v>
      </c>
      <c r="O83" s="56" t="str">
        <f t="shared" si="43"/>
        <v>E_4_2</v>
      </c>
      <c r="U83" t="s">
        <v>80</v>
      </c>
      <c r="V83">
        <f>SUMIFS(D:D,A:A,"J",B:B,"6")</f>
        <v>0</v>
      </c>
    </row>
    <row r="84" spans="1:23">
      <c r="A84" s="35" t="s">
        <v>21</v>
      </c>
      <c r="B84" s="35">
        <v>4</v>
      </c>
      <c r="C84" s="35">
        <v>3</v>
      </c>
      <c r="D84" s="35">
        <v>40</v>
      </c>
      <c r="E84" s="35" t="b">
        <v>0</v>
      </c>
      <c r="F84" s="35"/>
      <c r="G84" s="53" t="str">
        <f t="shared" si="36"/>
        <v>E4</v>
      </c>
      <c r="H84" s="52" t="str">
        <f t="shared" si="40"/>
        <v/>
      </c>
      <c r="I84" s="41" t="str">
        <f t="shared" si="37"/>
        <v>E3</v>
      </c>
      <c r="J84" s="42">
        <f t="shared" si="38"/>
        <v>0.16736401673640167</v>
      </c>
      <c r="K84" s="41">
        <f t="shared" si="41"/>
        <v>239</v>
      </c>
      <c r="L84" s="41" t="str">
        <f t="shared" si="39"/>
        <v/>
      </c>
      <c r="M84" s="41" t="str">
        <f t="shared" si="42"/>
        <v/>
      </c>
      <c r="N84" s="41" t="str">
        <f>IFERROR(VLOOKUP(I84,L84:L:L,1,FALSE),"")</f>
        <v/>
      </c>
      <c r="O84" s="56" t="str">
        <f t="shared" si="43"/>
        <v>E_4_3</v>
      </c>
    </row>
    <row r="85" spans="1:23">
      <c r="A85" s="35" t="s">
        <v>21</v>
      </c>
      <c r="B85" s="35">
        <v>4</v>
      </c>
      <c r="C85" s="35">
        <v>4</v>
      </c>
      <c r="D85" s="35">
        <v>0</v>
      </c>
      <c r="E85" s="35" t="b">
        <v>0</v>
      </c>
      <c r="F85" s="35"/>
      <c r="G85" s="53" t="str">
        <f t="shared" si="36"/>
        <v>E4</v>
      </c>
      <c r="H85" s="52" t="str">
        <f t="shared" si="40"/>
        <v/>
      </c>
      <c r="I85" s="41" t="str">
        <f t="shared" si="37"/>
        <v>E4</v>
      </c>
      <c r="J85" s="42">
        <f t="shared" si="38"/>
        <v>0</v>
      </c>
      <c r="K85" s="41">
        <f t="shared" si="41"/>
        <v>239</v>
      </c>
      <c r="L85" s="41" t="str">
        <f t="shared" si="39"/>
        <v/>
      </c>
      <c r="M85" s="41" t="str">
        <f t="shared" si="42"/>
        <v/>
      </c>
      <c r="N85" s="41" t="str">
        <f>IFERROR(VLOOKUP(I85,L85:L:L,1,FALSE),"")</f>
        <v/>
      </c>
      <c r="O85" s="56" t="str">
        <f t="shared" si="43"/>
        <v>E_4_4</v>
      </c>
      <c r="U85" s="1" t="s">
        <v>27</v>
      </c>
      <c r="V85" s="2">
        <f>SUMIF(A:A,"K",D:D)</f>
        <v>2822</v>
      </c>
    </row>
    <row r="86" spans="1:23">
      <c r="A86" s="35" t="s">
        <v>22</v>
      </c>
      <c r="B86" s="35">
        <v>1</v>
      </c>
      <c r="C86" s="35">
        <v>2</v>
      </c>
      <c r="D86" s="35">
        <v>69</v>
      </c>
      <c r="E86" s="35" t="b">
        <v>1</v>
      </c>
      <c r="F86" s="35" t="s">
        <v>21</v>
      </c>
      <c r="G86" s="53" t="str">
        <f t="shared" si="36"/>
        <v>F1</v>
      </c>
      <c r="H86" s="52" t="str">
        <f t="shared" si="40"/>
        <v>E</v>
      </c>
      <c r="I86" s="41" t="str">
        <f t="shared" si="37"/>
        <v>F2</v>
      </c>
      <c r="J86" s="42">
        <f t="shared" si="38"/>
        <v>6.0473269062226116E-2</v>
      </c>
      <c r="K86" s="41">
        <f t="shared" si="41"/>
        <v>1141</v>
      </c>
      <c r="L86" s="41" t="str">
        <f t="shared" si="39"/>
        <v>F1</v>
      </c>
      <c r="M86" s="41" t="str">
        <f t="shared" si="42"/>
        <v/>
      </c>
      <c r="N86" s="41" t="str">
        <f>IFERROR(VLOOKUP(I86,L86:L:L,1,FALSE),"")</f>
        <v/>
      </c>
      <c r="O86" s="56" t="str">
        <f t="shared" si="43"/>
        <v>F_1_2</v>
      </c>
      <c r="U86" t="s">
        <v>81</v>
      </c>
      <c r="V86">
        <f>SUMIFS(D:D,A:A,"K",B:B,"1")</f>
        <v>1035</v>
      </c>
    </row>
    <row r="87" spans="1:23">
      <c r="A87" s="35" t="s">
        <v>22</v>
      </c>
      <c r="B87" s="35">
        <v>1</v>
      </c>
      <c r="C87" s="35">
        <v>3</v>
      </c>
      <c r="D87" s="35">
        <v>924</v>
      </c>
      <c r="E87" s="35" t="b">
        <v>1</v>
      </c>
      <c r="F87" s="35" t="s">
        <v>21</v>
      </c>
      <c r="G87" s="53" t="str">
        <f t="shared" si="36"/>
        <v>F1</v>
      </c>
      <c r="H87" s="52" t="str">
        <f t="shared" si="40"/>
        <v>E</v>
      </c>
      <c r="I87" s="41" t="str">
        <f t="shared" si="37"/>
        <v>F3</v>
      </c>
      <c r="J87" s="42">
        <f t="shared" si="38"/>
        <v>0.80981595092024539</v>
      </c>
      <c r="K87" s="41">
        <f t="shared" si="41"/>
        <v>1141</v>
      </c>
      <c r="L87" s="41" t="str">
        <f t="shared" si="39"/>
        <v>F1</v>
      </c>
      <c r="M87" s="41" t="str">
        <f t="shared" si="42"/>
        <v>G</v>
      </c>
      <c r="N87" s="41" t="str">
        <f>IFERROR(VLOOKUP(I87,L87:L:L,1,FALSE),"")</f>
        <v>F3</v>
      </c>
      <c r="O87" s="56" t="str">
        <f t="shared" si="43"/>
        <v>F_1_3</v>
      </c>
      <c r="U87" t="s">
        <v>82</v>
      </c>
      <c r="V87">
        <f>SUMIFS(D:D,A:A,"K",B:B,"2")</f>
        <v>1122</v>
      </c>
    </row>
    <row r="88" spans="1:23">
      <c r="A88" s="35" t="s">
        <v>22</v>
      </c>
      <c r="B88" s="35">
        <v>1</v>
      </c>
      <c r="C88" s="35">
        <v>4</v>
      </c>
      <c r="D88" s="35">
        <v>148</v>
      </c>
      <c r="E88" s="35" t="b">
        <v>1</v>
      </c>
      <c r="F88" s="35" t="s">
        <v>21</v>
      </c>
      <c r="G88" s="53" t="str">
        <f t="shared" si="36"/>
        <v>F1</v>
      </c>
      <c r="H88" s="52" t="str">
        <f t="shared" si="40"/>
        <v>E</v>
      </c>
      <c r="I88" s="41" t="str">
        <f t="shared" si="37"/>
        <v>F4</v>
      </c>
      <c r="J88" s="42">
        <f t="shared" si="38"/>
        <v>0.12971078001752848</v>
      </c>
      <c r="K88" s="41">
        <f t="shared" si="41"/>
        <v>1141</v>
      </c>
      <c r="L88" s="41" t="str">
        <f t="shared" si="39"/>
        <v>F1</v>
      </c>
      <c r="M88" s="41" t="str">
        <f t="shared" si="42"/>
        <v/>
      </c>
      <c r="N88" s="41" t="str">
        <f>IFERROR(VLOOKUP(I88,L88:L:L,1,FALSE),"")</f>
        <v/>
      </c>
      <c r="O88" s="56" t="str">
        <f t="shared" si="43"/>
        <v>F_1_4</v>
      </c>
      <c r="U88" t="s">
        <v>83</v>
      </c>
      <c r="V88">
        <f>SUMIFS(D:D,A:A,"K",B:B,"3")</f>
        <v>665</v>
      </c>
    </row>
    <row r="89" spans="1:23">
      <c r="A89" s="35" t="s">
        <v>22</v>
      </c>
      <c r="B89" s="35">
        <v>1</v>
      </c>
      <c r="C89" s="35">
        <v>1</v>
      </c>
      <c r="D89" s="35">
        <v>0</v>
      </c>
      <c r="E89" s="35" t="b">
        <v>1</v>
      </c>
      <c r="F89" s="35" t="s">
        <v>21</v>
      </c>
      <c r="G89" s="53" t="str">
        <f t="shared" si="36"/>
        <v>F1</v>
      </c>
      <c r="H89" s="52" t="str">
        <f t="shared" si="40"/>
        <v>E</v>
      </c>
      <c r="I89" s="41" t="str">
        <f t="shared" si="37"/>
        <v>F1</v>
      </c>
      <c r="J89" s="42">
        <f t="shared" si="38"/>
        <v>0</v>
      </c>
      <c r="K89" s="41">
        <f t="shared" si="41"/>
        <v>1141</v>
      </c>
      <c r="L89" s="41" t="str">
        <f t="shared" si="39"/>
        <v>F1</v>
      </c>
      <c r="M89" s="41" t="str">
        <f t="shared" si="42"/>
        <v>E</v>
      </c>
      <c r="N89" s="41" t="str">
        <f>IFERROR(VLOOKUP(I89,L89:L:L,1,FALSE),"")</f>
        <v>F1</v>
      </c>
      <c r="O89" s="56" t="str">
        <f t="shared" si="43"/>
        <v>F_1_1</v>
      </c>
      <c r="U89" t="s">
        <v>84</v>
      </c>
      <c r="V89">
        <f>SUMIFS(D:D,A:A,"K",B:B,"4")</f>
        <v>0</v>
      </c>
    </row>
    <row r="90" spans="1:23">
      <c r="A90" s="35" t="s">
        <v>22</v>
      </c>
      <c r="B90" s="35">
        <v>2</v>
      </c>
      <c r="C90" s="35">
        <v>3</v>
      </c>
      <c r="D90" s="35">
        <v>0</v>
      </c>
      <c r="E90" s="35" t="b">
        <v>0</v>
      </c>
      <c r="F90" s="35"/>
      <c r="G90" s="53" t="str">
        <f t="shared" si="36"/>
        <v>F2</v>
      </c>
      <c r="H90" s="52" t="str">
        <f t="shared" si="40"/>
        <v/>
      </c>
      <c r="I90" s="41" t="str">
        <f t="shared" si="37"/>
        <v>F3</v>
      </c>
      <c r="J90" s="42" t="e">
        <f t="shared" si="38"/>
        <v>#DIV/0!</v>
      </c>
      <c r="K90" s="41">
        <f t="shared" si="41"/>
        <v>0</v>
      </c>
      <c r="L90" s="41" t="str">
        <f t="shared" si="39"/>
        <v/>
      </c>
      <c r="M90" s="41" t="str">
        <f t="shared" si="42"/>
        <v>G</v>
      </c>
      <c r="N90" s="41" t="str">
        <f>IFERROR(VLOOKUP(I90,L90:L:L,1,FALSE),"")</f>
        <v>F3</v>
      </c>
      <c r="O90" s="56" t="str">
        <f t="shared" si="43"/>
        <v>F_2_3</v>
      </c>
      <c r="U90" t="s">
        <v>85</v>
      </c>
      <c r="V90">
        <f>SUMIFS(D:D,A:A,"K",B:B,"5")</f>
        <v>0</v>
      </c>
    </row>
    <row r="91" spans="1:23">
      <c r="A91" s="35" t="s">
        <v>22</v>
      </c>
      <c r="B91" s="35">
        <v>2</v>
      </c>
      <c r="C91" s="35">
        <v>4</v>
      </c>
      <c r="D91" s="35">
        <v>0</v>
      </c>
      <c r="E91" s="35" t="b">
        <v>0</v>
      </c>
      <c r="F91" s="35"/>
      <c r="G91" s="53" t="str">
        <f t="shared" si="36"/>
        <v>F2</v>
      </c>
      <c r="H91" s="52" t="str">
        <f t="shared" si="40"/>
        <v/>
      </c>
      <c r="I91" s="41" t="str">
        <f t="shared" si="37"/>
        <v>F4</v>
      </c>
      <c r="J91" s="42" t="e">
        <f t="shared" si="38"/>
        <v>#DIV/0!</v>
      </c>
      <c r="K91" s="41">
        <f t="shared" si="41"/>
        <v>0</v>
      </c>
      <c r="L91" s="41" t="str">
        <f t="shared" si="39"/>
        <v/>
      </c>
      <c r="M91" s="41" t="str">
        <f t="shared" si="42"/>
        <v/>
      </c>
      <c r="N91" s="41" t="str">
        <f>IFERROR(VLOOKUP(I91,L91:L:L,1,FALSE),"")</f>
        <v/>
      </c>
      <c r="O91" s="56" t="str">
        <f t="shared" si="43"/>
        <v>F_2_4</v>
      </c>
      <c r="U91" t="s">
        <v>86</v>
      </c>
      <c r="V91">
        <f t="shared" ref="V91" si="46">SUMIFS(D:D,A:A,"K",B:B,"6")</f>
        <v>0</v>
      </c>
    </row>
    <row r="92" spans="1:23">
      <c r="A92" s="35" t="s">
        <v>22</v>
      </c>
      <c r="B92" s="35">
        <v>2</v>
      </c>
      <c r="C92" s="35">
        <v>1</v>
      </c>
      <c r="D92" s="35">
        <v>0</v>
      </c>
      <c r="E92" s="35" t="b">
        <v>0</v>
      </c>
      <c r="F92" s="35"/>
      <c r="G92" s="53" t="str">
        <f t="shared" si="36"/>
        <v>F2</v>
      </c>
      <c r="H92" s="52" t="str">
        <f t="shared" si="40"/>
        <v/>
      </c>
      <c r="I92" s="41" t="str">
        <f t="shared" si="37"/>
        <v>F1</v>
      </c>
      <c r="J92" s="42" t="e">
        <f t="shared" si="38"/>
        <v>#DIV/0!</v>
      </c>
      <c r="K92" s="41">
        <f t="shared" si="41"/>
        <v>0</v>
      </c>
      <c r="L92" s="41" t="str">
        <f t="shared" si="39"/>
        <v/>
      </c>
      <c r="M92" s="41" t="str">
        <f t="shared" si="42"/>
        <v>E</v>
      </c>
      <c r="N92" s="41" t="str">
        <f>IFERROR(VLOOKUP(I92,L92:L:L,1,FALSE),"")</f>
        <v>F1</v>
      </c>
      <c r="O92" s="56" t="str">
        <f t="shared" si="43"/>
        <v>F_2_1</v>
      </c>
    </row>
    <row r="93" spans="1:23">
      <c r="A93" s="35" t="s">
        <v>22</v>
      </c>
      <c r="B93" s="35">
        <v>2</v>
      </c>
      <c r="C93" s="35">
        <v>2</v>
      </c>
      <c r="D93" s="35">
        <v>0</v>
      </c>
      <c r="E93" s="35" t="b">
        <v>0</v>
      </c>
      <c r="F93" s="35"/>
      <c r="G93" s="53" t="str">
        <f t="shared" si="36"/>
        <v>F2</v>
      </c>
      <c r="H93" s="52" t="str">
        <f t="shared" si="40"/>
        <v/>
      </c>
      <c r="I93" s="41" t="str">
        <f t="shared" si="37"/>
        <v>F2</v>
      </c>
      <c r="J93" s="42" t="e">
        <f t="shared" si="38"/>
        <v>#DIV/0!</v>
      </c>
      <c r="K93" s="41">
        <f t="shared" si="41"/>
        <v>0</v>
      </c>
      <c r="L93" s="41" t="str">
        <f t="shared" si="39"/>
        <v/>
      </c>
      <c r="M93" s="41" t="str">
        <f t="shared" si="42"/>
        <v/>
      </c>
      <c r="N93" s="41" t="str">
        <f>IFERROR(VLOOKUP(I93,L93:L:L,1,FALSE),"")</f>
        <v/>
      </c>
      <c r="O93" s="56" t="str">
        <f t="shared" si="43"/>
        <v>F_2_2</v>
      </c>
    </row>
    <row r="94" spans="1:23">
      <c r="A94" s="35" t="s">
        <v>22</v>
      </c>
      <c r="B94" s="35">
        <v>3</v>
      </c>
      <c r="C94" s="35">
        <v>4</v>
      </c>
      <c r="D94" s="35">
        <v>239</v>
      </c>
      <c r="E94" s="35" t="b">
        <v>1</v>
      </c>
      <c r="F94" s="35" t="s">
        <v>23</v>
      </c>
      <c r="G94" s="53" t="str">
        <f t="shared" si="36"/>
        <v>F3</v>
      </c>
      <c r="H94" s="52" t="str">
        <f t="shared" si="40"/>
        <v>G</v>
      </c>
      <c r="I94" s="41" t="str">
        <f t="shared" si="37"/>
        <v>F4</v>
      </c>
      <c r="J94" s="42">
        <f t="shared" si="38"/>
        <v>0.14826302729528537</v>
      </c>
      <c r="K94" s="41">
        <f t="shared" si="41"/>
        <v>1612</v>
      </c>
      <c r="L94" s="41" t="str">
        <f t="shared" si="39"/>
        <v>F3</v>
      </c>
      <c r="M94" s="41" t="str">
        <f t="shared" si="42"/>
        <v/>
      </c>
      <c r="N94" s="41" t="str">
        <f>IFERROR(VLOOKUP(I94,L94:L:L,1,FALSE),"")</f>
        <v/>
      </c>
      <c r="O94" s="56" t="str">
        <f t="shared" si="43"/>
        <v>F_3_4</v>
      </c>
      <c r="T94" s="52"/>
      <c r="U94" s="52"/>
      <c r="V94" s="52"/>
      <c r="W94" s="52"/>
    </row>
    <row r="95" spans="1:23">
      <c r="A95" s="35" t="s">
        <v>22</v>
      </c>
      <c r="B95" s="35">
        <v>3</v>
      </c>
      <c r="C95" s="35">
        <v>1</v>
      </c>
      <c r="D95" s="35">
        <v>1090</v>
      </c>
      <c r="E95" s="35" t="b">
        <v>1</v>
      </c>
      <c r="F95" s="35" t="s">
        <v>23</v>
      </c>
      <c r="G95" s="53" t="str">
        <f t="shared" si="36"/>
        <v>F3</v>
      </c>
      <c r="H95" s="52" t="str">
        <f t="shared" si="40"/>
        <v>G</v>
      </c>
      <c r="I95" s="41" t="str">
        <f t="shared" si="37"/>
        <v>F1</v>
      </c>
      <c r="J95" s="42">
        <f t="shared" si="38"/>
        <v>0.67617866004962779</v>
      </c>
      <c r="K95" s="41">
        <f t="shared" si="41"/>
        <v>1612</v>
      </c>
      <c r="L95" s="41" t="str">
        <f t="shared" si="39"/>
        <v>F3</v>
      </c>
      <c r="M95" s="41" t="str">
        <f t="shared" si="42"/>
        <v>E</v>
      </c>
      <c r="N95" s="41" t="str">
        <f>IFERROR(VLOOKUP(I95,L95:L:L,1,FALSE),"")</f>
        <v>F1</v>
      </c>
      <c r="O95" s="56" t="str">
        <f t="shared" si="43"/>
        <v>F_3_1</v>
      </c>
      <c r="T95" s="52"/>
      <c r="U95" s="52"/>
      <c r="V95" s="52"/>
      <c r="W95" s="52"/>
    </row>
    <row r="96" spans="1:23">
      <c r="A96" s="35" t="s">
        <v>22</v>
      </c>
      <c r="B96" s="35">
        <v>3</v>
      </c>
      <c r="C96" s="35">
        <v>2</v>
      </c>
      <c r="D96" s="35">
        <v>283</v>
      </c>
      <c r="E96" s="35" t="b">
        <v>1</v>
      </c>
      <c r="F96" s="35" t="s">
        <v>23</v>
      </c>
      <c r="G96" s="53" t="str">
        <f t="shared" si="36"/>
        <v>F3</v>
      </c>
      <c r="H96" s="52" t="str">
        <f t="shared" si="40"/>
        <v>G</v>
      </c>
      <c r="I96" s="41" t="str">
        <f t="shared" si="37"/>
        <v>F2</v>
      </c>
      <c r="J96" s="42">
        <f t="shared" si="38"/>
        <v>0.17555831265508684</v>
      </c>
      <c r="K96" s="41">
        <f t="shared" si="41"/>
        <v>1612</v>
      </c>
      <c r="L96" s="41" t="str">
        <f t="shared" si="39"/>
        <v>F3</v>
      </c>
      <c r="M96" s="41" t="str">
        <f t="shared" si="42"/>
        <v/>
      </c>
      <c r="N96" s="41" t="str">
        <f>IFERROR(VLOOKUP(I96,L96:L:L,1,FALSE),"")</f>
        <v/>
      </c>
      <c r="O96" s="56" t="str">
        <f t="shared" si="43"/>
        <v>F_3_2</v>
      </c>
      <c r="T96" s="52"/>
      <c r="U96" s="52"/>
      <c r="V96" s="52"/>
      <c r="W96" s="52"/>
    </row>
    <row r="97" spans="1:23">
      <c r="A97" s="35" t="s">
        <v>22</v>
      </c>
      <c r="B97" s="35">
        <v>3</v>
      </c>
      <c r="C97" s="35">
        <v>3</v>
      </c>
      <c r="D97" s="35">
        <v>0</v>
      </c>
      <c r="E97" s="35" t="b">
        <v>1</v>
      </c>
      <c r="F97" s="35" t="s">
        <v>23</v>
      </c>
      <c r="G97" s="53" t="str">
        <f t="shared" si="36"/>
        <v>F3</v>
      </c>
      <c r="H97" s="52" t="str">
        <f t="shared" si="40"/>
        <v>G</v>
      </c>
      <c r="I97" s="41" t="str">
        <f t="shared" si="37"/>
        <v>F3</v>
      </c>
      <c r="J97" s="42">
        <f t="shared" si="38"/>
        <v>0</v>
      </c>
      <c r="K97" s="41">
        <f t="shared" si="41"/>
        <v>1612</v>
      </c>
      <c r="L97" s="41" t="str">
        <f t="shared" si="39"/>
        <v>F3</v>
      </c>
      <c r="M97" s="41" t="str">
        <f t="shared" si="42"/>
        <v>G</v>
      </c>
      <c r="N97" s="41" t="str">
        <f>IFERROR(VLOOKUP(I97,L97:L:L,1,FALSE),"")</f>
        <v>F3</v>
      </c>
      <c r="O97" s="56" t="str">
        <f t="shared" si="43"/>
        <v>F_3_3</v>
      </c>
      <c r="T97" s="52"/>
      <c r="U97" s="52"/>
      <c r="V97" s="52"/>
      <c r="W97" s="52"/>
    </row>
    <row r="98" spans="1:23">
      <c r="A98" s="35" t="s">
        <v>22</v>
      </c>
      <c r="B98" s="35">
        <v>4</v>
      </c>
      <c r="C98" s="35">
        <v>1</v>
      </c>
      <c r="D98" s="35">
        <v>154</v>
      </c>
      <c r="E98" s="35" t="b">
        <v>0</v>
      </c>
      <c r="F98" s="35"/>
      <c r="G98" s="53" t="str">
        <f t="shared" si="36"/>
        <v>F4</v>
      </c>
      <c r="H98" s="52" t="str">
        <f t="shared" si="40"/>
        <v/>
      </c>
      <c r="I98" s="41" t="str">
        <f t="shared" si="37"/>
        <v>F1</v>
      </c>
      <c r="J98" s="42">
        <f t="shared" si="38"/>
        <v>0.36406619385342792</v>
      </c>
      <c r="K98" s="41">
        <f t="shared" si="41"/>
        <v>423</v>
      </c>
      <c r="L98" s="41" t="str">
        <f t="shared" si="39"/>
        <v/>
      </c>
      <c r="M98" s="41" t="str">
        <f t="shared" si="42"/>
        <v>E</v>
      </c>
      <c r="N98" s="41" t="str">
        <f>IFERROR(VLOOKUP(I98,L98:L:L,1,FALSE),"")</f>
        <v>F1</v>
      </c>
      <c r="O98" s="56" t="str">
        <f t="shared" si="43"/>
        <v>F_4_1</v>
      </c>
      <c r="T98" s="52"/>
      <c r="U98" s="52"/>
      <c r="V98" s="52"/>
      <c r="W98" s="52"/>
    </row>
    <row r="99" spans="1:23">
      <c r="A99" s="35" t="s">
        <v>22</v>
      </c>
      <c r="B99" s="35">
        <v>4</v>
      </c>
      <c r="C99" s="35">
        <v>2</v>
      </c>
      <c r="D99" s="35">
        <v>101</v>
      </c>
      <c r="E99" s="35" t="b">
        <v>0</v>
      </c>
      <c r="F99" s="35"/>
      <c r="G99" s="53" t="str">
        <f t="shared" si="36"/>
        <v>F4</v>
      </c>
      <c r="H99" s="52" t="str">
        <f t="shared" si="40"/>
        <v/>
      </c>
      <c r="I99" s="41" t="str">
        <f t="shared" si="37"/>
        <v>F2</v>
      </c>
      <c r="J99" s="42">
        <f t="shared" si="38"/>
        <v>0.23877068557919623</v>
      </c>
      <c r="K99" s="41">
        <f t="shared" si="41"/>
        <v>423</v>
      </c>
      <c r="L99" s="41" t="str">
        <f t="shared" si="39"/>
        <v/>
      </c>
      <c r="M99" s="41" t="str">
        <f t="shared" si="42"/>
        <v/>
      </c>
      <c r="N99" s="41" t="str">
        <f>IFERROR(VLOOKUP(I99,L99:L:L,1,FALSE),"")</f>
        <v/>
      </c>
      <c r="O99" s="56" t="str">
        <f t="shared" si="43"/>
        <v>F_4_2</v>
      </c>
      <c r="T99" s="52"/>
      <c r="U99" s="52"/>
      <c r="V99" s="52"/>
      <c r="W99" s="52"/>
    </row>
    <row r="100" spans="1:23">
      <c r="A100" s="35" t="s">
        <v>22</v>
      </c>
      <c r="B100" s="35">
        <v>4</v>
      </c>
      <c r="C100" s="35">
        <v>3</v>
      </c>
      <c r="D100" s="35">
        <v>168</v>
      </c>
      <c r="E100" s="35" t="b">
        <v>0</v>
      </c>
      <c r="F100" s="35"/>
      <c r="G100" s="53" t="str">
        <f t="shared" si="36"/>
        <v>F4</v>
      </c>
      <c r="H100" s="52" t="str">
        <f t="shared" si="40"/>
        <v/>
      </c>
      <c r="I100" s="41" t="str">
        <f t="shared" si="37"/>
        <v>F3</v>
      </c>
      <c r="J100" s="42">
        <f t="shared" si="38"/>
        <v>0.3971631205673759</v>
      </c>
      <c r="K100" s="41">
        <f t="shared" si="41"/>
        <v>423</v>
      </c>
      <c r="L100" s="41" t="str">
        <f t="shared" si="39"/>
        <v/>
      </c>
      <c r="M100" s="41" t="str">
        <f t="shared" si="42"/>
        <v>G</v>
      </c>
      <c r="N100" s="41" t="str">
        <f>IFERROR(VLOOKUP(I100,L100:L:L,1,FALSE),"")</f>
        <v>F3</v>
      </c>
      <c r="O100" s="56" t="str">
        <f t="shared" si="43"/>
        <v>F_4_3</v>
      </c>
      <c r="T100" s="52"/>
      <c r="U100" s="52"/>
      <c r="V100" s="52"/>
      <c r="W100" s="52"/>
    </row>
    <row r="101" spans="1:23">
      <c r="A101" s="35" t="s">
        <v>22</v>
      </c>
      <c r="B101" s="35">
        <v>4</v>
      </c>
      <c r="C101" s="35">
        <v>4</v>
      </c>
      <c r="D101" s="35">
        <v>0</v>
      </c>
      <c r="E101" s="35" t="b">
        <v>0</v>
      </c>
      <c r="F101" s="35"/>
      <c r="G101" s="53" t="str">
        <f t="shared" si="36"/>
        <v>F4</v>
      </c>
      <c r="H101" s="52" t="str">
        <f t="shared" si="40"/>
        <v/>
      </c>
      <c r="I101" s="41" t="str">
        <f t="shared" si="37"/>
        <v>F4</v>
      </c>
      <c r="J101" s="42">
        <f t="shared" si="38"/>
        <v>0</v>
      </c>
      <c r="K101" s="41">
        <f t="shared" si="41"/>
        <v>423</v>
      </c>
      <c r="L101" s="41" t="str">
        <f t="shared" si="39"/>
        <v/>
      </c>
      <c r="M101" s="41" t="str">
        <f t="shared" si="42"/>
        <v/>
      </c>
      <c r="N101" s="41" t="str">
        <f>IFERROR(VLOOKUP(I101,L101:L:L,1,FALSE),"")</f>
        <v/>
      </c>
      <c r="O101" s="56" t="str">
        <f t="shared" si="43"/>
        <v>F_4_4</v>
      </c>
      <c r="T101" s="52"/>
      <c r="U101" s="52"/>
      <c r="V101" s="52"/>
      <c r="W101" s="52"/>
    </row>
    <row r="102" spans="1:23">
      <c r="A102" s="35" t="s">
        <v>23</v>
      </c>
      <c r="B102" s="35">
        <v>1</v>
      </c>
      <c r="C102" s="35">
        <v>2</v>
      </c>
      <c r="D102" s="35">
        <v>1079</v>
      </c>
      <c r="E102" s="35" t="b">
        <v>1</v>
      </c>
      <c r="F102" s="35" t="s">
        <v>22</v>
      </c>
      <c r="G102" s="53" t="str">
        <f t="shared" si="36"/>
        <v>G1</v>
      </c>
      <c r="H102" s="52" t="str">
        <f t="shared" si="40"/>
        <v>F</v>
      </c>
      <c r="I102" s="41" t="str">
        <f t="shared" si="37"/>
        <v>G2</v>
      </c>
      <c r="J102" s="42">
        <f t="shared" si="38"/>
        <v>0.99264029438822443</v>
      </c>
      <c r="K102" s="41">
        <f t="shared" si="41"/>
        <v>1087</v>
      </c>
      <c r="L102" s="41" t="str">
        <f t="shared" si="39"/>
        <v>G1</v>
      </c>
      <c r="M102" s="41" t="str">
        <f t="shared" si="42"/>
        <v>H</v>
      </c>
      <c r="N102" s="41" t="str">
        <f>IFERROR(VLOOKUP(I102,L102:L:L,1,FALSE),"")</f>
        <v>G2</v>
      </c>
      <c r="O102" s="56" t="str">
        <f t="shared" si="43"/>
        <v>G_1_2</v>
      </c>
      <c r="T102" s="52"/>
      <c r="U102" s="52"/>
      <c r="V102" s="52"/>
      <c r="W102" s="52"/>
    </row>
    <row r="103" spans="1:23">
      <c r="A103" s="35" t="s">
        <v>23</v>
      </c>
      <c r="B103" s="35">
        <v>1</v>
      </c>
      <c r="C103" s="35">
        <v>3</v>
      </c>
      <c r="D103" s="35">
        <v>8</v>
      </c>
      <c r="E103" s="35" t="b">
        <v>1</v>
      </c>
      <c r="F103" s="35" t="s">
        <v>22</v>
      </c>
      <c r="G103" s="53" t="str">
        <f t="shared" si="36"/>
        <v>G1</v>
      </c>
      <c r="H103" s="52" t="str">
        <f t="shared" si="40"/>
        <v>F</v>
      </c>
      <c r="I103" s="41" t="str">
        <f t="shared" si="37"/>
        <v>G3</v>
      </c>
      <c r="J103" s="42">
        <f t="shared" si="38"/>
        <v>7.3597056117755289E-3</v>
      </c>
      <c r="K103" s="41">
        <f t="shared" si="41"/>
        <v>1087</v>
      </c>
      <c r="L103" s="41" t="str">
        <f t="shared" si="39"/>
        <v>G1</v>
      </c>
      <c r="M103" s="41" t="str">
        <f t="shared" si="42"/>
        <v/>
      </c>
      <c r="N103" s="41" t="str">
        <f>IFERROR(VLOOKUP(I103,L103:L:L,1,FALSE),"")</f>
        <v/>
      </c>
      <c r="O103" s="56" t="str">
        <f t="shared" si="43"/>
        <v>G_1_3</v>
      </c>
      <c r="T103" s="52"/>
      <c r="U103" s="52"/>
      <c r="V103" s="52"/>
      <c r="W103" s="52"/>
    </row>
    <row r="104" spans="1:23">
      <c r="A104" s="35" t="s">
        <v>23</v>
      </c>
      <c r="B104" s="35">
        <v>1</v>
      </c>
      <c r="C104" s="35">
        <v>1</v>
      </c>
      <c r="D104" s="35">
        <v>0</v>
      </c>
      <c r="E104" s="35" t="b">
        <v>1</v>
      </c>
      <c r="F104" s="35" t="s">
        <v>22</v>
      </c>
      <c r="G104" s="53" t="str">
        <f t="shared" si="36"/>
        <v>G1</v>
      </c>
      <c r="H104" s="52" t="str">
        <f t="shared" si="40"/>
        <v>F</v>
      </c>
      <c r="I104" s="41" t="str">
        <f t="shared" si="37"/>
        <v>G1</v>
      </c>
      <c r="J104" s="42">
        <f t="shared" si="38"/>
        <v>0</v>
      </c>
      <c r="K104" s="41">
        <f t="shared" si="41"/>
        <v>1087</v>
      </c>
      <c r="L104" s="41" t="str">
        <f t="shared" si="39"/>
        <v>G1</v>
      </c>
      <c r="M104" s="41" t="str">
        <f t="shared" si="42"/>
        <v>F</v>
      </c>
      <c r="N104" s="41" t="str">
        <f>IFERROR(VLOOKUP(I104,L104:L:L,1,FALSE),"")</f>
        <v>G1</v>
      </c>
      <c r="O104" s="56" t="str">
        <f t="shared" si="43"/>
        <v>G_1_1</v>
      </c>
      <c r="T104" s="52"/>
      <c r="U104" s="52"/>
      <c r="V104" s="52"/>
      <c r="W104" s="52"/>
    </row>
    <row r="105" spans="1:23">
      <c r="A105" s="35" t="s">
        <v>23</v>
      </c>
      <c r="B105" s="35">
        <v>2</v>
      </c>
      <c r="C105" s="35">
        <v>3</v>
      </c>
      <c r="D105" s="35">
        <v>23</v>
      </c>
      <c r="E105" s="35" t="b">
        <v>1</v>
      </c>
      <c r="F105" s="35" t="s">
        <v>24</v>
      </c>
      <c r="G105" s="53" t="str">
        <f t="shared" si="36"/>
        <v>G2</v>
      </c>
      <c r="H105" s="52" t="str">
        <f t="shared" si="40"/>
        <v>H</v>
      </c>
      <c r="I105" s="41" t="str">
        <f t="shared" si="37"/>
        <v>G3</v>
      </c>
      <c r="J105" s="42">
        <f t="shared" si="38"/>
        <v>1.5333333333333332E-2</v>
      </c>
      <c r="K105" s="41">
        <f t="shared" si="41"/>
        <v>1500</v>
      </c>
      <c r="L105" s="41" t="str">
        <f t="shared" si="39"/>
        <v>G2</v>
      </c>
      <c r="M105" s="41" t="str">
        <f t="shared" si="42"/>
        <v/>
      </c>
      <c r="N105" s="41" t="str">
        <f>IFERROR(VLOOKUP(I105,L105:L:L,1,FALSE),"")</f>
        <v/>
      </c>
      <c r="O105" s="56" t="str">
        <f t="shared" si="43"/>
        <v>G_2_3</v>
      </c>
      <c r="T105" s="52"/>
      <c r="U105" s="52"/>
      <c r="V105" s="52"/>
      <c r="W105" s="52"/>
    </row>
    <row r="106" spans="1:23">
      <c r="A106" s="35" t="s">
        <v>23</v>
      </c>
      <c r="B106" s="35">
        <v>2</v>
      </c>
      <c r="C106" s="35">
        <v>1</v>
      </c>
      <c r="D106" s="35">
        <v>1477</v>
      </c>
      <c r="E106" s="35" t="b">
        <v>1</v>
      </c>
      <c r="F106" s="35" t="s">
        <v>24</v>
      </c>
      <c r="G106" s="53" t="str">
        <f t="shared" si="36"/>
        <v>G2</v>
      </c>
      <c r="H106" s="52" t="str">
        <f t="shared" si="40"/>
        <v>H</v>
      </c>
      <c r="I106" s="41" t="str">
        <f t="shared" si="37"/>
        <v>G1</v>
      </c>
      <c r="J106" s="42">
        <f t="shared" si="38"/>
        <v>0.98466666666666669</v>
      </c>
      <c r="K106" s="41">
        <f t="shared" si="41"/>
        <v>1500</v>
      </c>
      <c r="L106" s="41" t="str">
        <f t="shared" si="39"/>
        <v>G2</v>
      </c>
      <c r="M106" s="41" t="str">
        <f t="shared" si="42"/>
        <v>F</v>
      </c>
      <c r="N106" s="41" t="str">
        <f>IFERROR(VLOOKUP(I106,L106:L:L,1,FALSE),"")</f>
        <v>G1</v>
      </c>
      <c r="O106" s="56" t="str">
        <f t="shared" si="43"/>
        <v>G_2_1</v>
      </c>
      <c r="T106" s="52"/>
      <c r="U106" s="52"/>
      <c r="V106" s="52"/>
      <c r="W106" s="52"/>
    </row>
    <row r="107" spans="1:23">
      <c r="A107" s="35" t="s">
        <v>23</v>
      </c>
      <c r="B107" s="35">
        <v>2</v>
      </c>
      <c r="C107" s="35">
        <v>2</v>
      </c>
      <c r="D107" s="35">
        <v>0</v>
      </c>
      <c r="E107" s="35" t="b">
        <v>1</v>
      </c>
      <c r="F107" s="35" t="s">
        <v>24</v>
      </c>
      <c r="G107" s="53" t="str">
        <f t="shared" si="36"/>
        <v>G2</v>
      </c>
      <c r="H107" s="52" t="str">
        <f t="shared" si="40"/>
        <v>H</v>
      </c>
      <c r="I107" s="41" t="str">
        <f t="shared" si="37"/>
        <v>G2</v>
      </c>
      <c r="J107" s="42">
        <f t="shared" si="38"/>
        <v>0</v>
      </c>
      <c r="K107" s="41">
        <f t="shared" si="41"/>
        <v>1500</v>
      </c>
      <c r="L107" s="41" t="str">
        <f t="shared" si="39"/>
        <v>G2</v>
      </c>
      <c r="M107" s="41" t="str">
        <f t="shared" si="42"/>
        <v>H</v>
      </c>
      <c r="N107" s="41" t="str">
        <f>IFERROR(VLOOKUP(I107,L107:L:L,1,FALSE),"")</f>
        <v>G2</v>
      </c>
      <c r="O107" s="56" t="str">
        <f t="shared" si="43"/>
        <v>G_2_2</v>
      </c>
      <c r="T107" s="52"/>
      <c r="U107" s="52"/>
      <c r="V107" s="52"/>
      <c r="W107" s="52"/>
    </row>
    <row r="108" spans="1:23">
      <c r="A108" s="35" t="s">
        <v>23</v>
      </c>
      <c r="B108" s="35">
        <v>3</v>
      </c>
      <c r="C108" s="35">
        <v>1</v>
      </c>
      <c r="D108" s="35">
        <v>127</v>
      </c>
      <c r="E108" s="35" t="b">
        <v>0</v>
      </c>
      <c r="F108" s="35"/>
      <c r="G108" s="53" t="str">
        <f t="shared" si="36"/>
        <v>G3</v>
      </c>
      <c r="H108" s="52" t="str">
        <f t="shared" si="40"/>
        <v/>
      </c>
      <c r="I108" s="41" t="str">
        <f t="shared" si="37"/>
        <v>G1</v>
      </c>
      <c r="J108" s="42">
        <f t="shared" si="38"/>
        <v>0.6018957345971564</v>
      </c>
      <c r="K108" s="41">
        <f t="shared" si="41"/>
        <v>211</v>
      </c>
      <c r="L108" s="41" t="str">
        <f t="shared" si="39"/>
        <v/>
      </c>
      <c r="M108" s="41" t="str">
        <f t="shared" si="42"/>
        <v>F</v>
      </c>
      <c r="N108" s="41" t="str">
        <f>IFERROR(VLOOKUP(I108,L108:L:L,1,FALSE),"")</f>
        <v>G1</v>
      </c>
      <c r="O108" s="56" t="str">
        <f t="shared" si="43"/>
        <v>G_3_1</v>
      </c>
      <c r="T108" s="52"/>
      <c r="U108" s="52"/>
      <c r="V108" s="52"/>
      <c r="W108" s="52"/>
    </row>
    <row r="109" spans="1:23">
      <c r="A109" s="35" t="s">
        <v>23</v>
      </c>
      <c r="B109" s="35">
        <v>3</v>
      </c>
      <c r="C109" s="35">
        <v>2</v>
      </c>
      <c r="D109" s="35">
        <v>84</v>
      </c>
      <c r="E109" s="35" t="b">
        <v>0</v>
      </c>
      <c r="F109" s="35"/>
      <c r="G109" s="53" t="str">
        <f t="shared" si="36"/>
        <v>G3</v>
      </c>
      <c r="H109" s="52" t="str">
        <f t="shared" si="40"/>
        <v/>
      </c>
      <c r="I109" s="41" t="str">
        <f t="shared" si="37"/>
        <v>G2</v>
      </c>
      <c r="J109" s="42">
        <f t="shared" si="38"/>
        <v>0.3981042654028436</v>
      </c>
      <c r="K109" s="41">
        <f t="shared" si="41"/>
        <v>211</v>
      </c>
      <c r="L109" s="41" t="str">
        <f t="shared" si="39"/>
        <v/>
      </c>
      <c r="M109" s="41" t="str">
        <f t="shared" si="42"/>
        <v>H</v>
      </c>
      <c r="N109" s="41" t="str">
        <f>IFERROR(VLOOKUP(I109,L109:L:L,1,FALSE),"")</f>
        <v>G2</v>
      </c>
      <c r="O109" s="56" t="str">
        <f t="shared" si="43"/>
        <v>G_3_2</v>
      </c>
      <c r="T109" s="52"/>
      <c r="U109" s="52"/>
      <c r="V109" s="52"/>
      <c r="W109" s="52"/>
    </row>
    <row r="110" spans="1:23">
      <c r="A110" s="35" t="s">
        <v>23</v>
      </c>
      <c r="B110" s="35">
        <v>3</v>
      </c>
      <c r="C110" s="35">
        <v>3</v>
      </c>
      <c r="D110" s="35">
        <v>0</v>
      </c>
      <c r="E110" s="35" t="b">
        <v>0</v>
      </c>
      <c r="F110" s="35"/>
      <c r="G110" s="53" t="str">
        <f t="shared" si="36"/>
        <v>G3</v>
      </c>
      <c r="H110" s="52" t="str">
        <f t="shared" si="40"/>
        <v/>
      </c>
      <c r="I110" s="41" t="str">
        <f t="shared" si="37"/>
        <v>G3</v>
      </c>
      <c r="J110" s="42">
        <f t="shared" si="38"/>
        <v>0</v>
      </c>
      <c r="K110" s="41">
        <f t="shared" si="41"/>
        <v>211</v>
      </c>
      <c r="L110" s="41" t="str">
        <f t="shared" si="39"/>
        <v/>
      </c>
      <c r="M110" s="41" t="str">
        <f t="shared" si="42"/>
        <v/>
      </c>
      <c r="N110" s="41" t="str">
        <f>IFERROR(VLOOKUP(I110,L110:L:L,1,FALSE),"")</f>
        <v/>
      </c>
      <c r="O110" s="56" t="str">
        <f t="shared" si="43"/>
        <v>G_3_3</v>
      </c>
      <c r="T110" s="52"/>
      <c r="U110" s="52"/>
      <c r="V110" s="52"/>
      <c r="W110" s="52"/>
    </row>
    <row r="111" spans="1:23">
      <c r="A111" s="35" t="s">
        <v>24</v>
      </c>
      <c r="B111" s="35">
        <v>1</v>
      </c>
      <c r="C111" s="35">
        <v>2</v>
      </c>
      <c r="D111" s="35">
        <v>0</v>
      </c>
      <c r="E111" s="35" t="b">
        <v>1</v>
      </c>
      <c r="F111" s="35" t="s">
        <v>23</v>
      </c>
      <c r="G111" s="53" t="str">
        <f t="shared" si="36"/>
        <v>H1</v>
      </c>
      <c r="H111" s="52" t="str">
        <f t="shared" si="40"/>
        <v>G</v>
      </c>
      <c r="I111" s="41" t="str">
        <f t="shared" si="37"/>
        <v>H2</v>
      </c>
      <c r="J111" s="42">
        <f t="shared" si="38"/>
        <v>0</v>
      </c>
      <c r="K111" s="41">
        <f t="shared" si="41"/>
        <v>1148</v>
      </c>
      <c r="L111" s="41" t="str">
        <f t="shared" si="39"/>
        <v>H1</v>
      </c>
      <c r="M111" s="41" t="str">
        <f t="shared" si="42"/>
        <v/>
      </c>
      <c r="N111" s="41" t="str">
        <f>IFERROR(VLOOKUP(I111,L111:L:L,1,FALSE),"")</f>
        <v/>
      </c>
      <c r="O111" s="56" t="str">
        <f t="shared" si="43"/>
        <v>H_1_2</v>
      </c>
      <c r="T111" s="52"/>
      <c r="U111" s="52"/>
      <c r="V111" s="52"/>
      <c r="W111" s="52"/>
    </row>
    <row r="112" spans="1:23">
      <c r="A112" s="35" t="s">
        <v>24</v>
      </c>
      <c r="B112" s="35">
        <v>1</v>
      </c>
      <c r="C112" s="35">
        <v>3</v>
      </c>
      <c r="D112" s="35">
        <v>1045</v>
      </c>
      <c r="E112" s="35" t="b">
        <v>1</v>
      </c>
      <c r="F112" s="35" t="s">
        <v>23</v>
      </c>
      <c r="G112" s="53" t="str">
        <f t="shared" si="36"/>
        <v>H1</v>
      </c>
      <c r="H112" s="52" t="str">
        <f t="shared" si="40"/>
        <v>G</v>
      </c>
      <c r="I112" s="41" t="str">
        <f t="shared" si="37"/>
        <v>H3</v>
      </c>
      <c r="J112" s="42">
        <f t="shared" si="38"/>
        <v>0.91027874564459932</v>
      </c>
      <c r="K112" s="41">
        <f t="shared" si="41"/>
        <v>1148</v>
      </c>
      <c r="L112" s="41" t="str">
        <f t="shared" si="39"/>
        <v>H1</v>
      </c>
      <c r="M112" s="41" t="str">
        <f t="shared" si="42"/>
        <v>I</v>
      </c>
      <c r="N112" s="41" t="str">
        <f>IFERROR(VLOOKUP(I112,L112:L:L,1,FALSE),"")</f>
        <v>H3</v>
      </c>
      <c r="O112" s="56" t="str">
        <f t="shared" si="43"/>
        <v>H_1_3</v>
      </c>
      <c r="T112" s="52"/>
      <c r="U112" s="52"/>
      <c r="V112" s="52"/>
      <c r="W112" s="52"/>
    </row>
    <row r="113" spans="1:15">
      <c r="A113" s="35" t="s">
        <v>24</v>
      </c>
      <c r="B113" s="35">
        <v>1</v>
      </c>
      <c r="C113" s="35">
        <v>4</v>
      </c>
      <c r="D113" s="35">
        <v>103</v>
      </c>
      <c r="E113" s="35" t="b">
        <v>1</v>
      </c>
      <c r="F113" s="35" t="s">
        <v>23</v>
      </c>
      <c r="G113" s="53" t="str">
        <f t="shared" si="36"/>
        <v>H1</v>
      </c>
      <c r="H113" s="52" t="str">
        <f t="shared" si="40"/>
        <v>G</v>
      </c>
      <c r="I113" s="41" t="str">
        <f t="shared" si="37"/>
        <v>H4</v>
      </c>
      <c r="J113" s="42">
        <f t="shared" si="38"/>
        <v>8.9721254355400695E-2</v>
      </c>
      <c r="K113" s="41">
        <f t="shared" si="41"/>
        <v>1148</v>
      </c>
      <c r="L113" s="41" t="str">
        <f t="shared" si="39"/>
        <v>H1</v>
      </c>
      <c r="M113" s="41" t="str">
        <f t="shared" si="42"/>
        <v/>
      </c>
      <c r="N113" s="41" t="str">
        <f>IFERROR(VLOOKUP(I113,L113:L:L,1,FALSE),"")</f>
        <v/>
      </c>
      <c r="O113" s="56" t="str">
        <f t="shared" si="43"/>
        <v>H_1_4</v>
      </c>
    </row>
    <row r="114" spans="1:15">
      <c r="A114" s="35" t="s">
        <v>24</v>
      </c>
      <c r="B114" s="35">
        <v>1</v>
      </c>
      <c r="C114" s="35">
        <v>1</v>
      </c>
      <c r="D114" s="35">
        <v>0</v>
      </c>
      <c r="E114" s="35" t="b">
        <v>1</v>
      </c>
      <c r="F114" s="35" t="s">
        <v>23</v>
      </c>
      <c r="G114" s="53" t="str">
        <f t="shared" si="36"/>
        <v>H1</v>
      </c>
      <c r="H114" s="52" t="str">
        <f t="shared" si="40"/>
        <v>G</v>
      </c>
      <c r="I114" s="41" t="str">
        <f t="shared" si="37"/>
        <v>H1</v>
      </c>
      <c r="J114" s="42">
        <f t="shared" si="38"/>
        <v>0</v>
      </c>
      <c r="K114" s="41">
        <f t="shared" si="41"/>
        <v>1148</v>
      </c>
      <c r="L114" s="41" t="str">
        <f t="shared" si="39"/>
        <v>H1</v>
      </c>
      <c r="M114" s="41" t="str">
        <f t="shared" si="42"/>
        <v>G</v>
      </c>
      <c r="N114" s="41" t="str">
        <f>IFERROR(VLOOKUP(I114,L114:L:L,1,FALSE),"")</f>
        <v>H1</v>
      </c>
      <c r="O114" s="56" t="str">
        <f t="shared" si="43"/>
        <v>H_1_1</v>
      </c>
    </row>
    <row r="115" spans="1:15">
      <c r="A115" s="35" t="s">
        <v>24</v>
      </c>
      <c r="B115" s="35">
        <v>2</v>
      </c>
      <c r="C115" s="35">
        <v>3</v>
      </c>
      <c r="D115" s="35">
        <v>215</v>
      </c>
      <c r="E115" s="35" t="b">
        <v>0</v>
      </c>
      <c r="F115" s="35"/>
      <c r="G115" s="53" t="str">
        <f t="shared" si="36"/>
        <v>H2</v>
      </c>
      <c r="H115" s="52" t="str">
        <f t="shared" si="40"/>
        <v/>
      </c>
      <c r="I115" s="41" t="str">
        <f t="shared" si="37"/>
        <v>H3</v>
      </c>
      <c r="J115" s="42">
        <f t="shared" si="38"/>
        <v>0.44885177453027142</v>
      </c>
      <c r="K115" s="41">
        <f t="shared" si="41"/>
        <v>479</v>
      </c>
      <c r="L115" s="41" t="str">
        <f t="shared" si="39"/>
        <v/>
      </c>
      <c r="M115" s="41" t="str">
        <f t="shared" si="42"/>
        <v>I</v>
      </c>
      <c r="N115" s="41" t="str">
        <f>IFERROR(VLOOKUP(I115,L115:L:L,1,FALSE),"")</f>
        <v>H3</v>
      </c>
      <c r="O115" s="56" t="str">
        <f t="shared" si="43"/>
        <v>H_2_3</v>
      </c>
    </row>
    <row r="116" spans="1:15">
      <c r="A116" s="35" t="s">
        <v>24</v>
      </c>
      <c r="B116" s="35">
        <v>2</v>
      </c>
      <c r="C116" s="35">
        <v>4</v>
      </c>
      <c r="D116" s="35">
        <v>120</v>
      </c>
      <c r="E116" s="35" t="b">
        <v>0</v>
      </c>
      <c r="F116" s="35"/>
      <c r="G116" s="53" t="str">
        <f t="shared" si="36"/>
        <v>H2</v>
      </c>
      <c r="H116" s="52" t="str">
        <f t="shared" si="40"/>
        <v/>
      </c>
      <c r="I116" s="41" t="str">
        <f t="shared" si="37"/>
        <v>H4</v>
      </c>
      <c r="J116" s="42">
        <f t="shared" si="38"/>
        <v>0.25052192066805845</v>
      </c>
      <c r="K116" s="41">
        <f t="shared" si="41"/>
        <v>479</v>
      </c>
      <c r="L116" s="41" t="str">
        <f t="shared" si="39"/>
        <v/>
      </c>
      <c r="M116" s="41" t="str">
        <f t="shared" si="42"/>
        <v/>
      </c>
      <c r="N116" s="41" t="str">
        <f>IFERROR(VLOOKUP(I116,L116:L:L,1,FALSE),"")</f>
        <v/>
      </c>
      <c r="O116" s="56" t="str">
        <f t="shared" si="43"/>
        <v>H_2_4</v>
      </c>
    </row>
    <row r="117" spans="1:15">
      <c r="A117" s="35" t="s">
        <v>24</v>
      </c>
      <c r="B117" s="35">
        <v>2</v>
      </c>
      <c r="C117" s="35">
        <v>1</v>
      </c>
      <c r="D117" s="35">
        <v>144</v>
      </c>
      <c r="E117" s="35" t="b">
        <v>0</v>
      </c>
      <c r="F117" s="35"/>
      <c r="G117" s="53" t="str">
        <f t="shared" si="36"/>
        <v>H2</v>
      </c>
      <c r="H117" s="52" t="str">
        <f t="shared" si="40"/>
        <v/>
      </c>
      <c r="I117" s="41" t="str">
        <f t="shared" si="37"/>
        <v>H1</v>
      </c>
      <c r="J117" s="42">
        <f t="shared" si="38"/>
        <v>0.30062630480167013</v>
      </c>
      <c r="K117" s="41">
        <f t="shared" si="41"/>
        <v>479</v>
      </c>
      <c r="L117" s="41" t="str">
        <f t="shared" si="39"/>
        <v/>
      </c>
      <c r="M117" s="41" t="str">
        <f t="shared" si="42"/>
        <v>G</v>
      </c>
      <c r="N117" s="41" t="str">
        <f>IFERROR(VLOOKUP(I117,L117:L:L,1,FALSE),"")</f>
        <v>H1</v>
      </c>
      <c r="O117" s="56" t="str">
        <f t="shared" si="43"/>
        <v>H_2_1</v>
      </c>
    </row>
    <row r="118" spans="1:15">
      <c r="A118" s="35" t="s">
        <v>24</v>
      </c>
      <c r="B118" s="35">
        <v>2</v>
      </c>
      <c r="C118" s="35">
        <v>2</v>
      </c>
      <c r="D118" s="35">
        <v>0</v>
      </c>
      <c r="E118" s="35" t="b">
        <v>0</v>
      </c>
      <c r="F118" s="35"/>
      <c r="G118" s="53" t="str">
        <f t="shared" si="36"/>
        <v>H2</v>
      </c>
      <c r="H118" s="52" t="str">
        <f t="shared" si="40"/>
        <v/>
      </c>
      <c r="I118" s="41" t="str">
        <f t="shared" si="37"/>
        <v>H2</v>
      </c>
      <c r="J118" s="42">
        <f t="shared" si="38"/>
        <v>0</v>
      </c>
      <c r="K118" s="41">
        <f t="shared" si="41"/>
        <v>479</v>
      </c>
      <c r="L118" s="41" t="str">
        <f t="shared" si="39"/>
        <v/>
      </c>
      <c r="M118" s="41" t="str">
        <f t="shared" si="42"/>
        <v/>
      </c>
      <c r="N118" s="41" t="str">
        <f>IFERROR(VLOOKUP(I118,L118:L:L,1,FALSE),"")</f>
        <v/>
      </c>
      <c r="O118" s="56" t="str">
        <f t="shared" si="43"/>
        <v>H_2_2</v>
      </c>
    </row>
    <row r="119" spans="1:15">
      <c r="A119" s="35" t="s">
        <v>24</v>
      </c>
      <c r="B119" s="35">
        <v>3</v>
      </c>
      <c r="C119" s="35">
        <v>4</v>
      </c>
      <c r="D119" s="35">
        <v>133</v>
      </c>
      <c r="E119" s="35" t="b">
        <v>1</v>
      </c>
      <c r="F119" s="35" t="s">
        <v>25</v>
      </c>
      <c r="G119" s="53" t="str">
        <f t="shared" si="36"/>
        <v>H3</v>
      </c>
      <c r="H119" s="52" t="str">
        <f t="shared" si="40"/>
        <v>I</v>
      </c>
      <c r="I119" s="41" t="str">
        <f t="shared" si="37"/>
        <v>H4</v>
      </c>
      <c r="J119" s="42">
        <f t="shared" si="38"/>
        <v>9.0169491525423723E-2</v>
      </c>
      <c r="K119" s="41">
        <f t="shared" si="41"/>
        <v>1475</v>
      </c>
      <c r="L119" s="41" t="str">
        <f t="shared" si="39"/>
        <v>H3</v>
      </c>
      <c r="M119" s="41" t="str">
        <f t="shared" si="42"/>
        <v/>
      </c>
      <c r="N119" s="41" t="str">
        <f>IFERROR(VLOOKUP(I119,L119:L:L,1,FALSE),"")</f>
        <v/>
      </c>
      <c r="O119" s="56" t="str">
        <f t="shared" si="43"/>
        <v>H_3_4</v>
      </c>
    </row>
    <row r="120" spans="1:15">
      <c r="A120" s="35" t="s">
        <v>24</v>
      </c>
      <c r="B120" s="35">
        <v>3</v>
      </c>
      <c r="C120" s="35">
        <v>1</v>
      </c>
      <c r="D120" s="35">
        <v>1342</v>
      </c>
      <c r="E120" s="35" t="b">
        <v>1</v>
      </c>
      <c r="F120" s="35" t="s">
        <v>25</v>
      </c>
      <c r="G120" s="53" t="str">
        <f t="shared" si="36"/>
        <v>H3</v>
      </c>
      <c r="H120" s="52" t="str">
        <f t="shared" si="40"/>
        <v>I</v>
      </c>
      <c r="I120" s="41" t="str">
        <f t="shared" si="37"/>
        <v>H1</v>
      </c>
      <c r="J120" s="42">
        <f t="shared" si="38"/>
        <v>0.90983050847457625</v>
      </c>
      <c r="K120" s="41">
        <f t="shared" si="41"/>
        <v>1475</v>
      </c>
      <c r="L120" s="41" t="str">
        <f t="shared" si="39"/>
        <v>H3</v>
      </c>
      <c r="M120" s="41" t="str">
        <f t="shared" si="42"/>
        <v>G</v>
      </c>
      <c r="N120" s="41" t="str">
        <f>IFERROR(VLOOKUP(I120,L120:L:L,1,FALSE),"")</f>
        <v>H1</v>
      </c>
      <c r="O120" s="56" t="str">
        <f t="shared" si="43"/>
        <v>H_3_1</v>
      </c>
    </row>
    <row r="121" spans="1:15">
      <c r="A121" s="35" t="s">
        <v>24</v>
      </c>
      <c r="B121" s="35">
        <v>3</v>
      </c>
      <c r="C121" s="35">
        <v>2</v>
      </c>
      <c r="D121" s="35">
        <v>0</v>
      </c>
      <c r="E121" s="35" t="b">
        <v>1</v>
      </c>
      <c r="F121" s="35" t="s">
        <v>25</v>
      </c>
      <c r="G121" s="53" t="str">
        <f t="shared" si="36"/>
        <v>H3</v>
      </c>
      <c r="H121" s="52" t="str">
        <f t="shared" si="40"/>
        <v>I</v>
      </c>
      <c r="I121" s="41" t="str">
        <f t="shared" si="37"/>
        <v>H2</v>
      </c>
      <c r="J121" s="42">
        <f t="shared" si="38"/>
        <v>0</v>
      </c>
      <c r="K121" s="41">
        <f t="shared" si="41"/>
        <v>1475</v>
      </c>
      <c r="L121" s="41" t="str">
        <f t="shared" si="39"/>
        <v>H3</v>
      </c>
      <c r="M121" s="41" t="str">
        <f t="shared" si="42"/>
        <v/>
      </c>
      <c r="N121" s="41" t="str">
        <f>IFERROR(VLOOKUP(I121,L121:L:L,1,FALSE),"")</f>
        <v/>
      </c>
      <c r="O121" s="56" t="str">
        <f t="shared" si="43"/>
        <v>H_3_2</v>
      </c>
    </row>
    <row r="122" spans="1:15">
      <c r="A122" s="35" t="s">
        <v>24</v>
      </c>
      <c r="B122" s="35">
        <v>3</v>
      </c>
      <c r="C122" s="35">
        <v>3</v>
      </c>
      <c r="D122" s="35">
        <v>0</v>
      </c>
      <c r="E122" s="35" t="b">
        <v>1</v>
      </c>
      <c r="F122" s="35" t="s">
        <v>25</v>
      </c>
      <c r="G122" s="53" t="str">
        <f t="shared" si="36"/>
        <v>H3</v>
      </c>
      <c r="H122" s="52" t="str">
        <f t="shared" si="40"/>
        <v>I</v>
      </c>
      <c r="I122" s="41" t="str">
        <f t="shared" si="37"/>
        <v>H3</v>
      </c>
      <c r="J122" s="42">
        <f t="shared" si="38"/>
        <v>0</v>
      </c>
      <c r="K122" s="41">
        <f t="shared" si="41"/>
        <v>1475</v>
      </c>
      <c r="L122" s="41" t="str">
        <f t="shared" si="39"/>
        <v>H3</v>
      </c>
      <c r="M122" s="41" t="str">
        <f t="shared" si="42"/>
        <v>I</v>
      </c>
      <c r="N122" s="41" t="str">
        <f>IFERROR(VLOOKUP(I122,L122:L:L,1,FALSE),"")</f>
        <v>H3</v>
      </c>
      <c r="O122" s="56" t="str">
        <f t="shared" si="43"/>
        <v>H_3_3</v>
      </c>
    </row>
    <row r="123" spans="1:15">
      <c r="A123" s="35" t="s">
        <v>24</v>
      </c>
      <c r="B123" s="35">
        <v>4</v>
      </c>
      <c r="C123" s="35">
        <v>1</v>
      </c>
      <c r="D123" s="35">
        <v>0</v>
      </c>
      <c r="E123" s="35" t="b">
        <v>0</v>
      </c>
      <c r="F123" s="35"/>
      <c r="G123" s="53" t="str">
        <f t="shared" si="36"/>
        <v>H4</v>
      </c>
      <c r="H123" s="52" t="str">
        <f t="shared" si="40"/>
        <v/>
      </c>
      <c r="I123" s="41" t="str">
        <f t="shared" si="37"/>
        <v>H1</v>
      </c>
      <c r="J123" s="42" t="e">
        <f t="shared" si="38"/>
        <v>#DIV/0!</v>
      </c>
      <c r="K123" s="41">
        <f t="shared" si="41"/>
        <v>0</v>
      </c>
      <c r="L123" s="41" t="str">
        <f t="shared" si="39"/>
        <v/>
      </c>
      <c r="M123" s="41" t="str">
        <f t="shared" si="42"/>
        <v>G</v>
      </c>
      <c r="N123" s="41" t="str">
        <f>IFERROR(VLOOKUP(I123,L123:L:L,1,FALSE),"")</f>
        <v>H1</v>
      </c>
      <c r="O123" s="56" t="str">
        <f t="shared" si="43"/>
        <v>H_4_1</v>
      </c>
    </row>
    <row r="124" spans="1:15">
      <c r="A124" s="35" t="s">
        <v>24</v>
      </c>
      <c r="B124" s="35">
        <v>4</v>
      </c>
      <c r="C124" s="35">
        <v>2</v>
      </c>
      <c r="D124" s="35">
        <v>0</v>
      </c>
      <c r="E124" s="35" t="b">
        <v>0</v>
      </c>
      <c r="F124" s="35"/>
      <c r="G124" s="53" t="str">
        <f t="shared" si="36"/>
        <v>H4</v>
      </c>
      <c r="H124" s="52" t="str">
        <f t="shared" si="40"/>
        <v/>
      </c>
      <c r="I124" s="41" t="str">
        <f t="shared" si="37"/>
        <v>H2</v>
      </c>
      <c r="J124" s="42" t="e">
        <f t="shared" si="38"/>
        <v>#DIV/0!</v>
      </c>
      <c r="K124" s="41">
        <f t="shared" si="41"/>
        <v>0</v>
      </c>
      <c r="L124" s="41" t="str">
        <f t="shared" si="39"/>
        <v/>
      </c>
      <c r="M124" s="41" t="str">
        <f t="shared" si="42"/>
        <v/>
      </c>
      <c r="N124" s="41" t="str">
        <f>IFERROR(VLOOKUP(I124,L124:L:L,1,FALSE),"")</f>
        <v/>
      </c>
      <c r="O124" s="56" t="str">
        <f t="shared" si="43"/>
        <v>H_4_2</v>
      </c>
    </row>
    <row r="125" spans="1:15">
      <c r="A125" s="35" t="s">
        <v>24</v>
      </c>
      <c r="B125" s="35">
        <v>4</v>
      </c>
      <c r="C125" s="35">
        <v>3</v>
      </c>
      <c r="D125" s="35">
        <v>0</v>
      </c>
      <c r="E125" s="35" t="b">
        <v>0</v>
      </c>
      <c r="F125" s="35"/>
      <c r="G125" s="53" t="str">
        <f t="shared" si="36"/>
        <v>H4</v>
      </c>
      <c r="H125" s="52" t="str">
        <f t="shared" si="40"/>
        <v/>
      </c>
      <c r="I125" s="41" t="str">
        <f t="shared" si="37"/>
        <v>H3</v>
      </c>
      <c r="J125" s="42" t="e">
        <f t="shared" si="38"/>
        <v>#DIV/0!</v>
      </c>
      <c r="K125" s="41">
        <f t="shared" si="41"/>
        <v>0</v>
      </c>
      <c r="L125" s="41" t="str">
        <f t="shared" si="39"/>
        <v/>
      </c>
      <c r="M125" s="41" t="str">
        <f t="shared" si="42"/>
        <v>I</v>
      </c>
      <c r="N125" s="41" t="str">
        <f>IFERROR(VLOOKUP(I125,L125:L:L,1,FALSE),"")</f>
        <v>H3</v>
      </c>
      <c r="O125" s="56" t="str">
        <f t="shared" si="43"/>
        <v>H_4_3</v>
      </c>
    </row>
    <row r="126" spans="1:15">
      <c r="A126" s="35" t="s">
        <v>24</v>
      </c>
      <c r="B126" s="35">
        <v>4</v>
      </c>
      <c r="C126" s="35">
        <v>4</v>
      </c>
      <c r="D126" s="35">
        <v>0</v>
      </c>
      <c r="E126" s="35" t="b">
        <v>0</v>
      </c>
      <c r="F126" s="35"/>
      <c r="G126" s="53" t="str">
        <f t="shared" si="36"/>
        <v>H4</v>
      </c>
      <c r="H126" s="52" t="str">
        <f t="shared" si="40"/>
        <v/>
      </c>
      <c r="I126" s="41" t="str">
        <f t="shared" si="37"/>
        <v>H4</v>
      </c>
      <c r="J126" s="42" t="e">
        <f t="shared" si="38"/>
        <v>#DIV/0!</v>
      </c>
      <c r="K126" s="41">
        <f t="shared" si="41"/>
        <v>0</v>
      </c>
      <c r="L126" s="41" t="str">
        <f t="shared" si="39"/>
        <v/>
      </c>
      <c r="M126" s="41" t="str">
        <f t="shared" si="42"/>
        <v/>
      </c>
      <c r="N126" s="41" t="str">
        <f>IFERROR(VLOOKUP(I126,L126:L:L,1,FALSE),"")</f>
        <v/>
      </c>
      <c r="O126" s="56" t="str">
        <f t="shared" si="43"/>
        <v>H_4_4</v>
      </c>
    </row>
    <row r="127" spans="1:15">
      <c r="A127" s="35" t="s">
        <v>25</v>
      </c>
      <c r="B127" s="35">
        <v>1</v>
      </c>
      <c r="C127" s="35">
        <v>2</v>
      </c>
      <c r="D127" s="35">
        <v>1277</v>
      </c>
      <c r="E127" s="35" t="b">
        <v>1</v>
      </c>
      <c r="F127" s="35" t="s">
        <v>24</v>
      </c>
      <c r="G127" s="53" t="str">
        <f t="shared" si="36"/>
        <v>I1</v>
      </c>
      <c r="H127" s="52" t="str">
        <f t="shared" si="40"/>
        <v>H</v>
      </c>
      <c r="I127" s="41" t="str">
        <f t="shared" si="37"/>
        <v>I2</v>
      </c>
      <c r="J127" s="42">
        <f t="shared" si="38"/>
        <v>1</v>
      </c>
      <c r="K127" s="41">
        <f t="shared" si="41"/>
        <v>1277</v>
      </c>
      <c r="L127" s="41" t="str">
        <f t="shared" si="39"/>
        <v>I1</v>
      </c>
      <c r="M127" s="41" t="str">
        <f t="shared" si="42"/>
        <v>J</v>
      </c>
      <c r="N127" s="41" t="str">
        <f>IFERROR(VLOOKUP(I127,L127:L:L,1,FALSE),"")</f>
        <v>I2</v>
      </c>
      <c r="O127" s="56" t="str">
        <f t="shared" si="43"/>
        <v>I_1_2</v>
      </c>
    </row>
    <row r="128" spans="1:15">
      <c r="A128" s="35" t="s">
        <v>25</v>
      </c>
      <c r="B128" s="35">
        <v>1</v>
      </c>
      <c r="C128" s="35">
        <v>3</v>
      </c>
      <c r="D128" s="35">
        <v>0</v>
      </c>
      <c r="E128" s="35" t="b">
        <v>1</v>
      </c>
      <c r="F128" s="35" t="s">
        <v>24</v>
      </c>
      <c r="G128" s="53" t="str">
        <f t="shared" si="36"/>
        <v>I1</v>
      </c>
      <c r="H128" s="52" t="str">
        <f t="shared" si="40"/>
        <v>H</v>
      </c>
      <c r="I128" s="41" t="str">
        <f t="shared" si="37"/>
        <v>I3</v>
      </c>
      <c r="J128" s="42">
        <f t="shared" si="38"/>
        <v>0</v>
      </c>
      <c r="K128" s="41">
        <f t="shared" si="41"/>
        <v>1277</v>
      </c>
      <c r="L128" s="41" t="str">
        <f t="shared" si="39"/>
        <v>I1</v>
      </c>
      <c r="M128" s="41" t="str">
        <f t="shared" si="42"/>
        <v/>
      </c>
      <c r="N128" s="41" t="str">
        <f>IFERROR(VLOOKUP(I128,L128:L:L,1,FALSE),"")</f>
        <v/>
      </c>
      <c r="O128" s="56" t="str">
        <f t="shared" si="43"/>
        <v>I_1_3</v>
      </c>
    </row>
    <row r="129" spans="1:15">
      <c r="A129" s="35" t="s">
        <v>25</v>
      </c>
      <c r="B129" s="35">
        <v>1</v>
      </c>
      <c r="C129" s="35">
        <v>1</v>
      </c>
      <c r="D129" s="35">
        <v>0</v>
      </c>
      <c r="E129" s="35" t="b">
        <v>1</v>
      </c>
      <c r="F129" s="35" t="s">
        <v>24</v>
      </c>
      <c r="G129" s="53" t="str">
        <f t="shared" si="36"/>
        <v>I1</v>
      </c>
      <c r="H129" s="52" t="str">
        <f t="shared" si="40"/>
        <v>H</v>
      </c>
      <c r="I129" s="41" t="str">
        <f t="shared" si="37"/>
        <v>I1</v>
      </c>
      <c r="J129" s="42">
        <f t="shared" si="38"/>
        <v>0</v>
      </c>
      <c r="K129" s="41">
        <f t="shared" si="41"/>
        <v>1277</v>
      </c>
      <c r="L129" s="41" t="str">
        <f t="shared" si="39"/>
        <v>I1</v>
      </c>
      <c r="M129" s="41" t="str">
        <f t="shared" si="42"/>
        <v>H</v>
      </c>
      <c r="N129" s="41" t="str">
        <f>IFERROR(VLOOKUP(I129,L129:L:L,1,FALSE),"")</f>
        <v>I1</v>
      </c>
      <c r="O129" s="56" t="str">
        <f t="shared" si="43"/>
        <v>I_1_1</v>
      </c>
    </row>
    <row r="130" spans="1:15">
      <c r="A130" s="35" t="s">
        <v>25</v>
      </c>
      <c r="B130" s="35">
        <v>2</v>
      </c>
      <c r="C130" s="35">
        <v>3</v>
      </c>
      <c r="D130" s="35">
        <v>0</v>
      </c>
      <c r="E130" s="35" t="b">
        <v>1</v>
      </c>
      <c r="F130" s="35" t="s">
        <v>26</v>
      </c>
      <c r="G130" s="53" t="str">
        <f t="shared" si="36"/>
        <v>I2</v>
      </c>
      <c r="H130" s="52" t="str">
        <f t="shared" si="40"/>
        <v>J</v>
      </c>
      <c r="I130" s="41" t="str">
        <f t="shared" si="37"/>
        <v>I3</v>
      </c>
      <c r="J130" s="42">
        <f t="shared" si="38"/>
        <v>0</v>
      </c>
      <c r="K130" s="41">
        <f t="shared" si="41"/>
        <v>1341</v>
      </c>
      <c r="L130" s="41" t="str">
        <f t="shared" si="39"/>
        <v>I2</v>
      </c>
      <c r="M130" s="41" t="str">
        <f t="shared" si="42"/>
        <v/>
      </c>
      <c r="N130" s="41" t="str">
        <f>IFERROR(VLOOKUP(I130,L130:L:L,1,FALSE),"")</f>
        <v/>
      </c>
      <c r="O130" s="56" t="str">
        <f t="shared" si="43"/>
        <v>I_2_3</v>
      </c>
    </row>
    <row r="131" spans="1:15">
      <c r="A131" s="35" t="s">
        <v>25</v>
      </c>
      <c r="B131" s="35">
        <v>2</v>
      </c>
      <c r="C131" s="35">
        <v>1</v>
      </c>
      <c r="D131" s="35">
        <v>1341</v>
      </c>
      <c r="E131" s="35" t="b">
        <v>1</v>
      </c>
      <c r="F131" s="35" t="s">
        <v>26</v>
      </c>
      <c r="G131" s="53" t="str">
        <f t="shared" si="36"/>
        <v>I2</v>
      </c>
      <c r="H131" s="52" t="str">
        <f t="shared" si="40"/>
        <v>J</v>
      </c>
      <c r="I131" s="41" t="str">
        <f t="shared" si="37"/>
        <v>I1</v>
      </c>
      <c r="J131" s="42">
        <f t="shared" si="38"/>
        <v>1</v>
      </c>
      <c r="K131" s="41">
        <f t="shared" si="41"/>
        <v>1341</v>
      </c>
      <c r="L131" s="41" t="str">
        <f t="shared" si="39"/>
        <v>I2</v>
      </c>
      <c r="M131" s="41" t="str">
        <f t="shared" si="42"/>
        <v>H</v>
      </c>
      <c r="N131" s="41" t="str">
        <f>IFERROR(VLOOKUP(I131,L131:L:L,1,FALSE),"")</f>
        <v>I1</v>
      </c>
      <c r="O131" s="56" t="str">
        <f t="shared" si="43"/>
        <v>I_2_1</v>
      </c>
    </row>
    <row r="132" spans="1:15">
      <c r="A132" s="35" t="s">
        <v>25</v>
      </c>
      <c r="B132" s="35">
        <v>2</v>
      </c>
      <c r="C132" s="35">
        <v>2</v>
      </c>
      <c r="D132" s="35">
        <v>0</v>
      </c>
      <c r="E132" s="35" t="b">
        <v>1</v>
      </c>
      <c r="F132" s="35" t="s">
        <v>26</v>
      </c>
      <c r="G132" s="53" t="str">
        <f t="shared" ref="G132:G160" si="47">$A132&amp;$B132</f>
        <v>I2</v>
      </c>
      <c r="H132" s="52" t="str">
        <f t="shared" si="40"/>
        <v>J</v>
      </c>
      <c r="I132" s="41" t="str">
        <f t="shared" ref="I132:I160" si="48">$A132&amp;$C132</f>
        <v>I2</v>
      </c>
      <c r="J132" s="42">
        <f t="shared" ref="J132:J160" si="49">D132/K132</f>
        <v>0</v>
      </c>
      <c r="K132" s="41">
        <f t="shared" si="41"/>
        <v>1341</v>
      </c>
      <c r="L132" s="41" t="str">
        <f t="shared" ref="L132:L160" si="50">IF(E132=TRUE,VLOOKUP(G132,I:I,1,FALSE),"")</f>
        <v>I2</v>
      </c>
      <c r="M132" s="41" t="str">
        <f t="shared" si="42"/>
        <v>J</v>
      </c>
      <c r="N132" s="41" t="str">
        <f>IFERROR(VLOOKUP(I132,L132:L:L,1,FALSE),"")</f>
        <v>I2</v>
      </c>
      <c r="O132" s="56" t="str">
        <f t="shared" si="43"/>
        <v>I_2_2</v>
      </c>
    </row>
    <row r="133" spans="1:15">
      <c r="A133" s="35" t="s">
        <v>25</v>
      </c>
      <c r="B133" s="35">
        <v>3</v>
      </c>
      <c r="C133" s="35">
        <v>1</v>
      </c>
      <c r="D133" s="35">
        <v>123</v>
      </c>
      <c r="E133" s="35" t="b">
        <v>0</v>
      </c>
      <c r="F133" s="35"/>
      <c r="G133" s="53" t="str">
        <f t="shared" si="47"/>
        <v>I3</v>
      </c>
      <c r="H133" s="52" t="str">
        <f t="shared" ref="H133:H160" si="51">IF(ISBLANK(F133),"",F133)</f>
        <v/>
      </c>
      <c r="I133" s="41" t="str">
        <f t="shared" si="48"/>
        <v>I1</v>
      </c>
      <c r="J133" s="42">
        <f t="shared" si="49"/>
        <v>0.47674418604651164</v>
      </c>
      <c r="K133" s="41">
        <f t="shared" ref="K133:K160" si="52">VLOOKUP(G133,$U$3:$V$136,2,)</f>
        <v>258</v>
      </c>
      <c r="L133" s="41" t="str">
        <f t="shared" si="50"/>
        <v/>
      </c>
      <c r="M133" s="41" t="str">
        <f t="shared" ref="M133:M160" si="53">IFERROR(VLOOKUP(N133,G:H,2,FALSE),"")</f>
        <v>H</v>
      </c>
      <c r="N133" s="41" t="str">
        <f>IFERROR(VLOOKUP(I133,L133:L:L,1,FALSE),"")</f>
        <v>I1</v>
      </c>
      <c r="O133" s="56" t="str">
        <f t="shared" ref="O133:O161" si="54">A133&amp;"_"&amp;B133&amp;"_"&amp;C133</f>
        <v>I_3_1</v>
      </c>
    </row>
    <row r="134" spans="1:15">
      <c r="A134" s="35" t="s">
        <v>25</v>
      </c>
      <c r="B134" s="35">
        <v>3</v>
      </c>
      <c r="C134" s="35">
        <v>2</v>
      </c>
      <c r="D134" s="35">
        <v>135</v>
      </c>
      <c r="E134" s="35" t="b">
        <v>0</v>
      </c>
      <c r="F134" s="35"/>
      <c r="G134" s="53" t="str">
        <f t="shared" si="47"/>
        <v>I3</v>
      </c>
      <c r="H134" s="52" t="str">
        <f t="shared" si="51"/>
        <v/>
      </c>
      <c r="I134" s="41" t="str">
        <f t="shared" si="48"/>
        <v>I2</v>
      </c>
      <c r="J134" s="42">
        <f t="shared" si="49"/>
        <v>0.52325581395348841</v>
      </c>
      <c r="K134" s="41">
        <f t="shared" si="52"/>
        <v>258</v>
      </c>
      <c r="L134" s="41" t="str">
        <f t="shared" si="50"/>
        <v/>
      </c>
      <c r="M134" s="41" t="str">
        <f t="shared" si="53"/>
        <v>J</v>
      </c>
      <c r="N134" s="41" t="str">
        <f>IFERROR(VLOOKUP(I134,L134:L:L,1,FALSE),"")</f>
        <v>I2</v>
      </c>
      <c r="O134" s="56" t="str">
        <f t="shared" si="54"/>
        <v>I_3_2</v>
      </c>
    </row>
    <row r="135" spans="1:15">
      <c r="A135" s="35" t="s">
        <v>25</v>
      </c>
      <c r="B135" s="35">
        <v>3</v>
      </c>
      <c r="C135" s="35">
        <v>3</v>
      </c>
      <c r="D135" s="35">
        <v>0</v>
      </c>
      <c r="E135" s="35" t="b">
        <v>0</v>
      </c>
      <c r="F135" s="35"/>
      <c r="G135" s="53" t="str">
        <f t="shared" si="47"/>
        <v>I3</v>
      </c>
      <c r="H135" s="52" t="str">
        <f t="shared" si="51"/>
        <v/>
      </c>
      <c r="I135" s="41" t="str">
        <f t="shared" si="48"/>
        <v>I3</v>
      </c>
      <c r="J135" s="42">
        <f t="shared" si="49"/>
        <v>0</v>
      </c>
      <c r="K135" s="41">
        <f t="shared" si="52"/>
        <v>258</v>
      </c>
      <c r="L135" s="41" t="str">
        <f t="shared" si="50"/>
        <v/>
      </c>
      <c r="M135" s="41" t="str">
        <f t="shared" si="53"/>
        <v/>
      </c>
      <c r="N135" s="41" t="str">
        <f>IFERROR(VLOOKUP(I135,L135:L:L,1,FALSE),"")</f>
        <v/>
      </c>
      <c r="O135" s="56" t="str">
        <f t="shared" si="54"/>
        <v>I_3_3</v>
      </c>
    </row>
    <row r="136" spans="1:15">
      <c r="A136" s="35" t="s">
        <v>26</v>
      </c>
      <c r="B136" s="35">
        <v>1</v>
      </c>
      <c r="C136" s="35">
        <v>2</v>
      </c>
      <c r="D136" s="35">
        <v>240</v>
      </c>
      <c r="E136" s="35" t="b">
        <v>1</v>
      </c>
      <c r="F136" s="35" t="s">
        <v>25</v>
      </c>
      <c r="G136" s="53" t="str">
        <f t="shared" si="47"/>
        <v>J1</v>
      </c>
      <c r="H136" s="52" t="str">
        <f t="shared" si="51"/>
        <v>I</v>
      </c>
      <c r="I136" s="41" t="str">
        <f t="shared" si="48"/>
        <v>J2</v>
      </c>
      <c r="J136" s="42">
        <f t="shared" si="49"/>
        <v>0.17253774263120059</v>
      </c>
      <c r="K136" s="41">
        <f t="shared" si="52"/>
        <v>1391</v>
      </c>
      <c r="L136" s="41" t="str">
        <f t="shared" si="50"/>
        <v>J1</v>
      </c>
      <c r="M136" s="41" t="str">
        <f t="shared" si="53"/>
        <v/>
      </c>
      <c r="N136" s="41" t="str">
        <f>IFERROR(VLOOKUP(I136,L136:L:L,1,FALSE),"")</f>
        <v/>
      </c>
      <c r="O136" s="56" t="str">
        <f t="shared" si="54"/>
        <v>J_1_2</v>
      </c>
    </row>
    <row r="137" spans="1:15">
      <c r="A137" s="35" t="s">
        <v>26</v>
      </c>
      <c r="B137" s="35">
        <v>1</v>
      </c>
      <c r="C137" s="35">
        <v>3</v>
      </c>
      <c r="D137" s="35">
        <v>916</v>
      </c>
      <c r="E137" s="35" t="b">
        <v>1</v>
      </c>
      <c r="F137" s="35" t="s">
        <v>25</v>
      </c>
      <c r="G137" s="53" t="str">
        <f t="shared" si="47"/>
        <v>J1</v>
      </c>
      <c r="H137" s="52" t="str">
        <f t="shared" si="51"/>
        <v>I</v>
      </c>
      <c r="I137" s="41" t="str">
        <f t="shared" si="48"/>
        <v>J3</v>
      </c>
      <c r="J137" s="42">
        <f t="shared" si="49"/>
        <v>0.65851905104241548</v>
      </c>
      <c r="K137" s="41">
        <f t="shared" si="52"/>
        <v>1391</v>
      </c>
      <c r="L137" s="41" t="str">
        <f t="shared" si="50"/>
        <v>J1</v>
      </c>
      <c r="M137" s="41" t="str">
        <f t="shared" si="53"/>
        <v>K</v>
      </c>
      <c r="N137" s="41" t="str">
        <f>IFERROR(VLOOKUP(I137,L137:L:L,1,FALSE),"")</f>
        <v>J3</v>
      </c>
      <c r="O137" s="56" t="str">
        <f t="shared" si="54"/>
        <v>J_1_3</v>
      </c>
    </row>
    <row r="138" spans="1:15">
      <c r="A138" s="35" t="s">
        <v>26</v>
      </c>
      <c r="B138" s="35">
        <v>1</v>
      </c>
      <c r="C138" s="35">
        <v>4</v>
      </c>
      <c r="D138" s="35">
        <v>235</v>
      </c>
      <c r="E138" s="35" t="b">
        <v>1</v>
      </c>
      <c r="F138" s="35" t="s">
        <v>25</v>
      </c>
      <c r="G138" s="53" t="str">
        <f t="shared" si="47"/>
        <v>J1</v>
      </c>
      <c r="H138" s="52" t="str">
        <f t="shared" si="51"/>
        <v>I</v>
      </c>
      <c r="I138" s="41" t="str">
        <f t="shared" si="48"/>
        <v>J4</v>
      </c>
      <c r="J138" s="42">
        <f t="shared" si="49"/>
        <v>0.1689432063263839</v>
      </c>
      <c r="K138" s="41">
        <f t="shared" si="52"/>
        <v>1391</v>
      </c>
      <c r="L138" s="41" t="str">
        <f t="shared" si="50"/>
        <v>J1</v>
      </c>
      <c r="M138" s="41" t="str">
        <f t="shared" si="53"/>
        <v/>
      </c>
      <c r="N138" s="41" t="str">
        <f>IFERROR(VLOOKUP(I138,L138:L:L,1,FALSE),"")</f>
        <v/>
      </c>
      <c r="O138" s="56" t="str">
        <f t="shared" si="54"/>
        <v>J_1_4</v>
      </c>
    </row>
    <row r="139" spans="1:15">
      <c r="A139" s="35" t="s">
        <v>26</v>
      </c>
      <c r="B139" s="35">
        <v>1</v>
      </c>
      <c r="C139" s="35">
        <v>1</v>
      </c>
      <c r="D139" s="35">
        <v>0</v>
      </c>
      <c r="E139" s="35" t="b">
        <v>1</v>
      </c>
      <c r="F139" s="35" t="s">
        <v>25</v>
      </c>
      <c r="G139" s="53" t="str">
        <f t="shared" si="47"/>
        <v>J1</v>
      </c>
      <c r="H139" s="52" t="str">
        <f t="shared" si="51"/>
        <v>I</v>
      </c>
      <c r="I139" s="41" t="str">
        <f t="shared" si="48"/>
        <v>J1</v>
      </c>
      <c r="J139" s="42">
        <f t="shared" si="49"/>
        <v>0</v>
      </c>
      <c r="K139" s="41">
        <f t="shared" si="52"/>
        <v>1391</v>
      </c>
      <c r="L139" s="41" t="str">
        <f t="shared" si="50"/>
        <v>J1</v>
      </c>
      <c r="M139" s="41" t="str">
        <f t="shared" si="53"/>
        <v>I</v>
      </c>
      <c r="N139" s="41" t="str">
        <f>IFERROR(VLOOKUP(I139,L139:L:L,1,FALSE),"")</f>
        <v>J1</v>
      </c>
      <c r="O139" s="56" t="str">
        <f t="shared" si="54"/>
        <v>J_1_1</v>
      </c>
    </row>
    <row r="140" spans="1:15">
      <c r="A140" s="35" t="s">
        <v>26</v>
      </c>
      <c r="B140" s="35">
        <v>2</v>
      </c>
      <c r="C140" s="35">
        <v>3</v>
      </c>
      <c r="D140" s="35">
        <v>0</v>
      </c>
      <c r="E140" s="35" t="b">
        <v>0</v>
      </c>
      <c r="F140" s="35"/>
      <c r="G140" s="53" t="str">
        <f t="shared" si="47"/>
        <v>J2</v>
      </c>
      <c r="H140" s="52" t="str">
        <f t="shared" si="51"/>
        <v/>
      </c>
      <c r="I140" s="41" t="str">
        <f t="shared" si="48"/>
        <v>J3</v>
      </c>
      <c r="J140" s="42" t="e">
        <f t="shared" si="49"/>
        <v>#DIV/0!</v>
      </c>
      <c r="K140" s="41">
        <f t="shared" si="52"/>
        <v>0</v>
      </c>
      <c r="L140" s="41" t="str">
        <f t="shared" si="50"/>
        <v/>
      </c>
      <c r="M140" s="41" t="str">
        <f t="shared" si="53"/>
        <v>K</v>
      </c>
      <c r="N140" s="41" t="str">
        <f>IFERROR(VLOOKUP(I140,L140:L:L,1,FALSE),"")</f>
        <v>J3</v>
      </c>
      <c r="O140" s="56" t="str">
        <f t="shared" si="54"/>
        <v>J_2_3</v>
      </c>
    </row>
    <row r="141" spans="1:15">
      <c r="A141" s="35" t="s">
        <v>26</v>
      </c>
      <c r="B141" s="35">
        <v>2</v>
      </c>
      <c r="C141" s="35">
        <v>4</v>
      </c>
      <c r="D141" s="35">
        <v>0</v>
      </c>
      <c r="E141" s="35" t="b">
        <v>0</v>
      </c>
      <c r="F141" s="35"/>
      <c r="G141" s="53" t="str">
        <f t="shared" si="47"/>
        <v>J2</v>
      </c>
      <c r="H141" s="52" t="str">
        <f t="shared" si="51"/>
        <v/>
      </c>
      <c r="I141" s="41" t="str">
        <f t="shared" si="48"/>
        <v>J4</v>
      </c>
      <c r="J141" s="42" t="e">
        <f t="shared" si="49"/>
        <v>#DIV/0!</v>
      </c>
      <c r="K141" s="41">
        <f t="shared" si="52"/>
        <v>0</v>
      </c>
      <c r="L141" s="41" t="str">
        <f t="shared" si="50"/>
        <v/>
      </c>
      <c r="M141" s="41" t="str">
        <f t="shared" si="53"/>
        <v/>
      </c>
      <c r="N141" s="41" t="str">
        <f>IFERROR(VLOOKUP(I141,L141:L:L,1,FALSE),"")</f>
        <v/>
      </c>
      <c r="O141" s="56" t="str">
        <f t="shared" si="54"/>
        <v>J_2_4</v>
      </c>
    </row>
    <row r="142" spans="1:15">
      <c r="A142" s="35" t="s">
        <v>26</v>
      </c>
      <c r="B142" s="35">
        <v>2</v>
      </c>
      <c r="C142" s="35">
        <v>1</v>
      </c>
      <c r="D142" s="35">
        <v>0</v>
      </c>
      <c r="E142" s="35" t="b">
        <v>0</v>
      </c>
      <c r="F142" s="35"/>
      <c r="G142" s="53" t="str">
        <f t="shared" si="47"/>
        <v>J2</v>
      </c>
      <c r="H142" s="52" t="str">
        <f t="shared" si="51"/>
        <v/>
      </c>
      <c r="I142" s="41" t="str">
        <f t="shared" si="48"/>
        <v>J1</v>
      </c>
      <c r="J142" s="42" t="e">
        <f t="shared" si="49"/>
        <v>#DIV/0!</v>
      </c>
      <c r="K142" s="41">
        <f t="shared" si="52"/>
        <v>0</v>
      </c>
      <c r="L142" s="41" t="str">
        <f t="shared" si="50"/>
        <v/>
      </c>
      <c r="M142" s="41" t="str">
        <f t="shared" si="53"/>
        <v>I</v>
      </c>
      <c r="N142" s="41" t="str">
        <f>IFERROR(VLOOKUP(I142,L142:L:L,1,FALSE),"")</f>
        <v>J1</v>
      </c>
      <c r="O142" s="56" t="str">
        <f t="shared" si="54"/>
        <v>J_2_1</v>
      </c>
    </row>
    <row r="143" spans="1:15">
      <c r="A143" s="35" t="s">
        <v>26</v>
      </c>
      <c r="B143" s="35">
        <v>2</v>
      </c>
      <c r="C143" s="35">
        <v>2</v>
      </c>
      <c r="D143" s="35">
        <v>0</v>
      </c>
      <c r="E143" s="35" t="b">
        <v>0</v>
      </c>
      <c r="F143" s="35"/>
      <c r="G143" s="53" t="str">
        <f t="shared" si="47"/>
        <v>J2</v>
      </c>
      <c r="H143" s="52" t="str">
        <f t="shared" si="51"/>
        <v/>
      </c>
      <c r="I143" s="41" t="str">
        <f t="shared" si="48"/>
        <v>J2</v>
      </c>
      <c r="J143" s="42" t="e">
        <f t="shared" si="49"/>
        <v>#DIV/0!</v>
      </c>
      <c r="K143" s="41">
        <f t="shared" si="52"/>
        <v>0</v>
      </c>
      <c r="L143" s="41" t="str">
        <f t="shared" si="50"/>
        <v/>
      </c>
      <c r="M143" s="41" t="str">
        <f t="shared" si="53"/>
        <v/>
      </c>
      <c r="N143" s="41" t="str">
        <f>IFERROR(VLOOKUP(I143,L143:L:L,1,FALSE),"")</f>
        <v/>
      </c>
      <c r="O143" s="56" t="str">
        <f t="shared" si="54"/>
        <v>J_2_2</v>
      </c>
    </row>
    <row r="144" spans="1:15">
      <c r="A144" s="35" t="s">
        <v>26</v>
      </c>
      <c r="B144" s="35">
        <v>3</v>
      </c>
      <c r="C144" s="35">
        <v>4</v>
      </c>
      <c r="D144" s="35">
        <v>341</v>
      </c>
      <c r="E144" s="35" t="b">
        <v>1</v>
      </c>
      <c r="F144" s="35" t="s">
        <v>27</v>
      </c>
      <c r="G144" s="53" t="str">
        <f t="shared" si="47"/>
        <v>J3</v>
      </c>
      <c r="H144" s="52" t="str">
        <f t="shared" si="51"/>
        <v>K</v>
      </c>
      <c r="I144" s="41" t="str">
        <f t="shared" si="48"/>
        <v>J4</v>
      </c>
      <c r="J144" s="42">
        <f t="shared" si="49"/>
        <v>0.22718187874750168</v>
      </c>
      <c r="K144" s="41">
        <f t="shared" si="52"/>
        <v>1501</v>
      </c>
      <c r="L144" s="41" t="str">
        <f t="shared" si="50"/>
        <v>J3</v>
      </c>
      <c r="M144" s="41" t="str">
        <f t="shared" si="53"/>
        <v/>
      </c>
      <c r="N144" s="41" t="str">
        <f>IFERROR(VLOOKUP(I144,L144:L:L,1,FALSE),"")</f>
        <v/>
      </c>
      <c r="O144" s="56" t="str">
        <f t="shared" si="54"/>
        <v>J_3_4</v>
      </c>
    </row>
    <row r="145" spans="1:15">
      <c r="A145" s="35" t="s">
        <v>26</v>
      </c>
      <c r="B145" s="35">
        <v>3</v>
      </c>
      <c r="C145" s="35">
        <v>1</v>
      </c>
      <c r="D145" s="35">
        <v>928</v>
      </c>
      <c r="E145" s="35" t="b">
        <v>1</v>
      </c>
      <c r="F145" s="35" t="s">
        <v>27</v>
      </c>
      <c r="G145" s="53" t="str">
        <f t="shared" si="47"/>
        <v>J3</v>
      </c>
      <c r="H145" s="52" t="str">
        <f t="shared" si="51"/>
        <v>K</v>
      </c>
      <c r="I145" s="41" t="str">
        <f t="shared" si="48"/>
        <v>J1</v>
      </c>
      <c r="J145" s="42">
        <f t="shared" si="49"/>
        <v>0.61825449700199864</v>
      </c>
      <c r="K145" s="41">
        <f t="shared" si="52"/>
        <v>1501</v>
      </c>
      <c r="L145" s="41" t="str">
        <f t="shared" si="50"/>
        <v>J3</v>
      </c>
      <c r="M145" s="41" t="str">
        <f t="shared" si="53"/>
        <v>I</v>
      </c>
      <c r="N145" s="41" t="str">
        <f>IFERROR(VLOOKUP(I145,L145:L:L,1,FALSE),"")</f>
        <v>J1</v>
      </c>
      <c r="O145" s="56" t="str">
        <f t="shared" si="54"/>
        <v>J_3_1</v>
      </c>
    </row>
    <row r="146" spans="1:15">
      <c r="A146" s="35" t="s">
        <v>26</v>
      </c>
      <c r="B146" s="35">
        <v>3</v>
      </c>
      <c r="C146" s="35">
        <v>2</v>
      </c>
      <c r="D146" s="35">
        <v>232</v>
      </c>
      <c r="E146" s="35" t="b">
        <v>1</v>
      </c>
      <c r="F146" s="35" t="s">
        <v>27</v>
      </c>
      <c r="G146" s="53" t="str">
        <f t="shared" si="47"/>
        <v>J3</v>
      </c>
      <c r="H146" s="52" t="str">
        <f t="shared" si="51"/>
        <v>K</v>
      </c>
      <c r="I146" s="41" t="str">
        <f t="shared" si="48"/>
        <v>J2</v>
      </c>
      <c r="J146" s="42">
        <f t="shared" si="49"/>
        <v>0.15456362425049966</v>
      </c>
      <c r="K146" s="41">
        <f t="shared" si="52"/>
        <v>1501</v>
      </c>
      <c r="L146" s="41" t="str">
        <f t="shared" si="50"/>
        <v>J3</v>
      </c>
      <c r="M146" s="41" t="str">
        <f t="shared" si="53"/>
        <v/>
      </c>
      <c r="N146" s="41" t="str">
        <f>IFERROR(VLOOKUP(I146,L146:L:L,1,FALSE),"")</f>
        <v/>
      </c>
      <c r="O146" s="56" t="str">
        <f t="shared" si="54"/>
        <v>J_3_2</v>
      </c>
    </row>
    <row r="147" spans="1:15">
      <c r="A147" s="35" t="s">
        <v>26</v>
      </c>
      <c r="B147" s="35">
        <v>3</v>
      </c>
      <c r="C147" s="35">
        <v>3</v>
      </c>
      <c r="D147" s="35">
        <v>0</v>
      </c>
      <c r="E147" s="35" t="b">
        <v>1</v>
      </c>
      <c r="F147" s="35" t="s">
        <v>27</v>
      </c>
      <c r="G147" s="53" t="str">
        <f t="shared" si="47"/>
        <v>J3</v>
      </c>
      <c r="H147" s="52" t="str">
        <f t="shared" si="51"/>
        <v>K</v>
      </c>
      <c r="I147" s="41" t="str">
        <f t="shared" si="48"/>
        <v>J3</v>
      </c>
      <c r="J147" s="42">
        <f t="shared" si="49"/>
        <v>0</v>
      </c>
      <c r="K147" s="41">
        <f t="shared" si="52"/>
        <v>1501</v>
      </c>
      <c r="L147" s="41" t="str">
        <f t="shared" si="50"/>
        <v>J3</v>
      </c>
      <c r="M147" s="41" t="str">
        <f t="shared" si="53"/>
        <v>K</v>
      </c>
      <c r="N147" s="41" t="str">
        <f>IFERROR(VLOOKUP(I147,L147:L:L,1,FALSE),"")</f>
        <v>J3</v>
      </c>
      <c r="O147" s="56" t="str">
        <f t="shared" si="54"/>
        <v>J_3_3</v>
      </c>
    </row>
    <row r="148" spans="1:15">
      <c r="A148" s="35" t="s">
        <v>26</v>
      </c>
      <c r="B148" s="35">
        <v>4</v>
      </c>
      <c r="C148" s="35">
        <v>1</v>
      </c>
      <c r="D148" s="35">
        <v>420</v>
      </c>
      <c r="E148" s="35" t="b">
        <v>0</v>
      </c>
      <c r="F148" s="35"/>
      <c r="G148" s="53" t="str">
        <f t="shared" si="47"/>
        <v>J4</v>
      </c>
      <c r="H148" s="52" t="str">
        <f t="shared" si="51"/>
        <v/>
      </c>
      <c r="I148" s="41" t="str">
        <f t="shared" si="48"/>
        <v>J1</v>
      </c>
      <c r="J148" s="42">
        <f t="shared" si="49"/>
        <v>0.62874251497005984</v>
      </c>
      <c r="K148" s="41">
        <f t="shared" si="52"/>
        <v>668</v>
      </c>
      <c r="L148" s="41" t="str">
        <f t="shared" si="50"/>
        <v/>
      </c>
      <c r="M148" s="41" t="str">
        <f t="shared" si="53"/>
        <v>I</v>
      </c>
      <c r="N148" s="41" t="str">
        <f>IFERROR(VLOOKUP(I148,L148:L:L,1,FALSE),"")</f>
        <v>J1</v>
      </c>
      <c r="O148" s="56" t="str">
        <f t="shared" si="54"/>
        <v>J_4_1</v>
      </c>
    </row>
    <row r="149" spans="1:15">
      <c r="A149" s="35" t="s">
        <v>26</v>
      </c>
      <c r="B149" s="35">
        <v>4</v>
      </c>
      <c r="C149" s="35">
        <v>2</v>
      </c>
      <c r="D149" s="35">
        <v>121</v>
      </c>
      <c r="E149" s="35" t="b">
        <v>0</v>
      </c>
      <c r="F149" s="35"/>
      <c r="G149" s="53" t="str">
        <f t="shared" si="47"/>
        <v>J4</v>
      </c>
      <c r="H149" s="52" t="str">
        <f t="shared" si="51"/>
        <v/>
      </c>
      <c r="I149" s="41" t="str">
        <f t="shared" si="48"/>
        <v>J2</v>
      </c>
      <c r="J149" s="42">
        <f t="shared" si="49"/>
        <v>0.18113772455089822</v>
      </c>
      <c r="K149" s="41">
        <f t="shared" si="52"/>
        <v>668</v>
      </c>
      <c r="L149" s="41" t="str">
        <f t="shared" si="50"/>
        <v/>
      </c>
      <c r="M149" s="41" t="str">
        <f t="shared" si="53"/>
        <v/>
      </c>
      <c r="N149" s="41" t="str">
        <f>IFERROR(VLOOKUP(I149,L149:L:L,1,FALSE),"")</f>
        <v/>
      </c>
      <c r="O149" s="56" t="str">
        <f t="shared" si="54"/>
        <v>J_4_2</v>
      </c>
    </row>
    <row r="150" spans="1:15">
      <c r="A150" s="35" t="s">
        <v>26</v>
      </c>
      <c r="B150" s="35">
        <v>4</v>
      </c>
      <c r="C150" s="35">
        <v>3</v>
      </c>
      <c r="D150" s="35">
        <v>127</v>
      </c>
      <c r="E150" s="35" t="b">
        <v>0</v>
      </c>
      <c r="F150" s="35"/>
      <c r="G150" s="53" t="str">
        <f t="shared" si="47"/>
        <v>J4</v>
      </c>
      <c r="H150" s="52" t="str">
        <f t="shared" si="51"/>
        <v/>
      </c>
      <c r="I150" s="41" t="str">
        <f t="shared" si="48"/>
        <v>J3</v>
      </c>
      <c r="J150" s="42">
        <f t="shared" si="49"/>
        <v>0.19011976047904192</v>
      </c>
      <c r="K150" s="41">
        <f t="shared" si="52"/>
        <v>668</v>
      </c>
      <c r="L150" s="41" t="str">
        <f t="shared" si="50"/>
        <v/>
      </c>
      <c r="M150" s="41" t="str">
        <f t="shared" si="53"/>
        <v>K</v>
      </c>
      <c r="N150" s="41" t="str">
        <f>IFERROR(VLOOKUP(I150,L150:L:L,1,FALSE),"")</f>
        <v>J3</v>
      </c>
      <c r="O150" s="56" t="str">
        <f t="shared" si="54"/>
        <v>J_4_3</v>
      </c>
    </row>
    <row r="151" spans="1:15">
      <c r="A151" s="35" t="s">
        <v>26</v>
      </c>
      <c r="B151" s="35">
        <v>4</v>
      </c>
      <c r="C151" s="35">
        <v>4</v>
      </c>
      <c r="D151" s="35">
        <v>0</v>
      </c>
      <c r="E151" s="35" t="b">
        <v>0</v>
      </c>
      <c r="F151" s="35"/>
      <c r="G151" s="53" t="str">
        <f t="shared" si="47"/>
        <v>J4</v>
      </c>
      <c r="H151" s="52" t="str">
        <f t="shared" si="51"/>
        <v/>
      </c>
      <c r="I151" s="41" t="str">
        <f t="shared" si="48"/>
        <v>J4</v>
      </c>
      <c r="J151" s="42">
        <f t="shared" si="49"/>
        <v>0</v>
      </c>
      <c r="K151" s="41">
        <f t="shared" si="52"/>
        <v>668</v>
      </c>
      <c r="L151" s="41" t="str">
        <f t="shared" si="50"/>
        <v/>
      </c>
      <c r="M151" s="41" t="str">
        <f t="shared" si="53"/>
        <v/>
      </c>
      <c r="N151" s="41" t="str">
        <f>IFERROR(VLOOKUP(I151,L151:L:L,1,FALSE),"")</f>
        <v/>
      </c>
      <c r="O151" s="56" t="str">
        <f t="shared" si="54"/>
        <v>J_4_4</v>
      </c>
    </row>
    <row r="152" spans="1:15">
      <c r="A152" s="35" t="s">
        <v>27</v>
      </c>
      <c r="B152" s="35">
        <v>1</v>
      </c>
      <c r="C152" s="35">
        <v>2</v>
      </c>
      <c r="D152" s="35">
        <v>632</v>
      </c>
      <c r="E152" s="35" t="b">
        <v>1</v>
      </c>
      <c r="F152" s="35" t="s">
        <v>26</v>
      </c>
      <c r="G152" s="53" t="str">
        <f t="shared" si="47"/>
        <v>K1</v>
      </c>
      <c r="H152" s="52" t="str">
        <f t="shared" si="51"/>
        <v>J</v>
      </c>
      <c r="I152" s="41" t="str">
        <f t="shared" si="48"/>
        <v>K2</v>
      </c>
      <c r="J152" s="42">
        <f t="shared" si="49"/>
        <v>0.6106280193236715</v>
      </c>
      <c r="K152" s="41">
        <f t="shared" si="52"/>
        <v>1035</v>
      </c>
      <c r="L152" s="41" t="str">
        <f t="shared" si="50"/>
        <v>K1</v>
      </c>
      <c r="M152" s="41" t="str">
        <f t="shared" si="53"/>
        <v/>
      </c>
      <c r="N152" s="41" t="str">
        <f>IFERROR(VLOOKUP(I152,L152:L:L,1,FALSE),"")</f>
        <v/>
      </c>
      <c r="O152" s="56" t="str">
        <f t="shared" si="54"/>
        <v>K_1_2</v>
      </c>
    </row>
    <row r="153" spans="1:15">
      <c r="A153" s="35" t="s">
        <v>27</v>
      </c>
      <c r="B153" s="35">
        <v>1</v>
      </c>
      <c r="C153" s="35">
        <v>3</v>
      </c>
      <c r="D153" s="35">
        <v>403</v>
      </c>
      <c r="E153" s="35" t="b">
        <v>1</v>
      </c>
      <c r="F153" s="35" t="s">
        <v>26</v>
      </c>
      <c r="G153" s="53" t="str">
        <f t="shared" si="47"/>
        <v>K1</v>
      </c>
      <c r="H153" s="52" t="str">
        <f t="shared" si="51"/>
        <v>J</v>
      </c>
      <c r="I153" s="41" t="str">
        <f t="shared" si="48"/>
        <v>K3</v>
      </c>
      <c r="J153" s="42">
        <f t="shared" si="49"/>
        <v>0.3893719806763285</v>
      </c>
      <c r="K153" s="41">
        <f t="shared" si="52"/>
        <v>1035</v>
      </c>
      <c r="L153" s="41" t="str">
        <f t="shared" si="50"/>
        <v>K1</v>
      </c>
      <c r="M153" s="41" t="str">
        <f t="shared" si="53"/>
        <v/>
      </c>
      <c r="N153" s="41" t="str">
        <f>IFERROR(VLOOKUP(I153,L153:L:L,1,FALSE),"")</f>
        <v/>
      </c>
      <c r="O153" s="56" t="str">
        <f t="shared" si="54"/>
        <v>K_1_3</v>
      </c>
    </row>
    <row r="154" spans="1:15">
      <c r="A154" s="35" t="s">
        <v>27</v>
      </c>
      <c r="B154" s="35">
        <v>1</v>
      </c>
      <c r="C154" s="35">
        <v>1</v>
      </c>
      <c r="D154" s="35">
        <v>0</v>
      </c>
      <c r="E154" s="35" t="b">
        <v>1</v>
      </c>
      <c r="F154" s="35" t="s">
        <v>26</v>
      </c>
      <c r="G154" s="53" t="str">
        <f t="shared" si="47"/>
        <v>K1</v>
      </c>
      <c r="H154" s="52" t="str">
        <f t="shared" si="51"/>
        <v>J</v>
      </c>
      <c r="I154" s="41" t="str">
        <f t="shared" si="48"/>
        <v>K1</v>
      </c>
      <c r="J154" s="42">
        <f t="shared" si="49"/>
        <v>0</v>
      </c>
      <c r="K154" s="41">
        <f t="shared" si="52"/>
        <v>1035</v>
      </c>
      <c r="L154" s="41" t="str">
        <f t="shared" si="50"/>
        <v>K1</v>
      </c>
      <c r="M154" s="41" t="str">
        <f t="shared" si="53"/>
        <v>J</v>
      </c>
      <c r="N154" s="41" t="str">
        <f>IFERROR(VLOOKUP(I154,L154:L:L,1,FALSE),"")</f>
        <v>K1</v>
      </c>
      <c r="O154" s="56" t="str">
        <f t="shared" si="54"/>
        <v>K_1_1</v>
      </c>
    </row>
    <row r="155" spans="1:15">
      <c r="A155" s="35" t="s">
        <v>27</v>
      </c>
      <c r="B155" s="35">
        <v>2</v>
      </c>
      <c r="C155" s="35">
        <v>3</v>
      </c>
      <c r="D155" s="35">
        <v>168</v>
      </c>
      <c r="E155" s="35" t="b">
        <v>0</v>
      </c>
      <c r="F155" s="35"/>
      <c r="G155" s="53" t="str">
        <f t="shared" si="47"/>
        <v>K2</v>
      </c>
      <c r="H155" s="52" t="str">
        <f t="shared" si="51"/>
        <v/>
      </c>
      <c r="I155" s="41" t="str">
        <f t="shared" si="48"/>
        <v>K3</v>
      </c>
      <c r="J155" s="42">
        <f t="shared" si="49"/>
        <v>0.1497326203208556</v>
      </c>
      <c r="K155" s="41">
        <f t="shared" si="52"/>
        <v>1122</v>
      </c>
      <c r="L155" s="41" t="str">
        <f t="shared" si="50"/>
        <v/>
      </c>
      <c r="M155" s="41" t="str">
        <f t="shared" si="53"/>
        <v/>
      </c>
      <c r="N155" s="41" t="str">
        <f>IFERROR(VLOOKUP(I155,L155:L:L,1,FALSE),"")</f>
        <v/>
      </c>
      <c r="O155" s="56" t="str">
        <f t="shared" si="54"/>
        <v>K_2_3</v>
      </c>
    </row>
    <row r="156" spans="1:15">
      <c r="A156" s="35" t="s">
        <v>27</v>
      </c>
      <c r="B156" s="35">
        <v>2</v>
      </c>
      <c r="C156" s="35">
        <v>1</v>
      </c>
      <c r="D156" s="35">
        <v>954</v>
      </c>
      <c r="E156" s="35" t="b">
        <v>0</v>
      </c>
      <c r="F156" s="35"/>
      <c r="G156" s="53" t="str">
        <f t="shared" si="47"/>
        <v>K2</v>
      </c>
      <c r="H156" s="52" t="str">
        <f t="shared" si="51"/>
        <v/>
      </c>
      <c r="I156" s="41" t="str">
        <f t="shared" si="48"/>
        <v>K1</v>
      </c>
      <c r="J156" s="42">
        <f t="shared" si="49"/>
        <v>0.85026737967914434</v>
      </c>
      <c r="K156" s="41">
        <f t="shared" si="52"/>
        <v>1122</v>
      </c>
      <c r="L156" s="41" t="str">
        <f t="shared" si="50"/>
        <v/>
      </c>
      <c r="M156" s="41" t="str">
        <f t="shared" si="53"/>
        <v>J</v>
      </c>
      <c r="N156" s="41" t="str">
        <f>IFERROR(VLOOKUP(I156,L156:L:L,1,FALSE),"")</f>
        <v>K1</v>
      </c>
      <c r="O156" s="56" t="str">
        <f t="shared" si="54"/>
        <v>K_2_1</v>
      </c>
    </row>
    <row r="157" spans="1:15">
      <c r="A157" s="35" t="s">
        <v>27</v>
      </c>
      <c r="B157" s="35">
        <v>2</v>
      </c>
      <c r="C157" s="35">
        <v>2</v>
      </c>
      <c r="D157" s="35">
        <v>0</v>
      </c>
      <c r="E157" s="35" t="b">
        <v>0</v>
      </c>
      <c r="F157" s="35"/>
      <c r="G157" s="53" t="str">
        <f t="shared" si="47"/>
        <v>K2</v>
      </c>
      <c r="H157" s="52" t="str">
        <f t="shared" si="51"/>
        <v/>
      </c>
      <c r="I157" s="41" t="str">
        <f t="shared" si="48"/>
        <v>K2</v>
      </c>
      <c r="J157" s="42">
        <f t="shared" si="49"/>
        <v>0</v>
      </c>
      <c r="K157" s="41">
        <f t="shared" si="52"/>
        <v>1122</v>
      </c>
      <c r="L157" s="41" t="str">
        <f t="shared" si="50"/>
        <v/>
      </c>
      <c r="M157" s="41" t="str">
        <f t="shared" si="53"/>
        <v/>
      </c>
      <c r="N157" s="41" t="str">
        <f>IFERROR(VLOOKUP(I157,L157:L:L,1,FALSE),"")</f>
        <v/>
      </c>
      <c r="O157" s="56" t="str">
        <f t="shared" si="54"/>
        <v>K_2_2</v>
      </c>
    </row>
    <row r="158" spans="1:15">
      <c r="A158" s="35" t="s">
        <v>27</v>
      </c>
      <c r="B158" s="35">
        <v>3</v>
      </c>
      <c r="C158" s="35">
        <v>1</v>
      </c>
      <c r="D158" s="35">
        <v>539</v>
      </c>
      <c r="E158" s="35" t="b">
        <v>0</v>
      </c>
      <c r="F158" s="35"/>
      <c r="G158" s="53" t="str">
        <f t="shared" si="47"/>
        <v>K3</v>
      </c>
      <c r="H158" s="52" t="str">
        <f t="shared" si="51"/>
        <v/>
      </c>
      <c r="I158" s="41" t="str">
        <f t="shared" si="48"/>
        <v>K1</v>
      </c>
      <c r="J158" s="42">
        <f t="shared" si="49"/>
        <v>0.81052631578947365</v>
      </c>
      <c r="K158" s="41">
        <f t="shared" si="52"/>
        <v>665</v>
      </c>
      <c r="L158" s="41" t="str">
        <f t="shared" si="50"/>
        <v/>
      </c>
      <c r="M158" s="41" t="str">
        <f t="shared" si="53"/>
        <v>J</v>
      </c>
      <c r="N158" s="41" t="str">
        <f>IFERROR(VLOOKUP(I158,L158:L:L,1,FALSE),"")</f>
        <v>K1</v>
      </c>
      <c r="O158" s="56" t="str">
        <f t="shared" si="54"/>
        <v>K_3_1</v>
      </c>
    </row>
    <row r="159" spans="1:15">
      <c r="A159" s="35" t="s">
        <v>27</v>
      </c>
      <c r="B159" s="35">
        <v>3</v>
      </c>
      <c r="C159" s="35">
        <v>2</v>
      </c>
      <c r="D159" s="35">
        <v>126</v>
      </c>
      <c r="E159" s="35" t="b">
        <v>0</v>
      </c>
      <c r="F159" s="35"/>
      <c r="G159" s="53" t="str">
        <f t="shared" si="47"/>
        <v>K3</v>
      </c>
      <c r="H159" s="52" t="str">
        <f t="shared" si="51"/>
        <v/>
      </c>
      <c r="I159" s="41" t="str">
        <f t="shared" si="48"/>
        <v>K2</v>
      </c>
      <c r="J159" s="42">
        <f t="shared" si="49"/>
        <v>0.18947368421052632</v>
      </c>
      <c r="K159" s="41">
        <f t="shared" si="52"/>
        <v>665</v>
      </c>
      <c r="L159" s="41" t="str">
        <f t="shared" si="50"/>
        <v/>
      </c>
      <c r="M159" s="41" t="str">
        <f t="shared" si="53"/>
        <v/>
      </c>
      <c r="N159" s="41" t="str">
        <f>IFERROR(VLOOKUP(I159,L159:L:L,1,FALSE),"")</f>
        <v/>
      </c>
      <c r="O159" s="56" t="str">
        <f t="shared" si="54"/>
        <v>K_3_2</v>
      </c>
    </row>
    <row r="160" spans="1:15">
      <c r="A160" s="35" t="s">
        <v>27</v>
      </c>
      <c r="B160" s="35">
        <v>3</v>
      </c>
      <c r="C160" s="35">
        <v>3</v>
      </c>
      <c r="D160" s="35">
        <v>0</v>
      </c>
      <c r="E160" s="35" t="b">
        <v>0</v>
      </c>
      <c r="F160" s="35"/>
      <c r="G160" s="53" t="str">
        <f t="shared" si="47"/>
        <v>K3</v>
      </c>
      <c r="H160" s="52" t="str">
        <f t="shared" si="51"/>
        <v/>
      </c>
      <c r="I160" s="41" t="str">
        <f t="shared" si="48"/>
        <v>K3</v>
      </c>
      <c r="J160" s="42">
        <f t="shared" si="49"/>
        <v>0</v>
      </c>
      <c r="K160" s="41">
        <f t="shared" si="52"/>
        <v>665</v>
      </c>
      <c r="L160" s="41" t="str">
        <f t="shared" si="50"/>
        <v/>
      </c>
      <c r="M160" s="41" t="str">
        <f t="shared" si="53"/>
        <v/>
      </c>
      <c r="N160" s="41" t="str">
        <f>IFERROR(VLOOKUP(I160,L160:L:L,1,FALSE),"")</f>
        <v/>
      </c>
      <c r="O160" s="56" t="str">
        <f t="shared" si="54"/>
        <v>K_3_3</v>
      </c>
    </row>
    <row r="161" spans="15:15">
      <c r="O161" s="56"/>
    </row>
  </sheetData>
  <conditionalFormatting sqref="AB4">
    <cfRule type="cellIs" dxfId="9" priority="12" operator="equal">
      <formula>$AA$4</formula>
    </cfRule>
  </conditionalFormatting>
  <conditionalFormatting sqref="AC2:EH3">
    <cfRule type="duplicateValues" dxfId="8" priority="7"/>
  </conditionalFormatting>
  <conditionalFormatting sqref="AC2 Y72:Y1048576 AB3:AB71">
    <cfRule type="cellIs" dxfId="7" priority="14" operator="equal">
      <formula>$AA$5</formula>
    </cfRule>
  </conditionalFormatting>
  <conditionalFormatting sqref="AA2 X72:Y1048576 AB3:AB71 AC2:EH2 AA4:AA71">
    <cfRule type="duplicateValues" dxfId="6" priority="16"/>
  </conditionalFormatting>
  <conditionalFormatting sqref="AA4:AB69">
    <cfRule type="duplicateValues" dxfId="5" priority="6"/>
  </conditionalFormatting>
  <conditionalFormatting sqref="AC2:CP3">
    <cfRule type="duplicateValues" dxfId="4" priority="5"/>
  </conditionalFormatting>
  <conditionalFormatting sqref="AB4:AB69 Z4:Z69">
    <cfRule type="duplicateValues" dxfId="3" priority="4"/>
  </conditionalFormatting>
  <conditionalFormatting sqref="AC3:CP3 AC1:CP1">
    <cfRule type="duplicateValues" dxfId="2" priority="3"/>
  </conditionalFormatting>
  <conditionalFormatting sqref="Z4:Z69 AB4:AB69">
    <cfRule type="duplicateValues" dxfId="1" priority="2"/>
  </conditionalFormatting>
  <conditionalFormatting sqref="AC1:CP1 AC3:CP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Insertion_tableau 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KERR</dc:creator>
  <cp:lastModifiedBy>Alexandre KERR</cp:lastModifiedBy>
  <dcterms:created xsi:type="dcterms:W3CDTF">2016-04-26T10:52:36Z</dcterms:created>
  <dcterms:modified xsi:type="dcterms:W3CDTF">2016-05-10T09:00:46Z</dcterms:modified>
</cp:coreProperties>
</file>