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210" windowWidth="23715" windowHeight="9465" activeTab="2"/>
  </bookViews>
  <sheets>
    <sheet name="Navision" sheetId="5" r:id="rId1"/>
    <sheet name="Statut offre" sheetId="8" r:id="rId2"/>
    <sheet name="OP envoyée" sheetId="2" r:id="rId3"/>
    <sheet name="Stat- OP ENVOYEE" sheetId="4" r:id="rId4"/>
    <sheet name="OP envoyées ss retard" sheetId="6" r:id="rId5"/>
    <sheet name="Délai réalisation" sheetId="7" r:id="rId6"/>
    <sheet name="offre secrétariat" sheetId="3" r:id="rId7"/>
    <sheet name="Feuil1" sheetId="9" r:id="rId8"/>
  </sheets>
  <definedNames>
    <definedName name="_xlnm._FilterDatabase" localSheetId="7" hidden="1">Feuil1!$A$1:$AD$251</definedName>
    <definedName name="_xlnm._FilterDatabase" localSheetId="0" hidden="1">Navision!$A$1:$AE$328</definedName>
    <definedName name="_xlnm._FilterDatabase" localSheetId="2" hidden="1">'OP envoyée'!$A$1:$AI$251</definedName>
  </definedNames>
  <calcPr calcId="145621"/>
</workbook>
</file>

<file path=xl/calcChain.xml><?xml version="1.0" encoding="utf-8"?>
<calcChain xmlns="http://schemas.openxmlformats.org/spreadsheetml/2006/main">
  <c r="AJ3" i="2" l="1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J122" i="2"/>
  <c r="AJ123" i="2"/>
  <c r="AJ124" i="2"/>
  <c r="AJ125" i="2"/>
  <c r="AJ126" i="2"/>
  <c r="AJ127" i="2"/>
  <c r="AJ128" i="2"/>
  <c r="AJ129" i="2"/>
  <c r="AJ130" i="2"/>
  <c r="AJ131" i="2"/>
  <c r="AJ132" i="2"/>
  <c r="AJ133" i="2"/>
  <c r="AJ134" i="2"/>
  <c r="AJ135" i="2"/>
  <c r="AJ136" i="2"/>
  <c r="AJ137" i="2"/>
  <c r="AJ138" i="2"/>
  <c r="AJ139" i="2"/>
  <c r="AJ140" i="2"/>
  <c r="AJ141" i="2"/>
  <c r="AJ142" i="2"/>
  <c r="AJ143" i="2"/>
  <c r="AJ144" i="2"/>
  <c r="AJ145" i="2"/>
  <c r="AJ146" i="2"/>
  <c r="AJ147" i="2"/>
  <c r="AJ148" i="2"/>
  <c r="AJ149" i="2"/>
  <c r="AJ150" i="2"/>
  <c r="AJ151" i="2"/>
  <c r="AJ152" i="2"/>
  <c r="AJ153" i="2"/>
  <c r="AJ154" i="2"/>
  <c r="AJ155" i="2"/>
  <c r="AJ156" i="2"/>
  <c r="AJ157" i="2"/>
  <c r="AJ158" i="2"/>
  <c r="AJ159" i="2"/>
  <c r="AJ160" i="2"/>
  <c r="AJ161" i="2"/>
  <c r="AJ162" i="2"/>
  <c r="AJ163" i="2"/>
  <c r="AJ164" i="2"/>
  <c r="AJ165" i="2"/>
  <c r="AJ166" i="2"/>
  <c r="AJ167" i="2"/>
  <c r="AJ168" i="2"/>
  <c r="AJ169" i="2"/>
  <c r="AJ170" i="2"/>
  <c r="AJ171" i="2"/>
  <c r="AJ172" i="2"/>
  <c r="AJ173" i="2"/>
  <c r="AJ174" i="2"/>
  <c r="AJ175" i="2"/>
  <c r="AJ176" i="2"/>
  <c r="AJ177" i="2"/>
  <c r="AJ178" i="2"/>
  <c r="AJ179" i="2"/>
  <c r="AJ180" i="2"/>
  <c r="AJ181" i="2"/>
  <c r="AJ182" i="2"/>
  <c r="AJ183" i="2"/>
  <c r="AJ184" i="2"/>
  <c r="AJ185" i="2"/>
  <c r="AJ186" i="2"/>
  <c r="AJ187" i="2"/>
  <c r="AJ188" i="2"/>
  <c r="AJ189" i="2"/>
  <c r="AJ190" i="2"/>
  <c r="AJ191" i="2"/>
  <c r="AJ192" i="2"/>
  <c r="AJ193" i="2"/>
  <c r="AJ194" i="2"/>
  <c r="AJ195" i="2"/>
  <c r="AJ196" i="2"/>
  <c r="AJ197" i="2"/>
  <c r="AJ198" i="2"/>
  <c r="AJ199" i="2"/>
  <c r="AJ200" i="2"/>
  <c r="AJ201" i="2"/>
  <c r="AJ202" i="2"/>
  <c r="AJ203" i="2"/>
  <c r="AJ204" i="2"/>
  <c r="AJ205" i="2"/>
  <c r="AJ206" i="2"/>
  <c r="AJ207" i="2"/>
  <c r="AJ208" i="2"/>
  <c r="AJ209" i="2"/>
  <c r="AJ210" i="2"/>
  <c r="AJ211" i="2"/>
  <c r="AJ212" i="2"/>
  <c r="AJ213" i="2"/>
  <c r="AJ214" i="2"/>
  <c r="AJ215" i="2"/>
  <c r="AJ216" i="2"/>
  <c r="AJ217" i="2"/>
  <c r="AJ218" i="2"/>
  <c r="AJ219" i="2"/>
  <c r="AJ220" i="2"/>
  <c r="AJ221" i="2"/>
  <c r="AJ222" i="2"/>
  <c r="AJ223" i="2"/>
  <c r="AJ224" i="2"/>
  <c r="AJ225" i="2"/>
  <c r="AJ226" i="2"/>
  <c r="AJ227" i="2"/>
  <c r="AJ228" i="2"/>
  <c r="AJ229" i="2"/>
  <c r="AJ230" i="2"/>
  <c r="AJ231" i="2"/>
  <c r="AJ232" i="2"/>
  <c r="AJ233" i="2"/>
  <c r="AJ234" i="2"/>
  <c r="AJ235" i="2"/>
  <c r="AJ236" i="2"/>
  <c r="AJ237" i="2"/>
  <c r="AJ238" i="2"/>
  <c r="AJ239" i="2"/>
  <c r="AJ240" i="2"/>
  <c r="AJ241" i="2"/>
  <c r="AJ242" i="2"/>
  <c r="AJ243" i="2"/>
  <c r="AJ244" i="2"/>
  <c r="AJ245" i="2"/>
  <c r="AJ246" i="2"/>
  <c r="AJ247" i="2"/>
  <c r="AJ248" i="2"/>
  <c r="AJ249" i="2"/>
  <c r="AJ250" i="2"/>
  <c r="AJ251" i="2"/>
  <c r="AJ2" i="2"/>
  <c r="AK2" i="2" s="1"/>
  <c r="AK3" i="2"/>
  <c r="AK4" i="2"/>
  <c r="AK5" i="2"/>
  <c r="AK6" i="2"/>
  <c r="AK7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K102" i="2"/>
  <c r="AK103" i="2"/>
  <c r="AK104" i="2"/>
  <c r="AK105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K125" i="2"/>
  <c r="AK126" i="2"/>
  <c r="AK127" i="2"/>
  <c r="AK128" i="2"/>
  <c r="AK129" i="2"/>
  <c r="AK130" i="2"/>
  <c r="AK131" i="2"/>
  <c r="AK132" i="2"/>
  <c r="AK133" i="2"/>
  <c r="AK134" i="2"/>
  <c r="AK135" i="2"/>
  <c r="AK136" i="2"/>
  <c r="AK137" i="2"/>
  <c r="AK138" i="2"/>
  <c r="AK139" i="2"/>
  <c r="AK140" i="2"/>
  <c r="AK141" i="2"/>
  <c r="AK142" i="2"/>
  <c r="AK143" i="2"/>
  <c r="AK144" i="2"/>
  <c r="AK145" i="2"/>
  <c r="AK146" i="2"/>
  <c r="AK147" i="2"/>
  <c r="AK148" i="2"/>
  <c r="AK149" i="2"/>
  <c r="AK150" i="2"/>
  <c r="AK151" i="2"/>
  <c r="AK152" i="2"/>
  <c r="AK153" i="2"/>
  <c r="AK154" i="2"/>
  <c r="AK155" i="2"/>
  <c r="AK156" i="2"/>
  <c r="AK157" i="2"/>
  <c r="AK158" i="2"/>
  <c r="AK159" i="2"/>
  <c r="AK160" i="2"/>
  <c r="AK161" i="2"/>
  <c r="AK162" i="2"/>
  <c r="AK163" i="2"/>
  <c r="AK164" i="2"/>
  <c r="AK165" i="2"/>
  <c r="AK166" i="2"/>
  <c r="AK167" i="2"/>
  <c r="AK168" i="2"/>
  <c r="AK169" i="2"/>
  <c r="AK170" i="2"/>
  <c r="AK171" i="2"/>
  <c r="AK172" i="2"/>
  <c r="AK173" i="2"/>
  <c r="AK174" i="2"/>
  <c r="AK175" i="2"/>
  <c r="AK176" i="2"/>
  <c r="AK177" i="2"/>
  <c r="AK178" i="2"/>
  <c r="AK179" i="2"/>
  <c r="AK180" i="2"/>
  <c r="AK181" i="2"/>
  <c r="AK182" i="2"/>
  <c r="AK183" i="2"/>
  <c r="AK184" i="2"/>
  <c r="AK185" i="2"/>
  <c r="AK186" i="2"/>
  <c r="AK187" i="2"/>
  <c r="AK188" i="2"/>
  <c r="AK189" i="2"/>
  <c r="AK190" i="2"/>
  <c r="AK191" i="2"/>
  <c r="AK192" i="2"/>
  <c r="AK193" i="2"/>
  <c r="AK194" i="2"/>
  <c r="AK195" i="2"/>
  <c r="AK196" i="2"/>
  <c r="AK197" i="2"/>
  <c r="AK198" i="2"/>
  <c r="AK199" i="2"/>
  <c r="AK200" i="2"/>
  <c r="AK201" i="2"/>
  <c r="AK202" i="2"/>
  <c r="AK203" i="2"/>
  <c r="AK204" i="2"/>
  <c r="AK205" i="2"/>
  <c r="AK206" i="2"/>
  <c r="AK207" i="2"/>
  <c r="AK208" i="2"/>
  <c r="AK209" i="2"/>
  <c r="AK210" i="2"/>
  <c r="AK211" i="2"/>
  <c r="AK212" i="2"/>
  <c r="AK213" i="2"/>
  <c r="AK214" i="2"/>
  <c r="AK215" i="2"/>
  <c r="AK216" i="2"/>
  <c r="AK217" i="2"/>
  <c r="AK218" i="2"/>
  <c r="AK219" i="2"/>
  <c r="AK220" i="2"/>
  <c r="AK221" i="2"/>
  <c r="AK222" i="2"/>
  <c r="AK223" i="2"/>
  <c r="AK224" i="2"/>
  <c r="AK225" i="2"/>
  <c r="AK226" i="2"/>
  <c r="AK227" i="2"/>
  <c r="AK228" i="2"/>
  <c r="AK229" i="2"/>
  <c r="AK230" i="2"/>
  <c r="AK231" i="2"/>
  <c r="AK232" i="2"/>
  <c r="AK233" i="2"/>
  <c r="AK234" i="2"/>
  <c r="AK235" i="2"/>
  <c r="AK236" i="2"/>
  <c r="AK237" i="2"/>
  <c r="AK238" i="2"/>
  <c r="AK239" i="2"/>
  <c r="AK240" i="2"/>
  <c r="AK241" i="2"/>
  <c r="AK242" i="2"/>
  <c r="AK243" i="2"/>
  <c r="AK244" i="2"/>
  <c r="AK245" i="2"/>
  <c r="AK246" i="2"/>
  <c r="AK247" i="2"/>
  <c r="AK248" i="2"/>
  <c r="AK249" i="2"/>
  <c r="AK250" i="2"/>
  <c r="AK251" i="2"/>
  <c r="AH227" i="2"/>
  <c r="AH228" i="2"/>
  <c r="AH229" i="2"/>
  <c r="AG229" i="2" s="1"/>
  <c r="AH230" i="2"/>
  <c r="AH231" i="2"/>
  <c r="AH232" i="2"/>
  <c r="AH233" i="2"/>
  <c r="AG233" i="2" s="1"/>
  <c r="AH234" i="2"/>
  <c r="AH235" i="2"/>
  <c r="AH236" i="2"/>
  <c r="AH237" i="2"/>
  <c r="AG237" i="2" s="1"/>
  <c r="AH238" i="2"/>
  <c r="AH239" i="2"/>
  <c r="AH240" i="2"/>
  <c r="AH241" i="2"/>
  <c r="AG241" i="2" s="1"/>
  <c r="AH242" i="2"/>
  <c r="AH243" i="2"/>
  <c r="AG243" i="2" s="1"/>
  <c r="AH244" i="2"/>
  <c r="AH245" i="2"/>
  <c r="AG245" i="2" s="1"/>
  <c r="AH246" i="2"/>
  <c r="AH247" i="2"/>
  <c r="AG247" i="2" s="1"/>
  <c r="AH248" i="2"/>
  <c r="AH249" i="2"/>
  <c r="AG249" i="2" s="1"/>
  <c r="AH250" i="2"/>
  <c r="AH251" i="2"/>
  <c r="AG251" i="2" s="1"/>
  <c r="AG227" i="2"/>
  <c r="AG228" i="2"/>
  <c r="AG230" i="2"/>
  <c r="AG231" i="2"/>
  <c r="AG232" i="2"/>
  <c r="AG234" i="2"/>
  <c r="AG235" i="2"/>
  <c r="AG236" i="2"/>
  <c r="AG238" i="2"/>
  <c r="AG239" i="2"/>
  <c r="AG240" i="2"/>
  <c r="AG242" i="2"/>
  <c r="AG244" i="2"/>
  <c r="AG246" i="2"/>
  <c r="AG250" i="2"/>
  <c r="AF227" i="2"/>
  <c r="AF228" i="2"/>
  <c r="AF229" i="2"/>
  <c r="AF230" i="2"/>
  <c r="AF231" i="2"/>
  <c r="AF232" i="2"/>
  <c r="AF233" i="2"/>
  <c r="AF234" i="2"/>
  <c r="AF235" i="2"/>
  <c r="AF236" i="2"/>
  <c r="AF237" i="2"/>
  <c r="AF238" i="2"/>
  <c r="AF239" i="2"/>
  <c r="AF240" i="2"/>
  <c r="AF241" i="2"/>
  <c r="AF242" i="2"/>
  <c r="AF243" i="2"/>
  <c r="AF244" i="2"/>
  <c r="AF245" i="2"/>
  <c r="AF246" i="2"/>
  <c r="AF247" i="2"/>
  <c r="AF248" i="2"/>
  <c r="AF249" i="2"/>
  <c r="AF250" i="2"/>
  <c r="AF251" i="2"/>
  <c r="AE227" i="2"/>
  <c r="AE228" i="2"/>
  <c r="AE229" i="2"/>
  <c r="AE230" i="2"/>
  <c r="AE231" i="2"/>
  <c r="AE232" i="2"/>
  <c r="AE233" i="2"/>
  <c r="AE234" i="2"/>
  <c r="AE235" i="2"/>
  <c r="AE236" i="2"/>
  <c r="AE237" i="2"/>
  <c r="AE238" i="2"/>
  <c r="AE239" i="2"/>
  <c r="AE240" i="2"/>
  <c r="AE241" i="2"/>
  <c r="AE242" i="2"/>
  <c r="AE243" i="2"/>
  <c r="AE244" i="2"/>
  <c r="AE245" i="2"/>
  <c r="AE246" i="2"/>
  <c r="AE247" i="2"/>
  <c r="AE248" i="2"/>
  <c r="AE249" i="2"/>
  <c r="AE250" i="2"/>
  <c r="AE251" i="2"/>
  <c r="AE304" i="5"/>
  <c r="AE305" i="5"/>
  <c r="AE306" i="5"/>
  <c r="AE307" i="5"/>
  <c r="AE308" i="5"/>
  <c r="AE309" i="5"/>
  <c r="AE310" i="5"/>
  <c r="AE311" i="5"/>
  <c r="AE312" i="5"/>
  <c r="AE313" i="5"/>
  <c r="AE314" i="5"/>
  <c r="AE315" i="5"/>
  <c r="AE316" i="5"/>
  <c r="AE317" i="5"/>
  <c r="AE318" i="5"/>
  <c r="AE319" i="5"/>
  <c r="AE320" i="5"/>
  <c r="AE321" i="5"/>
  <c r="AE322" i="5"/>
  <c r="AE323" i="5"/>
  <c r="AE324" i="5"/>
  <c r="AE325" i="5"/>
  <c r="AE326" i="5"/>
  <c r="AE327" i="5"/>
  <c r="AE328" i="5"/>
  <c r="AE3" i="5"/>
  <c r="AE4" i="5"/>
  <c r="AE5" i="5"/>
  <c r="AE6" i="5"/>
  <c r="AE7" i="5"/>
  <c r="AE8" i="5"/>
  <c r="AE9" i="5"/>
  <c r="AE10" i="5"/>
  <c r="AE11" i="5"/>
  <c r="AE12" i="5"/>
  <c r="AE13" i="5"/>
  <c r="AE14" i="5"/>
  <c r="AE15" i="5"/>
  <c r="AE16" i="5"/>
  <c r="AE17" i="5"/>
  <c r="AE18" i="5"/>
  <c r="AE19" i="5"/>
  <c r="AE20" i="5"/>
  <c r="AE21" i="5"/>
  <c r="AE22" i="5"/>
  <c r="AE23" i="5"/>
  <c r="AE24" i="5"/>
  <c r="AE25" i="5"/>
  <c r="AE26" i="5"/>
  <c r="AE27" i="5"/>
  <c r="AE28" i="5"/>
  <c r="AE29" i="5"/>
  <c r="AE30" i="5"/>
  <c r="AE31" i="5"/>
  <c r="AE32" i="5"/>
  <c r="AE33" i="5"/>
  <c r="AE34" i="5"/>
  <c r="AE35" i="5"/>
  <c r="AE36" i="5"/>
  <c r="AE37" i="5"/>
  <c r="AE38" i="5"/>
  <c r="AE39" i="5"/>
  <c r="AE40" i="5"/>
  <c r="AE41" i="5"/>
  <c r="AE42" i="5"/>
  <c r="AE43" i="5"/>
  <c r="AE44" i="5"/>
  <c r="AE45" i="5"/>
  <c r="AE46" i="5"/>
  <c r="AE47" i="5"/>
  <c r="AE48" i="5"/>
  <c r="AE49" i="5"/>
  <c r="AE50" i="5"/>
  <c r="AE51" i="5"/>
  <c r="AE52" i="5"/>
  <c r="AE53" i="5"/>
  <c r="AE54" i="5"/>
  <c r="AE55" i="5"/>
  <c r="AE56" i="5"/>
  <c r="AE57" i="5"/>
  <c r="AE58" i="5"/>
  <c r="AE59" i="5"/>
  <c r="AE60" i="5"/>
  <c r="AE61" i="5"/>
  <c r="AE62" i="5"/>
  <c r="AE63" i="5"/>
  <c r="AE64" i="5"/>
  <c r="AE65" i="5"/>
  <c r="AE66" i="5"/>
  <c r="AE67" i="5"/>
  <c r="AE68" i="5"/>
  <c r="AE69" i="5"/>
  <c r="AE70" i="5"/>
  <c r="AE71" i="5"/>
  <c r="AE72" i="5"/>
  <c r="AE73" i="5"/>
  <c r="AE74" i="5"/>
  <c r="AE75" i="5"/>
  <c r="AE76" i="5"/>
  <c r="AE77" i="5"/>
  <c r="AE78" i="5"/>
  <c r="AE79" i="5"/>
  <c r="AE80" i="5"/>
  <c r="AE81" i="5"/>
  <c r="AE82" i="5"/>
  <c r="AE83" i="5"/>
  <c r="AE84" i="5"/>
  <c r="AE85" i="5"/>
  <c r="AE86" i="5"/>
  <c r="AE87" i="5"/>
  <c r="AE88" i="5"/>
  <c r="AE89" i="5"/>
  <c r="AE90" i="5"/>
  <c r="AE91" i="5"/>
  <c r="AE92" i="5"/>
  <c r="AE93" i="5"/>
  <c r="AE94" i="5"/>
  <c r="AE95" i="5"/>
  <c r="AE96" i="5"/>
  <c r="AE97" i="5"/>
  <c r="AE98" i="5"/>
  <c r="AE99" i="5"/>
  <c r="AE100" i="5"/>
  <c r="AE101" i="5"/>
  <c r="AE102" i="5"/>
  <c r="AE103" i="5"/>
  <c r="AE104" i="5"/>
  <c r="AE105" i="5"/>
  <c r="AE106" i="5"/>
  <c r="AE107" i="5"/>
  <c r="AE108" i="5"/>
  <c r="AE109" i="5"/>
  <c r="AE110" i="5"/>
  <c r="AE111" i="5"/>
  <c r="AE112" i="5"/>
  <c r="AE113" i="5"/>
  <c r="AE114" i="5"/>
  <c r="AE115" i="5"/>
  <c r="AE116" i="5"/>
  <c r="AE117" i="5"/>
  <c r="AE118" i="5"/>
  <c r="AE119" i="5"/>
  <c r="AE120" i="5"/>
  <c r="AE121" i="5"/>
  <c r="AE122" i="5"/>
  <c r="AE123" i="5"/>
  <c r="AE124" i="5"/>
  <c r="AE125" i="5"/>
  <c r="AE126" i="5"/>
  <c r="AE127" i="5"/>
  <c r="AE128" i="5"/>
  <c r="AE129" i="5"/>
  <c r="AE130" i="5"/>
  <c r="AE131" i="5"/>
  <c r="AE132" i="5"/>
  <c r="AE133" i="5"/>
  <c r="AE134" i="5"/>
  <c r="AE135" i="5"/>
  <c r="AE136" i="5"/>
  <c r="AE137" i="5"/>
  <c r="AE138" i="5"/>
  <c r="AE139" i="5"/>
  <c r="AE140" i="5"/>
  <c r="AE141" i="5"/>
  <c r="AE142" i="5"/>
  <c r="AE143" i="5"/>
  <c r="AE144" i="5"/>
  <c r="AE145" i="5"/>
  <c r="AE146" i="5"/>
  <c r="AE147" i="5"/>
  <c r="AE148" i="5"/>
  <c r="AE149" i="5"/>
  <c r="AE150" i="5"/>
  <c r="AE151" i="5"/>
  <c r="AE152" i="5"/>
  <c r="AE153" i="5"/>
  <c r="AE154" i="5"/>
  <c r="AE155" i="5"/>
  <c r="AE156" i="5"/>
  <c r="AE157" i="5"/>
  <c r="AE158" i="5"/>
  <c r="AE159" i="5"/>
  <c r="AE160" i="5"/>
  <c r="AE161" i="5"/>
  <c r="AE162" i="5"/>
  <c r="AE163" i="5"/>
  <c r="AE164" i="5"/>
  <c r="AE165" i="5"/>
  <c r="AE166" i="5"/>
  <c r="AE167" i="5"/>
  <c r="AE168" i="5"/>
  <c r="AE169" i="5"/>
  <c r="AE170" i="5"/>
  <c r="AE171" i="5"/>
  <c r="AE172" i="5"/>
  <c r="AE173" i="5"/>
  <c r="AE174" i="5"/>
  <c r="AE175" i="5"/>
  <c r="AE176" i="5"/>
  <c r="AE177" i="5"/>
  <c r="AE178" i="5"/>
  <c r="AE179" i="5"/>
  <c r="AE180" i="5"/>
  <c r="AE181" i="5"/>
  <c r="AE182" i="5"/>
  <c r="AE183" i="5"/>
  <c r="AE184" i="5"/>
  <c r="AE185" i="5"/>
  <c r="AE186" i="5"/>
  <c r="AE187" i="5"/>
  <c r="AE188" i="5"/>
  <c r="AE189" i="5"/>
  <c r="AE190" i="5"/>
  <c r="AE191" i="5"/>
  <c r="AE192" i="5"/>
  <c r="AE193" i="5"/>
  <c r="AE194" i="5"/>
  <c r="AE195" i="5"/>
  <c r="AE196" i="5"/>
  <c r="AE197" i="5"/>
  <c r="AE198" i="5"/>
  <c r="AE199" i="5"/>
  <c r="AE200" i="5"/>
  <c r="AE201" i="5"/>
  <c r="AE202" i="5"/>
  <c r="AE203" i="5"/>
  <c r="AE204" i="5"/>
  <c r="AE205" i="5"/>
  <c r="AE206" i="5"/>
  <c r="AE207" i="5"/>
  <c r="AE208" i="5"/>
  <c r="AE209" i="5"/>
  <c r="AE210" i="5"/>
  <c r="AE211" i="5"/>
  <c r="AE212" i="5"/>
  <c r="AE213" i="5"/>
  <c r="AE214" i="5"/>
  <c r="AE215" i="5"/>
  <c r="AE216" i="5"/>
  <c r="AE217" i="5"/>
  <c r="AE218" i="5"/>
  <c r="AE219" i="5"/>
  <c r="AE220" i="5"/>
  <c r="AE221" i="5"/>
  <c r="AE222" i="5"/>
  <c r="AE223" i="5"/>
  <c r="AE224" i="5"/>
  <c r="AE225" i="5"/>
  <c r="AE226" i="5"/>
  <c r="AE227" i="5"/>
  <c r="AE228" i="5"/>
  <c r="AE229" i="5"/>
  <c r="AE230" i="5"/>
  <c r="AE231" i="5"/>
  <c r="AE232" i="5"/>
  <c r="AE233" i="5"/>
  <c r="AE234" i="5"/>
  <c r="AE235" i="5"/>
  <c r="AE236" i="5"/>
  <c r="AE237" i="5"/>
  <c r="AE238" i="5"/>
  <c r="AE239" i="5"/>
  <c r="AE240" i="5"/>
  <c r="AE241" i="5"/>
  <c r="AE242" i="5"/>
  <c r="AE243" i="5"/>
  <c r="AE244" i="5"/>
  <c r="AE245" i="5"/>
  <c r="AE246" i="5"/>
  <c r="AE247" i="5"/>
  <c r="AE248" i="5"/>
  <c r="AE249" i="5"/>
  <c r="AE250" i="5"/>
  <c r="AE251" i="5"/>
  <c r="AE252" i="5"/>
  <c r="AE253" i="5"/>
  <c r="AE254" i="5"/>
  <c r="AE255" i="5"/>
  <c r="AE256" i="5"/>
  <c r="AE257" i="5"/>
  <c r="AE258" i="5"/>
  <c r="AE259" i="5"/>
  <c r="AE260" i="5"/>
  <c r="AE261" i="5"/>
  <c r="AE262" i="5"/>
  <c r="AE263" i="5"/>
  <c r="AE264" i="5"/>
  <c r="AE265" i="5"/>
  <c r="AE266" i="5"/>
  <c r="AE267" i="5"/>
  <c r="AE268" i="5"/>
  <c r="AE269" i="5"/>
  <c r="AE270" i="5"/>
  <c r="AE271" i="5"/>
  <c r="AE272" i="5"/>
  <c r="AE273" i="5"/>
  <c r="AE274" i="5"/>
  <c r="AE275" i="5"/>
  <c r="AE276" i="5"/>
  <c r="AE277" i="5"/>
  <c r="AE278" i="5"/>
  <c r="AE279" i="5"/>
  <c r="AE280" i="5"/>
  <c r="AE281" i="5"/>
  <c r="AE282" i="5"/>
  <c r="AE283" i="5"/>
  <c r="AE284" i="5"/>
  <c r="AE285" i="5"/>
  <c r="AE286" i="5"/>
  <c r="AE287" i="5"/>
  <c r="AE288" i="5"/>
  <c r="AE289" i="5"/>
  <c r="AE290" i="5"/>
  <c r="AE291" i="5"/>
  <c r="AE292" i="5"/>
  <c r="AE293" i="5"/>
  <c r="AE294" i="5"/>
  <c r="AE295" i="5"/>
  <c r="AE296" i="5"/>
  <c r="AE297" i="5"/>
  <c r="AE298" i="5"/>
  <c r="AE299" i="5"/>
  <c r="AE300" i="5"/>
  <c r="AE301" i="5"/>
  <c r="AE302" i="5"/>
  <c r="AE303" i="5"/>
  <c r="BA28" i="6"/>
  <c r="C8" i="8"/>
  <c r="BA11" i="4"/>
  <c r="AY11" i="4"/>
  <c r="AT11" i="4"/>
  <c r="AP11" i="4"/>
  <c r="AL11" i="4"/>
  <c r="AH11" i="4"/>
  <c r="AD11" i="4"/>
  <c r="Z11" i="4"/>
  <c r="V11" i="4"/>
  <c r="R11" i="4"/>
  <c r="N11" i="4"/>
  <c r="J11" i="4"/>
  <c r="F11" i="4"/>
  <c r="B11" i="4"/>
  <c r="AH178" i="2"/>
  <c r="AH179" i="2"/>
  <c r="AH180" i="2"/>
  <c r="AH181" i="2"/>
  <c r="AH182" i="2"/>
  <c r="AH183" i="2"/>
  <c r="AH184" i="2"/>
  <c r="AH185" i="2"/>
  <c r="AH186" i="2"/>
  <c r="AH187" i="2"/>
  <c r="AH188" i="2"/>
  <c r="AH189" i="2"/>
  <c r="AH190" i="2"/>
  <c r="AH191" i="2"/>
  <c r="AH192" i="2"/>
  <c r="AH193" i="2"/>
  <c r="AH194" i="2"/>
  <c r="AH195" i="2"/>
  <c r="AH196" i="2"/>
  <c r="AH197" i="2"/>
  <c r="AH198" i="2"/>
  <c r="AH199" i="2"/>
  <c r="AH200" i="2"/>
  <c r="AH201" i="2"/>
  <c r="AH202" i="2"/>
  <c r="AH203" i="2"/>
  <c r="AH204" i="2"/>
  <c r="AH205" i="2"/>
  <c r="AH206" i="2"/>
  <c r="AH207" i="2"/>
  <c r="AH208" i="2"/>
  <c r="AH209" i="2"/>
  <c r="AH210" i="2"/>
  <c r="AH211" i="2"/>
  <c r="AH212" i="2"/>
  <c r="AH213" i="2"/>
  <c r="AH214" i="2"/>
  <c r="AH215" i="2"/>
  <c r="AH216" i="2"/>
  <c r="AH217" i="2"/>
  <c r="AH218" i="2"/>
  <c r="AH219" i="2"/>
  <c r="AH220" i="2"/>
  <c r="AH221" i="2"/>
  <c r="AH222" i="2"/>
  <c r="AG222" i="2" s="1"/>
  <c r="AH223" i="2"/>
  <c r="AG223" i="2" s="1"/>
  <c r="AH224" i="2"/>
  <c r="AG224" i="2" s="1"/>
  <c r="AH225" i="2"/>
  <c r="AH226" i="2"/>
  <c r="AG226" i="2" s="1"/>
  <c r="AG184" i="2"/>
  <c r="AG188" i="2"/>
  <c r="AG200" i="2"/>
  <c r="AG204" i="2"/>
  <c r="AG216" i="2"/>
  <c r="AF178" i="2"/>
  <c r="AF179" i="2"/>
  <c r="AF180" i="2"/>
  <c r="AF181" i="2"/>
  <c r="AF182" i="2"/>
  <c r="AF183" i="2"/>
  <c r="AF184" i="2"/>
  <c r="AF185" i="2"/>
  <c r="AF186" i="2"/>
  <c r="AF187" i="2"/>
  <c r="AF188" i="2"/>
  <c r="AF189" i="2"/>
  <c r="AF190" i="2"/>
  <c r="AF191" i="2"/>
  <c r="AF192" i="2"/>
  <c r="AF193" i="2"/>
  <c r="AF194" i="2"/>
  <c r="AF195" i="2"/>
  <c r="AF196" i="2"/>
  <c r="AF197" i="2"/>
  <c r="AF198" i="2"/>
  <c r="AF199" i="2"/>
  <c r="AF200" i="2"/>
  <c r="AF201" i="2"/>
  <c r="AF202" i="2"/>
  <c r="AF203" i="2"/>
  <c r="AF204" i="2"/>
  <c r="AF205" i="2"/>
  <c r="AF206" i="2"/>
  <c r="AF207" i="2"/>
  <c r="AF208" i="2"/>
  <c r="AF209" i="2"/>
  <c r="AF210" i="2"/>
  <c r="AF211" i="2"/>
  <c r="AF212" i="2"/>
  <c r="AF213" i="2"/>
  <c r="AF214" i="2"/>
  <c r="AF215" i="2"/>
  <c r="AF216" i="2"/>
  <c r="AF217" i="2"/>
  <c r="AF218" i="2"/>
  <c r="AF219" i="2"/>
  <c r="AF220" i="2"/>
  <c r="AF221" i="2"/>
  <c r="AF222" i="2"/>
  <c r="AF223" i="2"/>
  <c r="AF224" i="2"/>
  <c r="AF225" i="2"/>
  <c r="AF226" i="2"/>
  <c r="AE178" i="2"/>
  <c r="AE179" i="2"/>
  <c r="AE180" i="2"/>
  <c r="AE181" i="2"/>
  <c r="AE182" i="2"/>
  <c r="AE183" i="2"/>
  <c r="AE184" i="2"/>
  <c r="AE185" i="2"/>
  <c r="AE186" i="2"/>
  <c r="AE187" i="2"/>
  <c r="AE188" i="2"/>
  <c r="AE189" i="2"/>
  <c r="AE190" i="2"/>
  <c r="AE191" i="2"/>
  <c r="AE192" i="2"/>
  <c r="AE193" i="2"/>
  <c r="AE194" i="2"/>
  <c r="AE195" i="2"/>
  <c r="AE196" i="2"/>
  <c r="AE197" i="2"/>
  <c r="AE198" i="2"/>
  <c r="AE199" i="2"/>
  <c r="AE200" i="2"/>
  <c r="AE201" i="2"/>
  <c r="AE202" i="2"/>
  <c r="AE203" i="2"/>
  <c r="AE204" i="2"/>
  <c r="AE205" i="2"/>
  <c r="AE206" i="2"/>
  <c r="AE207" i="2"/>
  <c r="AE208" i="2"/>
  <c r="AE209" i="2"/>
  <c r="AE210" i="2"/>
  <c r="AE211" i="2"/>
  <c r="AE212" i="2"/>
  <c r="AE213" i="2"/>
  <c r="AE214" i="2"/>
  <c r="AE215" i="2"/>
  <c r="AE216" i="2"/>
  <c r="AE217" i="2"/>
  <c r="AE218" i="2"/>
  <c r="AE219" i="2"/>
  <c r="AE220" i="2"/>
  <c r="AE221" i="2"/>
  <c r="AE222" i="2"/>
  <c r="AE223" i="2"/>
  <c r="AE224" i="2"/>
  <c r="AE225" i="2"/>
  <c r="AE226" i="2"/>
  <c r="AE3" i="2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V28" i="6" s="1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8" i="2"/>
  <c r="AE139" i="2"/>
  <c r="AE140" i="2"/>
  <c r="AE141" i="2"/>
  <c r="AE142" i="2"/>
  <c r="AE143" i="2"/>
  <c r="AE144" i="2"/>
  <c r="AE145" i="2"/>
  <c r="AE146" i="2"/>
  <c r="AE147" i="2"/>
  <c r="AE148" i="2"/>
  <c r="AE149" i="2"/>
  <c r="AE150" i="2"/>
  <c r="AE151" i="2"/>
  <c r="AE152" i="2"/>
  <c r="AE153" i="2"/>
  <c r="AE154" i="2"/>
  <c r="AE155" i="2"/>
  <c r="AE156" i="2"/>
  <c r="AE157" i="2"/>
  <c r="AE158" i="2"/>
  <c r="AE159" i="2"/>
  <c r="AE160" i="2"/>
  <c r="AE161" i="2"/>
  <c r="AE162" i="2"/>
  <c r="AE163" i="2"/>
  <c r="AE164" i="2"/>
  <c r="AE165" i="2"/>
  <c r="AE166" i="2"/>
  <c r="AE167" i="2"/>
  <c r="AE168" i="2"/>
  <c r="AE169" i="2"/>
  <c r="AE170" i="2"/>
  <c r="AE171" i="2"/>
  <c r="AE172" i="2"/>
  <c r="AE173" i="2"/>
  <c r="AE174" i="2"/>
  <c r="AE175" i="2"/>
  <c r="AE176" i="2"/>
  <c r="AE177" i="2"/>
  <c r="AF3" i="2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8" i="2"/>
  <c r="AF39" i="2"/>
  <c r="AF40" i="2"/>
  <c r="AF41" i="2"/>
  <c r="AF42" i="2"/>
  <c r="AF43" i="2"/>
  <c r="AF44" i="2"/>
  <c r="AF45" i="2"/>
  <c r="AF46" i="2"/>
  <c r="AF47" i="2"/>
  <c r="AF48" i="2"/>
  <c r="AF49" i="2"/>
  <c r="AF50" i="2"/>
  <c r="AF51" i="2"/>
  <c r="AF52" i="2"/>
  <c r="AF53" i="2"/>
  <c r="AF54" i="2"/>
  <c r="AF55" i="2"/>
  <c r="AF56" i="2"/>
  <c r="AF57" i="2"/>
  <c r="AF58" i="2"/>
  <c r="AF59" i="2"/>
  <c r="AF60" i="2"/>
  <c r="AF61" i="2"/>
  <c r="AF62" i="2"/>
  <c r="AF63" i="2"/>
  <c r="AF64" i="2"/>
  <c r="AF65" i="2"/>
  <c r="AF66" i="2"/>
  <c r="AF67" i="2"/>
  <c r="AF68" i="2"/>
  <c r="AF69" i="2"/>
  <c r="AF70" i="2"/>
  <c r="AF71" i="2"/>
  <c r="AF72" i="2"/>
  <c r="AF73" i="2"/>
  <c r="AF74" i="2"/>
  <c r="AF75" i="2"/>
  <c r="AF76" i="2"/>
  <c r="AF77" i="2"/>
  <c r="AF78" i="2"/>
  <c r="AF79" i="2"/>
  <c r="AF80" i="2"/>
  <c r="AF81" i="2"/>
  <c r="AF82" i="2"/>
  <c r="AF83" i="2"/>
  <c r="AF84" i="2"/>
  <c r="AF85" i="2"/>
  <c r="AF86" i="2"/>
  <c r="AF87" i="2"/>
  <c r="AF88" i="2"/>
  <c r="AF89" i="2"/>
  <c r="AF90" i="2"/>
  <c r="AF91" i="2"/>
  <c r="AF92" i="2"/>
  <c r="AF93" i="2"/>
  <c r="AF94" i="2"/>
  <c r="AF95" i="2"/>
  <c r="AF96" i="2"/>
  <c r="AF97" i="2"/>
  <c r="AF98" i="2"/>
  <c r="AF99" i="2"/>
  <c r="AF100" i="2"/>
  <c r="AF101" i="2"/>
  <c r="AF102" i="2"/>
  <c r="AF103" i="2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Y28" i="6" s="1"/>
  <c r="AF121" i="2"/>
  <c r="AF122" i="2"/>
  <c r="AF123" i="2"/>
  <c r="AF124" i="2"/>
  <c r="AF125" i="2"/>
  <c r="AF126" i="2"/>
  <c r="AF127" i="2"/>
  <c r="AF128" i="2"/>
  <c r="AF129" i="2"/>
  <c r="AF130" i="2"/>
  <c r="AF131" i="2"/>
  <c r="AF132" i="2"/>
  <c r="AF133" i="2"/>
  <c r="AF134" i="2"/>
  <c r="AF135" i="2"/>
  <c r="AF136" i="2"/>
  <c r="AF137" i="2"/>
  <c r="AF138" i="2"/>
  <c r="AF139" i="2"/>
  <c r="AF140" i="2"/>
  <c r="AF141" i="2"/>
  <c r="AF142" i="2"/>
  <c r="AF143" i="2"/>
  <c r="AF144" i="2"/>
  <c r="AF145" i="2"/>
  <c r="AF146" i="2"/>
  <c r="AF147" i="2"/>
  <c r="AF148" i="2"/>
  <c r="AF149" i="2"/>
  <c r="AF150" i="2"/>
  <c r="AF151" i="2"/>
  <c r="AF152" i="2"/>
  <c r="AF153" i="2"/>
  <c r="AF154" i="2"/>
  <c r="AF155" i="2"/>
  <c r="AF156" i="2"/>
  <c r="AF157" i="2"/>
  <c r="AF158" i="2"/>
  <c r="AF159" i="2"/>
  <c r="AF160" i="2"/>
  <c r="AF161" i="2"/>
  <c r="AF162" i="2"/>
  <c r="AF163" i="2"/>
  <c r="AF164" i="2"/>
  <c r="AF165" i="2"/>
  <c r="AF166" i="2"/>
  <c r="AF167" i="2"/>
  <c r="AF168" i="2"/>
  <c r="AF169" i="2"/>
  <c r="AF170" i="2"/>
  <c r="AF171" i="2"/>
  <c r="AF172" i="2"/>
  <c r="AF173" i="2"/>
  <c r="AF174" i="2"/>
  <c r="AF175" i="2"/>
  <c r="AF176" i="2"/>
  <c r="AF177" i="2"/>
  <c r="AH3" i="2"/>
  <c r="AH4" i="2"/>
  <c r="AG4" i="2" s="1"/>
  <c r="AH5" i="2"/>
  <c r="AG5" i="2" s="1"/>
  <c r="AH6" i="2"/>
  <c r="AI6" i="2" s="1"/>
  <c r="AH7" i="2"/>
  <c r="AH8" i="2"/>
  <c r="AG8" i="2" s="1"/>
  <c r="AH9" i="2"/>
  <c r="AG9" i="2" s="1"/>
  <c r="AH10" i="2"/>
  <c r="AI10" i="2" s="1"/>
  <c r="AH11" i="2"/>
  <c r="AI11" i="2" s="1"/>
  <c r="AH12" i="2"/>
  <c r="AG12" i="2" s="1"/>
  <c r="AH13" i="2"/>
  <c r="AG13" i="2" s="1"/>
  <c r="AH14" i="2"/>
  <c r="AI14" i="2" s="1"/>
  <c r="AH15" i="2"/>
  <c r="AH16" i="2"/>
  <c r="AG16" i="2" s="1"/>
  <c r="AH17" i="2"/>
  <c r="AG17" i="2" s="1"/>
  <c r="AH18" i="2"/>
  <c r="AI18" i="2" s="1"/>
  <c r="AH19" i="2"/>
  <c r="AH20" i="2"/>
  <c r="AG20" i="2" s="1"/>
  <c r="AH21" i="2"/>
  <c r="AG21" i="2" s="1"/>
  <c r="AH22" i="2"/>
  <c r="AI22" i="2" s="1"/>
  <c r="AH23" i="2"/>
  <c r="AH24" i="2"/>
  <c r="AG24" i="2" s="1"/>
  <c r="AH25" i="2"/>
  <c r="AG25" i="2" s="1"/>
  <c r="AH26" i="2"/>
  <c r="AI26" i="2" s="1"/>
  <c r="AH27" i="2"/>
  <c r="AI27" i="2" s="1"/>
  <c r="AH28" i="2"/>
  <c r="AG28" i="2" s="1"/>
  <c r="AH29" i="2"/>
  <c r="AG29" i="2" s="1"/>
  <c r="AH30" i="2"/>
  <c r="AI30" i="2" s="1"/>
  <c r="AH31" i="2"/>
  <c r="AH32" i="2"/>
  <c r="AG32" i="2" s="1"/>
  <c r="AH33" i="2"/>
  <c r="AG33" i="2" s="1"/>
  <c r="AH34" i="2"/>
  <c r="AI34" i="2" s="1"/>
  <c r="AH35" i="2"/>
  <c r="AH36" i="2"/>
  <c r="AG36" i="2" s="1"/>
  <c r="AH37" i="2"/>
  <c r="AG37" i="2" s="1"/>
  <c r="AH38" i="2"/>
  <c r="AI38" i="2" s="1"/>
  <c r="AH39" i="2"/>
  <c r="AH40" i="2"/>
  <c r="AG40" i="2" s="1"/>
  <c r="AH41" i="2"/>
  <c r="AG41" i="2" s="1"/>
  <c r="AH42" i="2"/>
  <c r="AI42" i="2" s="1"/>
  <c r="AH43" i="2"/>
  <c r="AI43" i="2" s="1"/>
  <c r="AH44" i="2"/>
  <c r="AG44" i="2" s="1"/>
  <c r="AH45" i="2"/>
  <c r="AG45" i="2" s="1"/>
  <c r="AH46" i="2"/>
  <c r="AI46" i="2" s="1"/>
  <c r="AH47" i="2"/>
  <c r="AI47" i="2" s="1"/>
  <c r="AH48" i="2"/>
  <c r="AG48" i="2" s="1"/>
  <c r="AH49" i="2"/>
  <c r="AG49" i="2" s="1"/>
  <c r="AH50" i="2"/>
  <c r="AI50" i="2" s="1"/>
  <c r="AH51" i="2"/>
  <c r="AH52" i="2"/>
  <c r="AG52" i="2" s="1"/>
  <c r="AH53" i="2"/>
  <c r="AG53" i="2" s="1"/>
  <c r="AH54" i="2"/>
  <c r="AI54" i="2" s="1"/>
  <c r="AH55" i="2"/>
  <c r="AH56" i="2"/>
  <c r="AG56" i="2" s="1"/>
  <c r="AH57" i="2"/>
  <c r="AG57" i="2" s="1"/>
  <c r="AH58" i="2"/>
  <c r="AI58" i="2" s="1"/>
  <c r="AH59" i="2"/>
  <c r="AI59" i="2" s="1"/>
  <c r="AH60" i="2"/>
  <c r="AG60" i="2" s="1"/>
  <c r="AH61" i="2"/>
  <c r="AG61" i="2" s="1"/>
  <c r="AH62" i="2"/>
  <c r="AI62" i="2" s="1"/>
  <c r="AH63" i="2"/>
  <c r="AH64" i="2"/>
  <c r="AG64" i="2" s="1"/>
  <c r="AH65" i="2"/>
  <c r="AG65" i="2" s="1"/>
  <c r="AH66" i="2"/>
  <c r="AI66" i="2" s="1"/>
  <c r="AH67" i="2"/>
  <c r="AH68" i="2"/>
  <c r="AG68" i="2" s="1"/>
  <c r="AH69" i="2"/>
  <c r="AG69" i="2" s="1"/>
  <c r="AH70" i="2"/>
  <c r="AI70" i="2" s="1"/>
  <c r="AH71" i="2"/>
  <c r="AH72" i="2"/>
  <c r="AG72" i="2" s="1"/>
  <c r="AH73" i="2"/>
  <c r="AG73" i="2" s="1"/>
  <c r="AH74" i="2"/>
  <c r="AI74" i="2" s="1"/>
  <c r="AH75" i="2"/>
  <c r="AI75" i="2" s="1"/>
  <c r="AH76" i="2"/>
  <c r="AG76" i="2" s="1"/>
  <c r="AH77" i="2"/>
  <c r="AG77" i="2" s="1"/>
  <c r="AH78" i="2"/>
  <c r="AI78" i="2" s="1"/>
  <c r="AH79" i="2"/>
  <c r="AH80" i="2"/>
  <c r="AG80" i="2" s="1"/>
  <c r="AH81" i="2"/>
  <c r="AG81" i="2" s="1"/>
  <c r="AH82" i="2"/>
  <c r="AI82" i="2" s="1"/>
  <c r="AH83" i="2"/>
  <c r="AH84" i="2"/>
  <c r="AG84" i="2" s="1"/>
  <c r="AH85" i="2"/>
  <c r="AG85" i="2" s="1"/>
  <c r="AH86" i="2"/>
  <c r="AI86" i="2" s="1"/>
  <c r="AH87" i="2"/>
  <c r="AH88" i="2"/>
  <c r="AG88" i="2" s="1"/>
  <c r="AH89" i="2"/>
  <c r="AG89" i="2" s="1"/>
  <c r="AH90" i="2"/>
  <c r="AI90" i="2" s="1"/>
  <c r="AH91" i="2"/>
  <c r="AI91" i="2" s="1"/>
  <c r="AH92" i="2"/>
  <c r="AG92" i="2" s="1"/>
  <c r="AH93" i="2"/>
  <c r="AG93" i="2" s="1"/>
  <c r="AH94" i="2"/>
  <c r="AI94" i="2" s="1"/>
  <c r="AH95" i="2"/>
  <c r="AH96" i="2"/>
  <c r="AG96" i="2" s="1"/>
  <c r="AH97" i="2"/>
  <c r="AG97" i="2" s="1"/>
  <c r="AH98" i="2"/>
  <c r="AI98" i="2" s="1"/>
  <c r="AH99" i="2"/>
  <c r="AH100" i="2"/>
  <c r="AG100" i="2" s="1"/>
  <c r="AH101" i="2"/>
  <c r="AG101" i="2" s="1"/>
  <c r="AH102" i="2"/>
  <c r="AI102" i="2" s="1"/>
  <c r="AH103" i="2"/>
  <c r="AH104" i="2"/>
  <c r="AG104" i="2" s="1"/>
  <c r="AH105" i="2"/>
  <c r="AG105" i="2" s="1"/>
  <c r="AH106" i="2"/>
  <c r="AI106" i="2" s="1"/>
  <c r="AH107" i="2"/>
  <c r="AI107" i="2" s="1"/>
  <c r="AH108" i="2"/>
  <c r="AG108" i="2" s="1"/>
  <c r="AH109" i="2"/>
  <c r="AG109" i="2" s="1"/>
  <c r="AH110" i="2"/>
  <c r="AI110" i="2" s="1"/>
  <c r="AH111" i="2"/>
  <c r="AI111" i="2" s="1"/>
  <c r="AH112" i="2"/>
  <c r="AG112" i="2" s="1"/>
  <c r="AH113" i="2"/>
  <c r="AG113" i="2" s="1"/>
  <c r="AH114" i="2"/>
  <c r="AI114" i="2" s="1"/>
  <c r="AH115" i="2"/>
  <c r="AH116" i="2"/>
  <c r="AG116" i="2" s="1"/>
  <c r="AH117" i="2"/>
  <c r="AG117" i="2" s="1"/>
  <c r="AH118" i="2"/>
  <c r="AI118" i="2" s="1"/>
  <c r="AH119" i="2"/>
  <c r="AH120" i="2"/>
  <c r="AG120" i="2" s="1"/>
  <c r="AH121" i="2"/>
  <c r="AG121" i="2" s="1"/>
  <c r="AH122" i="2"/>
  <c r="AI122" i="2" s="1"/>
  <c r="AH123" i="2"/>
  <c r="AI123" i="2" s="1"/>
  <c r="AH124" i="2"/>
  <c r="AG124" i="2" s="1"/>
  <c r="AH125" i="2"/>
  <c r="AG125" i="2" s="1"/>
  <c r="AH126" i="2"/>
  <c r="AI126" i="2" s="1"/>
  <c r="AH127" i="2"/>
  <c r="AH128" i="2"/>
  <c r="AG128" i="2" s="1"/>
  <c r="AH129" i="2"/>
  <c r="AG129" i="2" s="1"/>
  <c r="AH130" i="2"/>
  <c r="AI130" i="2" s="1"/>
  <c r="AH131" i="2"/>
  <c r="AH132" i="2"/>
  <c r="AG132" i="2" s="1"/>
  <c r="AH133" i="2"/>
  <c r="AG133" i="2" s="1"/>
  <c r="AH134" i="2"/>
  <c r="AI134" i="2" s="1"/>
  <c r="AH135" i="2"/>
  <c r="AH136" i="2"/>
  <c r="AG136" i="2" s="1"/>
  <c r="AH137" i="2"/>
  <c r="AG137" i="2" s="1"/>
  <c r="AH138" i="2"/>
  <c r="AI138" i="2" s="1"/>
  <c r="AH139" i="2"/>
  <c r="AI139" i="2" s="1"/>
  <c r="AH140" i="2"/>
  <c r="AG140" i="2" s="1"/>
  <c r="AH141" i="2"/>
  <c r="AG141" i="2" s="1"/>
  <c r="AH142" i="2"/>
  <c r="AI142" i="2" s="1"/>
  <c r="AH143" i="2"/>
  <c r="AH144" i="2"/>
  <c r="AG144" i="2" s="1"/>
  <c r="AH145" i="2"/>
  <c r="AG145" i="2" s="1"/>
  <c r="AH146" i="2"/>
  <c r="AI146" i="2" s="1"/>
  <c r="AH147" i="2"/>
  <c r="AH148" i="2"/>
  <c r="AG148" i="2" s="1"/>
  <c r="AH149" i="2"/>
  <c r="AH150" i="2"/>
  <c r="AH151" i="2"/>
  <c r="AH152" i="2"/>
  <c r="AG152" i="2" s="1"/>
  <c r="AH153" i="2"/>
  <c r="AH154" i="2"/>
  <c r="AH155" i="2"/>
  <c r="AI155" i="2" s="1"/>
  <c r="AH156" i="2"/>
  <c r="AG156" i="2" s="1"/>
  <c r="AH157" i="2"/>
  <c r="AI157" i="2" s="1"/>
  <c r="AH158" i="2"/>
  <c r="AH159" i="2"/>
  <c r="AI159" i="2" s="1"/>
  <c r="AH160" i="2"/>
  <c r="AG160" i="2" s="1"/>
  <c r="AH161" i="2"/>
  <c r="AH162" i="2"/>
  <c r="AH163" i="2"/>
  <c r="AH164" i="2"/>
  <c r="AG164" i="2" s="1"/>
  <c r="AH165" i="2"/>
  <c r="AH166" i="2"/>
  <c r="AH167" i="2"/>
  <c r="AH168" i="2"/>
  <c r="AG168" i="2" s="1"/>
  <c r="AH169" i="2"/>
  <c r="AI169" i="2" s="1"/>
  <c r="AH170" i="2"/>
  <c r="AG170" i="2" s="1"/>
  <c r="AH171" i="2"/>
  <c r="AH172" i="2"/>
  <c r="AG172" i="2" s="1"/>
  <c r="AH173" i="2"/>
  <c r="AI173" i="2" s="1"/>
  <c r="AH174" i="2"/>
  <c r="AG174" i="2" s="1"/>
  <c r="AH175" i="2"/>
  <c r="AG175" i="2" s="1"/>
  <c r="AH176" i="2"/>
  <c r="AG176" i="2" s="1"/>
  <c r="AH177" i="2"/>
  <c r="AI177" i="2" s="1"/>
  <c r="AI4" i="2"/>
  <c r="AI15" i="2"/>
  <c r="AI16" i="2"/>
  <c r="AI20" i="2"/>
  <c r="AI31" i="2"/>
  <c r="AI32" i="2"/>
  <c r="AI36" i="2"/>
  <c r="AI52" i="2"/>
  <c r="AI63" i="2"/>
  <c r="AI64" i="2"/>
  <c r="AI68" i="2"/>
  <c r="AI79" i="2"/>
  <c r="AI80" i="2"/>
  <c r="AI84" i="2"/>
  <c r="AI95" i="2"/>
  <c r="AI100" i="2"/>
  <c r="AI101" i="2"/>
  <c r="AI116" i="2"/>
  <c r="AI127" i="2"/>
  <c r="AI132" i="2"/>
  <c r="AI133" i="2"/>
  <c r="AI143" i="2"/>
  <c r="AI144" i="2"/>
  <c r="AI148" i="2"/>
  <c r="AI164" i="2"/>
  <c r="F8" i="8"/>
  <c r="C11" i="8"/>
  <c r="BA29" i="4"/>
  <c r="AY29" i="4"/>
  <c r="O12" i="8"/>
  <c r="O11" i="8"/>
  <c r="O10" i="8"/>
  <c r="O9" i="8"/>
  <c r="O8" i="8"/>
  <c r="O7" i="8"/>
  <c r="N12" i="8"/>
  <c r="N11" i="8"/>
  <c r="N10" i="8"/>
  <c r="P10" i="8" s="1"/>
  <c r="N9" i="8"/>
  <c r="P9" i="8" s="1"/>
  <c r="N8" i="8"/>
  <c r="N7" i="8"/>
  <c r="O6" i="8"/>
  <c r="O13" i="8" s="1"/>
  <c r="N6" i="8"/>
  <c r="K6" i="8"/>
  <c r="L6" i="8"/>
  <c r="L12" i="8"/>
  <c r="L11" i="8"/>
  <c r="L10" i="8"/>
  <c r="L9" i="8"/>
  <c r="L8" i="8"/>
  <c r="L7" i="8"/>
  <c r="K12" i="8"/>
  <c r="K11" i="8"/>
  <c r="K10" i="8"/>
  <c r="M10" i="8" s="1"/>
  <c r="K9" i="8"/>
  <c r="M9" i="8" s="1"/>
  <c r="K8" i="8"/>
  <c r="K7" i="8"/>
  <c r="I12" i="8"/>
  <c r="I11" i="8"/>
  <c r="I10" i="8"/>
  <c r="I9" i="8"/>
  <c r="I8" i="8"/>
  <c r="I7" i="8"/>
  <c r="H12" i="8"/>
  <c r="H11" i="8"/>
  <c r="H10" i="8"/>
  <c r="H9" i="8"/>
  <c r="J9" i="8" s="1"/>
  <c r="H8" i="8"/>
  <c r="H7" i="8"/>
  <c r="I6" i="8"/>
  <c r="H6" i="8"/>
  <c r="F12" i="8"/>
  <c r="F11" i="8"/>
  <c r="F10" i="8"/>
  <c r="F9" i="8"/>
  <c r="F7" i="8"/>
  <c r="F6" i="8"/>
  <c r="E12" i="8"/>
  <c r="E11" i="8"/>
  <c r="E10" i="8"/>
  <c r="E9" i="8"/>
  <c r="E8" i="8"/>
  <c r="E7" i="8"/>
  <c r="E6" i="8"/>
  <c r="C12" i="8"/>
  <c r="C10" i="8"/>
  <c r="C9" i="8"/>
  <c r="C7" i="8"/>
  <c r="B12" i="8"/>
  <c r="B11" i="8"/>
  <c r="B10" i="8"/>
  <c r="B9" i="8"/>
  <c r="B8" i="8"/>
  <c r="B7" i="8"/>
  <c r="B6" i="8"/>
  <c r="C6" i="8"/>
  <c r="K17" i="7"/>
  <c r="K11" i="7"/>
  <c r="J17" i="7"/>
  <c r="J11" i="7"/>
  <c r="D17" i="7"/>
  <c r="D11" i="7"/>
  <c r="B17" i="7"/>
  <c r="B11" i="7"/>
  <c r="H17" i="7"/>
  <c r="H11" i="7"/>
  <c r="F17" i="7"/>
  <c r="F11" i="7"/>
  <c r="BA27" i="6"/>
  <c r="BA26" i="6"/>
  <c r="BA25" i="6"/>
  <c r="BA24" i="6"/>
  <c r="BA28" i="4"/>
  <c r="BA27" i="4"/>
  <c r="BA26" i="4"/>
  <c r="BA25" i="4"/>
  <c r="AY28" i="4"/>
  <c r="AY27" i="4"/>
  <c r="AY26" i="4"/>
  <c r="AY25" i="4"/>
  <c r="BB25" i="4" s="1"/>
  <c r="AY16" i="6"/>
  <c r="AY10" i="6"/>
  <c r="AT16" i="6"/>
  <c r="AT10" i="6"/>
  <c r="AP16" i="6"/>
  <c r="AP10" i="6"/>
  <c r="AL16" i="6"/>
  <c r="AL10" i="6"/>
  <c r="AH16" i="6"/>
  <c r="AH10" i="6"/>
  <c r="AD16" i="6"/>
  <c r="AD10" i="6"/>
  <c r="Z16" i="6"/>
  <c r="Z10" i="6"/>
  <c r="V16" i="6"/>
  <c r="V10" i="6"/>
  <c r="R16" i="6"/>
  <c r="R10" i="6"/>
  <c r="N16" i="6"/>
  <c r="N10" i="6"/>
  <c r="J16" i="6"/>
  <c r="J10" i="6"/>
  <c r="F16" i="6"/>
  <c r="F10" i="6"/>
  <c r="B16" i="6"/>
  <c r="B10" i="6"/>
  <c r="BA16" i="6"/>
  <c r="BA15" i="6"/>
  <c r="BA14" i="6"/>
  <c r="BA13" i="6"/>
  <c r="BA12" i="6"/>
  <c r="BA10" i="6"/>
  <c r="BB10" i="6" s="1"/>
  <c r="BA9" i="6"/>
  <c r="BA8" i="6"/>
  <c r="BA7" i="6"/>
  <c r="BA6" i="6"/>
  <c r="BA5" i="6"/>
  <c r="BA4" i="6"/>
  <c r="BA3" i="6"/>
  <c r="AV16" i="6"/>
  <c r="AW16" i="6" s="1"/>
  <c r="AV10" i="6"/>
  <c r="AR16" i="6"/>
  <c r="AS16" i="6" s="1"/>
  <c r="AR10" i="6"/>
  <c r="AN16" i="6"/>
  <c r="AO16" i="6" s="1"/>
  <c r="AN10" i="6"/>
  <c r="AJ16" i="6"/>
  <c r="AJ10" i="6"/>
  <c r="AF16" i="6"/>
  <c r="AG16" i="6" s="1"/>
  <c r="AF10" i="6"/>
  <c r="AB16" i="6"/>
  <c r="AC16" i="6" s="1"/>
  <c r="AB10" i="6"/>
  <c r="X16" i="6"/>
  <c r="Y16" i="6" s="1"/>
  <c r="X10" i="6"/>
  <c r="Y10" i="6" s="1"/>
  <c r="T16" i="6"/>
  <c r="U16" i="6" s="1"/>
  <c r="T10" i="6"/>
  <c r="P16" i="6"/>
  <c r="Q16" i="6" s="1"/>
  <c r="P10" i="6"/>
  <c r="Q10" i="6" s="1"/>
  <c r="L16" i="6"/>
  <c r="L10" i="6"/>
  <c r="D16" i="6"/>
  <c r="D10" i="6"/>
  <c r="H16" i="6"/>
  <c r="H10" i="6"/>
  <c r="I10" i="6" s="1"/>
  <c r="BB29" i="4"/>
  <c r="L13" i="8"/>
  <c r="K13" i="8"/>
  <c r="I13" i="8"/>
  <c r="H13" i="8"/>
  <c r="BB16" i="6"/>
  <c r="AK16" i="6"/>
  <c r="AW10" i="6"/>
  <c r="AS10" i="6"/>
  <c r="AO10" i="6"/>
  <c r="AK10" i="6"/>
  <c r="AG10" i="6"/>
  <c r="AC10" i="6"/>
  <c r="U10" i="6"/>
  <c r="BA17" i="4"/>
  <c r="BA16" i="4"/>
  <c r="BA15" i="4"/>
  <c r="BA14" i="4"/>
  <c r="BA13" i="4"/>
  <c r="BA12" i="4"/>
  <c r="BA10" i="4"/>
  <c r="BA9" i="4"/>
  <c r="BA8" i="4"/>
  <c r="BA7" i="4"/>
  <c r="BA6" i="4"/>
  <c r="BA5" i="4"/>
  <c r="BA4" i="4"/>
  <c r="BA3" i="4"/>
  <c r="AY6" i="4"/>
  <c r="BB6" i="4" s="1"/>
  <c r="AY17" i="4"/>
  <c r="AY16" i="4"/>
  <c r="AY15" i="4"/>
  <c r="BB15" i="4" s="1"/>
  <c r="AY14" i="4"/>
  <c r="AY13" i="4"/>
  <c r="AY10" i="4"/>
  <c r="AY9" i="4"/>
  <c r="AY8" i="4"/>
  <c r="AY7" i="4"/>
  <c r="AY5" i="4"/>
  <c r="AY4" i="4"/>
  <c r="AY3" i="4"/>
  <c r="AV17" i="4"/>
  <c r="AT17" i="4"/>
  <c r="AT10" i="4"/>
  <c r="AR17" i="4"/>
  <c r="AP17" i="4"/>
  <c r="AP10" i="4"/>
  <c r="AN17" i="4"/>
  <c r="AL17" i="4"/>
  <c r="AL10" i="4"/>
  <c r="AJ17" i="4"/>
  <c r="AH17" i="4"/>
  <c r="AH10" i="4"/>
  <c r="AF17" i="4"/>
  <c r="AD17" i="4"/>
  <c r="AD10" i="4"/>
  <c r="Z17" i="4"/>
  <c r="AB17" i="4"/>
  <c r="Z10" i="4"/>
  <c r="X17" i="4"/>
  <c r="V17" i="4"/>
  <c r="V10" i="4"/>
  <c r="T17" i="4"/>
  <c r="R17" i="4"/>
  <c r="R10" i="4"/>
  <c r="P17" i="4"/>
  <c r="N17" i="4"/>
  <c r="N10" i="4"/>
  <c r="L17" i="4"/>
  <c r="J17" i="4"/>
  <c r="J10" i="4"/>
  <c r="H17" i="4"/>
  <c r="D17" i="4"/>
  <c r="F17" i="4"/>
  <c r="F10" i="4"/>
  <c r="B17" i="4"/>
  <c r="B10" i="4"/>
  <c r="AV11" i="4"/>
  <c r="AJ6" i="4"/>
  <c r="T10" i="4"/>
  <c r="AE2" i="5"/>
  <c r="AH2" i="2"/>
  <c r="AG2" i="2" s="1"/>
  <c r="AF2" i="2"/>
  <c r="AE2" i="2"/>
  <c r="AI149" i="2" l="1"/>
  <c r="AI141" i="2"/>
  <c r="AI105" i="2"/>
  <c r="AI69" i="2"/>
  <c r="AI61" i="2"/>
  <c r="AI37" i="2"/>
  <c r="AI25" i="2"/>
  <c r="AG220" i="2"/>
  <c r="AG192" i="2"/>
  <c r="AI248" i="2"/>
  <c r="AI244" i="2"/>
  <c r="AI240" i="2"/>
  <c r="AI236" i="2"/>
  <c r="AI232" i="2"/>
  <c r="AI228" i="2"/>
  <c r="AG248" i="2"/>
  <c r="AI251" i="2"/>
  <c r="AI247" i="2"/>
  <c r="AI243" i="2"/>
  <c r="AI239" i="2"/>
  <c r="AI235" i="2"/>
  <c r="AI231" i="2"/>
  <c r="AI227" i="2"/>
  <c r="AI161" i="2"/>
  <c r="AI113" i="2"/>
  <c r="AI49" i="2"/>
  <c r="AI250" i="2"/>
  <c r="AI246" i="2"/>
  <c r="AI242" i="2"/>
  <c r="AI238" i="2"/>
  <c r="AI234" i="2"/>
  <c r="AI230" i="2"/>
  <c r="BA30" i="6"/>
  <c r="AI160" i="2"/>
  <c r="AI128" i="2"/>
  <c r="AI112" i="2"/>
  <c r="AI96" i="2"/>
  <c r="AI48" i="2"/>
  <c r="AI249" i="2"/>
  <c r="AI245" i="2"/>
  <c r="AI241" i="2"/>
  <c r="AI237" i="2"/>
  <c r="AI233" i="2"/>
  <c r="AI229" i="2"/>
  <c r="M16" i="6"/>
  <c r="M10" i="6"/>
  <c r="AI165" i="2"/>
  <c r="AI125" i="2"/>
  <c r="AI89" i="2"/>
  <c r="AI65" i="2"/>
  <c r="AI57" i="2"/>
  <c r="AI45" i="2"/>
  <c r="AI33" i="2"/>
  <c r="AI21" i="2"/>
  <c r="AI13" i="2"/>
  <c r="AI153" i="2"/>
  <c r="AI129" i="2"/>
  <c r="AI121" i="2"/>
  <c r="AI109" i="2"/>
  <c r="AI97" i="2"/>
  <c r="AI85" i="2"/>
  <c r="AI77" i="2"/>
  <c r="AI41" i="2"/>
  <c r="AI5" i="2"/>
  <c r="AG208" i="2"/>
  <c r="B28" i="6"/>
  <c r="J28" i="6"/>
  <c r="R28" i="6"/>
  <c r="Z28" i="6"/>
  <c r="AH28" i="6"/>
  <c r="AP28" i="6"/>
  <c r="BB27" i="4"/>
  <c r="D28" i="6"/>
  <c r="L28" i="6"/>
  <c r="T28" i="6"/>
  <c r="AB28" i="6"/>
  <c r="AJ28" i="6"/>
  <c r="AR28" i="6"/>
  <c r="F28" i="6"/>
  <c r="N28" i="6"/>
  <c r="V28" i="6"/>
  <c r="AD28" i="6"/>
  <c r="AL28" i="6"/>
  <c r="AT28" i="6"/>
  <c r="AW28" i="6" s="1"/>
  <c r="AI145" i="2"/>
  <c r="AI137" i="2"/>
  <c r="AI117" i="2"/>
  <c r="AI93" i="2"/>
  <c r="AI81" i="2"/>
  <c r="AI73" i="2"/>
  <c r="AI53" i="2"/>
  <c r="AI29" i="2"/>
  <c r="AI17" i="2"/>
  <c r="AI9" i="2"/>
  <c r="AG212" i="2"/>
  <c r="AG196" i="2"/>
  <c r="AG180" i="2"/>
  <c r="H28" i="6"/>
  <c r="I28" i="6" s="1"/>
  <c r="P28" i="6"/>
  <c r="X28" i="6"/>
  <c r="AF28" i="6"/>
  <c r="AN28" i="6"/>
  <c r="E17" i="4"/>
  <c r="BB17" i="4"/>
  <c r="G6" i="8"/>
  <c r="G10" i="8"/>
  <c r="J8" i="8"/>
  <c r="J12" i="8"/>
  <c r="G12" i="8"/>
  <c r="J10" i="8"/>
  <c r="G11" i="8"/>
  <c r="BB16" i="4"/>
  <c r="AB5" i="4"/>
  <c r="BB9" i="4"/>
  <c r="G7" i="8"/>
  <c r="BB14" i="4"/>
  <c r="BB28" i="6"/>
  <c r="AS28" i="6"/>
  <c r="AK28" i="6"/>
  <c r="AG28" i="6"/>
  <c r="AC28" i="6"/>
  <c r="Y28" i="6"/>
  <c r="U28" i="6"/>
  <c r="M28" i="6"/>
  <c r="E28" i="6"/>
  <c r="E13" i="8"/>
  <c r="M8" i="8"/>
  <c r="M12" i="8"/>
  <c r="P8" i="8"/>
  <c r="P12" i="8"/>
  <c r="BB13" i="4"/>
  <c r="BB8" i="4"/>
  <c r="BB7" i="4"/>
  <c r="AG218" i="2"/>
  <c r="AG210" i="2"/>
  <c r="AG202" i="2"/>
  <c r="AG194" i="2"/>
  <c r="AG186" i="2"/>
  <c r="AG178" i="2"/>
  <c r="AG171" i="2"/>
  <c r="AI171" i="2"/>
  <c r="AG167" i="2"/>
  <c r="AG163" i="2"/>
  <c r="AG159" i="2"/>
  <c r="AG155" i="2"/>
  <c r="AG151" i="2"/>
  <c r="AG147" i="2"/>
  <c r="AG143" i="2"/>
  <c r="AG139" i="2"/>
  <c r="AG135" i="2"/>
  <c r="AG131" i="2"/>
  <c r="AG127" i="2"/>
  <c r="AG123" i="2"/>
  <c r="AG119" i="2"/>
  <c r="AG115" i="2"/>
  <c r="AG111" i="2"/>
  <c r="AG107" i="2"/>
  <c r="AG103" i="2"/>
  <c r="AG99" i="2"/>
  <c r="AG95" i="2"/>
  <c r="AG91" i="2"/>
  <c r="AG87" i="2"/>
  <c r="AG83" i="2"/>
  <c r="AG79" i="2"/>
  <c r="AG75" i="2"/>
  <c r="AG71" i="2"/>
  <c r="AG67" i="2"/>
  <c r="AG63" i="2"/>
  <c r="AG59" i="2"/>
  <c r="AG55" i="2"/>
  <c r="AG51" i="2"/>
  <c r="AG47" i="2"/>
  <c r="AG43" i="2"/>
  <c r="AG39" i="2"/>
  <c r="AG35" i="2"/>
  <c r="AG31" i="2"/>
  <c r="AG27" i="2"/>
  <c r="AG23" i="2"/>
  <c r="AG19" i="2"/>
  <c r="AG15" i="2"/>
  <c r="AG11" i="2"/>
  <c r="AG7" i="2"/>
  <c r="AG3" i="2"/>
  <c r="D12" i="4"/>
  <c r="AI168" i="2"/>
  <c r="AI163" i="2"/>
  <c r="AI152" i="2"/>
  <c r="AI147" i="2"/>
  <c r="AI136" i="2"/>
  <c r="AI131" i="2"/>
  <c r="AI120" i="2"/>
  <c r="AI115" i="2"/>
  <c r="AI104" i="2"/>
  <c r="AI99" i="2"/>
  <c r="AI88" i="2"/>
  <c r="AI83" i="2"/>
  <c r="AI72" i="2"/>
  <c r="AI67" i="2"/>
  <c r="AI56" i="2"/>
  <c r="AI51" i="2"/>
  <c r="AI40" i="2"/>
  <c r="AI35" i="2"/>
  <c r="AI24" i="2"/>
  <c r="AI19" i="2"/>
  <c r="AI8" i="2"/>
  <c r="AI3" i="2"/>
  <c r="AG166" i="2"/>
  <c r="AI166" i="2"/>
  <c r="AG162" i="2"/>
  <c r="AI162" i="2"/>
  <c r="AG158" i="2"/>
  <c r="AI158" i="2"/>
  <c r="AG154" i="2"/>
  <c r="AI154" i="2"/>
  <c r="AG150" i="2"/>
  <c r="AI150" i="2"/>
  <c r="AG214" i="2"/>
  <c r="AG206" i="2"/>
  <c r="AG198" i="2"/>
  <c r="AG190" i="2"/>
  <c r="AG182" i="2"/>
  <c r="AB4" i="4"/>
  <c r="BB10" i="4"/>
  <c r="G9" i="8"/>
  <c r="J7" i="8"/>
  <c r="J11" i="8"/>
  <c r="M7" i="8"/>
  <c r="M11" i="8"/>
  <c r="P7" i="8"/>
  <c r="P11" i="8"/>
  <c r="AI175" i="2"/>
  <c r="AI167" i="2"/>
  <c r="AI156" i="2"/>
  <c r="AI151" i="2"/>
  <c r="AI140" i="2"/>
  <c r="AI135" i="2"/>
  <c r="AI124" i="2"/>
  <c r="AI119" i="2"/>
  <c r="AI108" i="2"/>
  <c r="AI103" i="2"/>
  <c r="AI92" i="2"/>
  <c r="AI87" i="2"/>
  <c r="AI76" i="2"/>
  <c r="AI71" i="2"/>
  <c r="AI60" i="2"/>
  <c r="AI55" i="2"/>
  <c r="AI44" i="2"/>
  <c r="AI39" i="2"/>
  <c r="AI28" i="2"/>
  <c r="AI23" i="2"/>
  <c r="AI12" i="2"/>
  <c r="AI7" i="2"/>
  <c r="N12" i="4"/>
  <c r="D11" i="4"/>
  <c r="H11" i="4"/>
  <c r="L11" i="4"/>
  <c r="M11" i="4" s="1"/>
  <c r="P11" i="4"/>
  <c r="T11" i="4"/>
  <c r="U11" i="4" s="1"/>
  <c r="X11" i="4"/>
  <c r="Y11" i="4" s="1"/>
  <c r="AB11" i="4"/>
  <c r="AC11" i="4" s="1"/>
  <c r="AF11" i="4"/>
  <c r="AJ11" i="4"/>
  <c r="AK11" i="4" s="1"/>
  <c r="AN11" i="4"/>
  <c r="AR11" i="4"/>
  <c r="AS11" i="4" s="1"/>
  <c r="BB11" i="4"/>
  <c r="AW11" i="4"/>
  <c r="AO11" i="4"/>
  <c r="AG11" i="4"/>
  <c r="Q11" i="4"/>
  <c r="I11" i="4"/>
  <c r="E11" i="4"/>
  <c r="AI224" i="2"/>
  <c r="AI220" i="2"/>
  <c r="AI216" i="2"/>
  <c r="AI212" i="2"/>
  <c r="AI208" i="2"/>
  <c r="AI204" i="2"/>
  <c r="AI200" i="2"/>
  <c r="AI196" i="2"/>
  <c r="AI192" i="2"/>
  <c r="AI188" i="2"/>
  <c r="AI184" i="2"/>
  <c r="AI180" i="2"/>
  <c r="AI226" i="2"/>
  <c r="AI222" i="2"/>
  <c r="AI218" i="2"/>
  <c r="AI214" i="2"/>
  <c r="AI210" i="2"/>
  <c r="AI206" i="2"/>
  <c r="AI202" i="2"/>
  <c r="AI198" i="2"/>
  <c r="AI194" i="2"/>
  <c r="AI190" i="2"/>
  <c r="AI186" i="2"/>
  <c r="AI182" i="2"/>
  <c r="AI178" i="2"/>
  <c r="AI176" i="2"/>
  <c r="AI174" i="2"/>
  <c r="AI172" i="2"/>
  <c r="AI170" i="2"/>
  <c r="AI225" i="2"/>
  <c r="AG225" i="2"/>
  <c r="AI223" i="2"/>
  <c r="AI221" i="2"/>
  <c r="AG221" i="2"/>
  <c r="AI219" i="2"/>
  <c r="AG219" i="2"/>
  <c r="AI217" i="2"/>
  <c r="AG217" i="2"/>
  <c r="AI215" i="2"/>
  <c r="AG215" i="2"/>
  <c r="AI213" i="2"/>
  <c r="AG213" i="2"/>
  <c r="AI211" i="2"/>
  <c r="AG211" i="2"/>
  <c r="AI209" i="2"/>
  <c r="AG209" i="2"/>
  <c r="AI207" i="2"/>
  <c r="AG207" i="2"/>
  <c r="AI205" i="2"/>
  <c r="AG205" i="2"/>
  <c r="AI203" i="2"/>
  <c r="AG203" i="2"/>
  <c r="AI201" i="2"/>
  <c r="AG201" i="2"/>
  <c r="AI199" i="2"/>
  <c r="AG199" i="2"/>
  <c r="AI197" i="2"/>
  <c r="AG197" i="2"/>
  <c r="AI195" i="2"/>
  <c r="AG195" i="2"/>
  <c r="AI193" i="2"/>
  <c r="AG193" i="2"/>
  <c r="AI191" i="2"/>
  <c r="AG191" i="2"/>
  <c r="AI189" i="2"/>
  <c r="AG189" i="2"/>
  <c r="AI187" i="2"/>
  <c r="AG187" i="2"/>
  <c r="AI185" i="2"/>
  <c r="AG185" i="2"/>
  <c r="AI183" i="2"/>
  <c r="AG183" i="2"/>
  <c r="AI181" i="2"/>
  <c r="AG181" i="2"/>
  <c r="AI179" i="2"/>
  <c r="AG179" i="2"/>
  <c r="AG177" i="2"/>
  <c r="AG173" i="2"/>
  <c r="AG169" i="2"/>
  <c r="AG165" i="2"/>
  <c r="AG161" i="2"/>
  <c r="AG157" i="2"/>
  <c r="AG153" i="2"/>
  <c r="AG149" i="2"/>
  <c r="AG146" i="2"/>
  <c r="AG142" i="2"/>
  <c r="AG138" i="2"/>
  <c r="AG134" i="2"/>
  <c r="AG130" i="2"/>
  <c r="AG126" i="2"/>
  <c r="AG122" i="2"/>
  <c r="AG118" i="2"/>
  <c r="AG114" i="2"/>
  <c r="AG110" i="2"/>
  <c r="AG106" i="2"/>
  <c r="AG102" i="2"/>
  <c r="AG98" i="2"/>
  <c r="AG94" i="2"/>
  <c r="AG90" i="2"/>
  <c r="AG86" i="2"/>
  <c r="AG82" i="2"/>
  <c r="AG78" i="2"/>
  <c r="AG74" i="2"/>
  <c r="AG70" i="2"/>
  <c r="AG66" i="2"/>
  <c r="AG62" i="2"/>
  <c r="AG58" i="2"/>
  <c r="AG54" i="2"/>
  <c r="AG50" i="2"/>
  <c r="AG46" i="2"/>
  <c r="AG42" i="2"/>
  <c r="AG38" i="2"/>
  <c r="AG34" i="2"/>
  <c r="AG30" i="2"/>
  <c r="AG26" i="2"/>
  <c r="AG22" i="2"/>
  <c r="AG18" i="2"/>
  <c r="AG14" i="2"/>
  <c r="AG10" i="2"/>
  <c r="AG6" i="2"/>
  <c r="G17" i="7"/>
  <c r="C17" i="7"/>
  <c r="E17" i="7"/>
  <c r="E16" i="6"/>
  <c r="G11" i="7"/>
  <c r="C11" i="7"/>
  <c r="E11" i="7"/>
  <c r="AY6" i="6"/>
  <c r="BB6" i="6" s="1"/>
  <c r="AS17" i="4"/>
  <c r="U10" i="4"/>
  <c r="Q17" i="4"/>
  <c r="BB26" i="4"/>
  <c r="BB28" i="4"/>
  <c r="P5" i="4"/>
  <c r="AB9" i="4"/>
  <c r="AR6" i="4"/>
  <c r="T26" i="4"/>
  <c r="D5" i="4"/>
  <c r="AR5" i="4"/>
  <c r="X5" i="4"/>
  <c r="H8" i="4"/>
  <c r="AN6" i="4"/>
  <c r="T4" i="4"/>
  <c r="T16" i="4"/>
  <c r="X9" i="4"/>
  <c r="AN7" i="4"/>
  <c r="D8" i="4"/>
  <c r="AR27" i="4"/>
  <c r="AF25" i="4"/>
  <c r="P14" i="4"/>
  <c r="X14" i="4"/>
  <c r="T7" i="4"/>
  <c r="L10" i="4"/>
  <c r="M10" i="4" s="1"/>
  <c r="P25" i="4"/>
  <c r="AV7" i="4"/>
  <c r="AJ26" i="4"/>
  <c r="AF6" i="4"/>
  <c r="AF10" i="4"/>
  <c r="AG10" i="4" s="1"/>
  <c r="AB3" i="4"/>
  <c r="X12" i="4"/>
  <c r="AB14" i="4"/>
  <c r="L15" i="4"/>
  <c r="L6" i="4"/>
  <c r="L25" i="4"/>
  <c r="D26" i="4"/>
  <c r="AB26" i="4"/>
  <c r="AV6" i="4"/>
  <c r="AR10" i="4"/>
  <c r="AN10" i="4"/>
  <c r="AO10" i="4" s="1"/>
  <c r="AF4" i="4"/>
  <c r="D13" i="4"/>
  <c r="BB5" i="4"/>
  <c r="AB12" i="4"/>
  <c r="AN5" i="4"/>
  <c r="AB15" i="4"/>
  <c r="L9" i="4"/>
  <c r="AV4" i="4"/>
  <c r="D27" i="4"/>
  <c r="H28" i="4"/>
  <c r="F13" i="8"/>
  <c r="J6" i="8"/>
  <c r="P6" i="8"/>
  <c r="AI2" i="2"/>
  <c r="G8" i="8"/>
  <c r="Z5" i="4"/>
  <c r="AC5" i="4" s="1"/>
  <c r="AY12" i="4"/>
  <c r="BB12" i="4" s="1"/>
  <c r="Z9" i="4"/>
  <c r="AC9" i="4" s="1"/>
  <c r="Z16" i="4"/>
  <c r="B8" i="4"/>
  <c r="E8" i="4" s="1"/>
  <c r="AT7" i="4"/>
  <c r="AW7" i="4" s="1"/>
  <c r="AN3" i="4"/>
  <c r="P4" i="4"/>
  <c r="AN4" i="4"/>
  <c r="AV3" i="4"/>
  <c r="AF7" i="4"/>
  <c r="D14" i="4"/>
  <c r="AF26" i="4"/>
  <c r="AN25" i="4"/>
  <c r="D4" i="4"/>
  <c r="T8" i="4"/>
  <c r="D16" i="4"/>
  <c r="T15" i="4"/>
  <c r="L14" i="4"/>
  <c r="AV5" i="4"/>
  <c r="AC17" i="4"/>
  <c r="AK17" i="4"/>
  <c r="G13" i="8"/>
  <c r="J13" i="8"/>
  <c r="M13" i="8"/>
  <c r="E10" i="6"/>
  <c r="M6" i="8"/>
  <c r="I17" i="4"/>
  <c r="I11" i="7"/>
  <c r="C13" i="8"/>
  <c r="J12" i="7"/>
  <c r="AG17" i="4"/>
  <c r="AW17" i="4"/>
  <c r="BB4" i="4"/>
  <c r="BA19" i="4"/>
  <c r="I17" i="7"/>
  <c r="N13" i="8"/>
  <c r="P13" i="8" s="1"/>
  <c r="D12" i="8"/>
  <c r="Q12" i="8" s="1"/>
  <c r="D10" i="8"/>
  <c r="Q10" i="8" s="1"/>
  <c r="D8" i="8"/>
  <c r="Q8" i="8" s="1"/>
  <c r="D6" i="8"/>
  <c r="D11" i="8"/>
  <c r="Q11" i="8" s="1"/>
  <c r="D9" i="8"/>
  <c r="Q9" i="8" s="1"/>
  <c r="D7" i="8"/>
  <c r="U17" i="4"/>
  <c r="Y17" i="4"/>
  <c r="AO17" i="4"/>
  <c r="AT29" i="4"/>
  <c r="AP29" i="4"/>
  <c r="AL29" i="4"/>
  <c r="AH29" i="4"/>
  <c r="AD29" i="4"/>
  <c r="Z29" i="4"/>
  <c r="V29" i="4"/>
  <c r="R29" i="4"/>
  <c r="N29" i="4"/>
  <c r="J29" i="4"/>
  <c r="F29" i="4"/>
  <c r="B29" i="4"/>
  <c r="AT6" i="6"/>
  <c r="AP6" i="6"/>
  <c r="AH6" i="6"/>
  <c r="Z6" i="6"/>
  <c r="R6" i="6"/>
  <c r="AD6" i="6"/>
  <c r="N6" i="6"/>
  <c r="F6" i="6"/>
  <c r="AR6" i="6"/>
  <c r="AJ6" i="6"/>
  <c r="AB6" i="6"/>
  <c r="T6" i="6"/>
  <c r="L6" i="6"/>
  <c r="H6" i="6"/>
  <c r="AT6" i="4"/>
  <c r="AW6" i="4" s="1"/>
  <c r="AL6" i="4"/>
  <c r="AO6" i="4" s="1"/>
  <c r="AD6" i="4"/>
  <c r="AG6" i="4" s="1"/>
  <c r="Z6" i="4"/>
  <c r="V6" i="4"/>
  <c r="R6" i="4"/>
  <c r="J6" i="4"/>
  <c r="M6" i="4" s="1"/>
  <c r="AL6" i="6"/>
  <c r="V6" i="6"/>
  <c r="J6" i="6"/>
  <c r="B6" i="6"/>
  <c r="AV6" i="6"/>
  <c r="AN6" i="6"/>
  <c r="AF6" i="6"/>
  <c r="X6" i="6"/>
  <c r="P6" i="6"/>
  <c r="D6" i="6"/>
  <c r="AT12" i="6"/>
  <c r="AL12" i="6"/>
  <c r="AD12" i="6"/>
  <c r="V12" i="6"/>
  <c r="N12" i="6"/>
  <c r="AP12" i="6"/>
  <c r="Z12" i="6"/>
  <c r="J12" i="6"/>
  <c r="B12" i="6"/>
  <c r="AV12" i="6"/>
  <c r="AN12" i="6"/>
  <c r="AF12" i="6"/>
  <c r="X12" i="6"/>
  <c r="P12" i="6"/>
  <c r="D12" i="6"/>
  <c r="AT13" i="4"/>
  <c r="AL13" i="4"/>
  <c r="AD13" i="4"/>
  <c r="N13" i="4"/>
  <c r="F13" i="4"/>
  <c r="AH12" i="6"/>
  <c r="R12" i="6"/>
  <c r="F12" i="6"/>
  <c r="AR12" i="6"/>
  <c r="AJ12" i="6"/>
  <c r="AB12" i="6"/>
  <c r="T12" i="6"/>
  <c r="L12" i="6"/>
  <c r="H12" i="6"/>
  <c r="AT4" i="6"/>
  <c r="AL4" i="6"/>
  <c r="AD4" i="6"/>
  <c r="V4" i="6"/>
  <c r="N4" i="6"/>
  <c r="AH4" i="6"/>
  <c r="R4" i="6"/>
  <c r="J4" i="6"/>
  <c r="B4" i="6"/>
  <c r="AV4" i="6"/>
  <c r="AN4" i="6"/>
  <c r="AF4" i="6"/>
  <c r="X4" i="6"/>
  <c r="P4" i="6"/>
  <c r="D4" i="6"/>
  <c r="AT4" i="4"/>
  <c r="AW4" i="4" s="1"/>
  <c r="AL4" i="4"/>
  <c r="AO4" i="4" s="1"/>
  <c r="AD4" i="4"/>
  <c r="AG4" i="4" s="1"/>
  <c r="Z4" i="4"/>
  <c r="AC4" i="4" s="1"/>
  <c r="V4" i="4"/>
  <c r="R4" i="4"/>
  <c r="U4" i="4" s="1"/>
  <c r="J4" i="4"/>
  <c r="AP4" i="6"/>
  <c r="Z4" i="6"/>
  <c r="F4" i="6"/>
  <c r="AR4" i="6"/>
  <c r="AJ4" i="6"/>
  <c r="AB4" i="6"/>
  <c r="T4" i="6"/>
  <c r="L4" i="6"/>
  <c r="H4" i="6"/>
  <c r="AV24" i="6"/>
  <c r="AT24" i="6"/>
  <c r="AJ24" i="6"/>
  <c r="AL24" i="6"/>
  <c r="D24" i="6"/>
  <c r="B24" i="6"/>
  <c r="AT25" i="4"/>
  <c r="AP25" i="4"/>
  <c r="AL25" i="4"/>
  <c r="AH25" i="4"/>
  <c r="AD25" i="4"/>
  <c r="Z25" i="4"/>
  <c r="V25" i="4"/>
  <c r="R25" i="4"/>
  <c r="N25" i="4"/>
  <c r="J25" i="4"/>
  <c r="F25" i="4"/>
  <c r="AR24" i="6"/>
  <c r="AP24" i="6"/>
  <c r="AN24" i="6"/>
  <c r="AH24" i="6"/>
  <c r="AF24" i="6"/>
  <c r="AD24" i="6"/>
  <c r="AB24" i="6"/>
  <c r="Z24" i="6"/>
  <c r="X24" i="6"/>
  <c r="V24" i="6"/>
  <c r="T24" i="6"/>
  <c r="R24" i="6"/>
  <c r="P24" i="6"/>
  <c r="N24" i="6"/>
  <c r="L24" i="6"/>
  <c r="J24" i="6"/>
  <c r="H24" i="6"/>
  <c r="F24" i="6"/>
  <c r="AT14" i="6"/>
  <c r="B25" i="4"/>
  <c r="AP14" i="6"/>
  <c r="AH14" i="6"/>
  <c r="Z14" i="6"/>
  <c r="R14" i="6"/>
  <c r="J14" i="6"/>
  <c r="AD14" i="6"/>
  <c r="N14" i="6"/>
  <c r="F14" i="6"/>
  <c r="AR14" i="6"/>
  <c r="AJ14" i="6"/>
  <c r="AB14" i="6"/>
  <c r="T14" i="6"/>
  <c r="L14" i="6"/>
  <c r="H14" i="6"/>
  <c r="AT15" i="4"/>
  <c r="AL15" i="4"/>
  <c r="AD15" i="4"/>
  <c r="Z15" i="4"/>
  <c r="AC15" i="4" s="1"/>
  <c r="N15" i="4"/>
  <c r="F15" i="4"/>
  <c r="AL14" i="6"/>
  <c r="V14" i="6"/>
  <c r="B14" i="6"/>
  <c r="AV14" i="6"/>
  <c r="AN14" i="6"/>
  <c r="AF14" i="6"/>
  <c r="X14" i="6"/>
  <c r="P14" i="6"/>
  <c r="D14" i="6"/>
  <c r="AV26" i="6"/>
  <c r="AT26" i="6"/>
  <c r="AL26" i="6"/>
  <c r="AJ26" i="6"/>
  <c r="D26" i="6"/>
  <c r="B26" i="6"/>
  <c r="AT27" i="4"/>
  <c r="AP27" i="4"/>
  <c r="AS27" i="4" s="1"/>
  <c r="AL27" i="4"/>
  <c r="AH27" i="4"/>
  <c r="AD27" i="4"/>
  <c r="Z27" i="4"/>
  <c r="V27" i="4"/>
  <c r="R27" i="4"/>
  <c r="N27" i="4"/>
  <c r="J27" i="4"/>
  <c r="F27" i="4"/>
  <c r="AT3" i="6"/>
  <c r="AP3" i="6"/>
  <c r="AL3" i="6"/>
  <c r="AH3" i="6"/>
  <c r="AD3" i="6"/>
  <c r="Z3" i="6"/>
  <c r="V3" i="6"/>
  <c r="R3" i="6"/>
  <c r="N3" i="6"/>
  <c r="B27" i="4"/>
  <c r="AR26" i="6"/>
  <c r="AP26" i="6"/>
  <c r="AN26" i="6"/>
  <c r="AH26" i="6"/>
  <c r="AF26" i="6"/>
  <c r="AD26" i="6"/>
  <c r="AB26" i="6"/>
  <c r="Z26" i="6"/>
  <c r="X26" i="6"/>
  <c r="V26" i="6"/>
  <c r="T26" i="6"/>
  <c r="R26" i="6"/>
  <c r="P26" i="6"/>
  <c r="N26" i="6"/>
  <c r="L26" i="6"/>
  <c r="J26" i="6"/>
  <c r="H26" i="6"/>
  <c r="F26" i="6"/>
  <c r="J3" i="6"/>
  <c r="F3" i="6"/>
  <c r="B3" i="6"/>
  <c r="AV3" i="6"/>
  <c r="AR3" i="6"/>
  <c r="AN3" i="6"/>
  <c r="AJ3" i="6"/>
  <c r="AF3" i="6"/>
  <c r="AB3" i="6"/>
  <c r="X3" i="6"/>
  <c r="T3" i="6"/>
  <c r="P3" i="6"/>
  <c r="L3" i="6"/>
  <c r="D3" i="6"/>
  <c r="H3" i="6"/>
  <c r="AP3" i="4"/>
  <c r="AH3" i="4"/>
  <c r="Z3" i="4"/>
  <c r="N3" i="4"/>
  <c r="F3" i="4"/>
  <c r="B3" i="4"/>
  <c r="AT13" i="6"/>
  <c r="AP13" i="6"/>
  <c r="AL13" i="6"/>
  <c r="AH13" i="6"/>
  <c r="AD13" i="6"/>
  <c r="Z13" i="6"/>
  <c r="V13" i="6"/>
  <c r="R13" i="6"/>
  <c r="N13" i="6"/>
  <c r="J13" i="6"/>
  <c r="F13" i="6"/>
  <c r="B13" i="6"/>
  <c r="AV13" i="6"/>
  <c r="AR13" i="6"/>
  <c r="AN13" i="6"/>
  <c r="AJ13" i="6"/>
  <c r="AF13" i="6"/>
  <c r="AB13" i="6"/>
  <c r="X13" i="6"/>
  <c r="T13" i="6"/>
  <c r="P13" i="6"/>
  <c r="L13" i="6"/>
  <c r="D13" i="6"/>
  <c r="H13" i="6"/>
  <c r="AP14" i="4"/>
  <c r="AH14" i="4"/>
  <c r="V14" i="4"/>
  <c r="Y14" i="4" s="1"/>
  <c r="R14" i="4"/>
  <c r="J14" i="4"/>
  <c r="B14" i="4"/>
  <c r="AY24" i="6"/>
  <c r="AY14" i="6"/>
  <c r="BB14" i="6" s="1"/>
  <c r="AY3" i="6"/>
  <c r="AY26" i="6"/>
  <c r="BB26" i="6" s="1"/>
  <c r="K12" i="7"/>
  <c r="D16" i="7"/>
  <c r="B16" i="7"/>
  <c r="F16" i="7"/>
  <c r="H16" i="7"/>
  <c r="D5" i="7"/>
  <c r="B5" i="7"/>
  <c r="H5" i="7"/>
  <c r="F5" i="7"/>
  <c r="D8" i="7"/>
  <c r="B8" i="7"/>
  <c r="F8" i="7"/>
  <c r="H8" i="7"/>
  <c r="AB10" i="4"/>
  <c r="AC10" i="4" s="1"/>
  <c r="X10" i="4"/>
  <c r="Y10" i="4" s="1"/>
  <c r="H10" i="4"/>
  <c r="I10" i="4" s="1"/>
  <c r="AY12" i="6"/>
  <c r="BB12" i="6" s="1"/>
  <c r="AY4" i="6"/>
  <c r="BB4" i="6" s="1"/>
  <c r="B4" i="4"/>
  <c r="B13" i="4"/>
  <c r="E13" i="4" s="1"/>
  <c r="F6" i="4"/>
  <c r="F16" i="4"/>
  <c r="J3" i="4"/>
  <c r="J7" i="4"/>
  <c r="J15" i="4"/>
  <c r="M15" i="4" s="1"/>
  <c r="N6" i="4"/>
  <c r="N16" i="4"/>
  <c r="P10" i="4"/>
  <c r="Q10" i="4" s="1"/>
  <c r="R3" i="4"/>
  <c r="R7" i="4"/>
  <c r="U7" i="4" s="1"/>
  <c r="R15" i="4"/>
  <c r="V5" i="4"/>
  <c r="Y5" i="4" s="1"/>
  <c r="V9" i="4"/>
  <c r="Y9" i="4" s="1"/>
  <c r="V13" i="4"/>
  <c r="J12" i="4"/>
  <c r="Z13" i="4"/>
  <c r="AD3" i="4"/>
  <c r="AD7" i="4"/>
  <c r="AG7" i="4" s="1"/>
  <c r="AD14" i="4"/>
  <c r="AH6" i="4"/>
  <c r="AK6" i="4" s="1"/>
  <c r="AH15" i="4"/>
  <c r="AL3" i="4"/>
  <c r="AL7" i="4"/>
  <c r="AO7" i="4" s="1"/>
  <c r="AL14" i="4"/>
  <c r="AP6" i="4"/>
  <c r="AS6" i="4" s="1"/>
  <c r="AS10" i="4"/>
  <c r="AP15" i="4"/>
  <c r="AT3" i="4"/>
  <c r="AT14" i="4"/>
  <c r="K10" i="7"/>
  <c r="J10" i="7"/>
  <c r="D12" i="7"/>
  <c r="B12" i="7"/>
  <c r="F12" i="7"/>
  <c r="H12" i="7"/>
  <c r="D10" i="7"/>
  <c r="B10" i="7"/>
  <c r="F10" i="7"/>
  <c r="H10" i="7"/>
  <c r="I10" i="7" s="1"/>
  <c r="AR27" i="6"/>
  <c r="AP27" i="6"/>
  <c r="AN27" i="6"/>
  <c r="AH27" i="6"/>
  <c r="AF27" i="6"/>
  <c r="AD27" i="6"/>
  <c r="AB27" i="6"/>
  <c r="Z27" i="6"/>
  <c r="X27" i="6"/>
  <c r="V27" i="6"/>
  <c r="T27" i="6"/>
  <c r="R27" i="6"/>
  <c r="P27" i="6"/>
  <c r="N27" i="6"/>
  <c r="L27" i="6"/>
  <c r="J27" i="6"/>
  <c r="H27" i="6"/>
  <c r="F27" i="6"/>
  <c r="B28" i="4"/>
  <c r="AT5" i="6"/>
  <c r="AP5" i="6"/>
  <c r="AL5" i="6"/>
  <c r="AH5" i="6"/>
  <c r="AD5" i="6"/>
  <c r="Z5" i="6"/>
  <c r="V5" i="6"/>
  <c r="R5" i="6"/>
  <c r="N5" i="6"/>
  <c r="D27" i="6"/>
  <c r="B27" i="6"/>
  <c r="AT28" i="4"/>
  <c r="AP28" i="4"/>
  <c r="AL28" i="4"/>
  <c r="AH28" i="4"/>
  <c r="AD28" i="4"/>
  <c r="Z28" i="4"/>
  <c r="V28" i="4"/>
  <c r="R28" i="4"/>
  <c r="N28" i="4"/>
  <c r="J28" i="4"/>
  <c r="F28" i="4"/>
  <c r="I28" i="4" s="1"/>
  <c r="AV27" i="6"/>
  <c r="AT27" i="6"/>
  <c r="AL27" i="6"/>
  <c r="AJ27" i="6"/>
  <c r="J5" i="6"/>
  <c r="F5" i="6"/>
  <c r="B5" i="6"/>
  <c r="AV5" i="6"/>
  <c r="AR5" i="6"/>
  <c r="AN5" i="6"/>
  <c r="AJ5" i="6"/>
  <c r="AF5" i="6"/>
  <c r="AB5" i="6"/>
  <c r="X5" i="6"/>
  <c r="T5" i="6"/>
  <c r="P5" i="6"/>
  <c r="L5" i="6"/>
  <c r="D5" i="6"/>
  <c r="H5" i="6"/>
  <c r="AP5" i="4"/>
  <c r="AS5" i="4" s="1"/>
  <c r="AH5" i="4"/>
  <c r="N5" i="4"/>
  <c r="Q5" i="4" s="1"/>
  <c r="F5" i="4"/>
  <c r="B5" i="4"/>
  <c r="E5" i="4" s="1"/>
  <c r="AT11" i="6"/>
  <c r="AP11" i="6"/>
  <c r="AL11" i="6"/>
  <c r="AH11" i="6"/>
  <c r="AD11" i="6"/>
  <c r="Z11" i="6"/>
  <c r="V11" i="6"/>
  <c r="R11" i="6"/>
  <c r="N11" i="6"/>
  <c r="J11" i="6"/>
  <c r="F11" i="6"/>
  <c r="B11" i="6"/>
  <c r="BA11" i="6"/>
  <c r="BA18" i="6" s="1"/>
  <c r="AV11" i="6"/>
  <c r="AR11" i="6"/>
  <c r="AN11" i="6"/>
  <c r="AJ11" i="6"/>
  <c r="AF11" i="6"/>
  <c r="AB11" i="6"/>
  <c r="X11" i="6"/>
  <c r="T11" i="6"/>
  <c r="P11" i="6"/>
  <c r="L11" i="6"/>
  <c r="H11" i="6"/>
  <c r="AP12" i="4"/>
  <c r="AH12" i="4"/>
  <c r="Z12" i="4"/>
  <c r="AC12" i="4" s="1"/>
  <c r="F12" i="4"/>
  <c r="V12" i="4"/>
  <c r="Y12" i="4" s="1"/>
  <c r="B12" i="4"/>
  <c r="E12" i="4" s="1"/>
  <c r="AT9" i="6"/>
  <c r="AP9" i="6"/>
  <c r="AL9" i="6"/>
  <c r="AH9" i="6"/>
  <c r="AD9" i="6"/>
  <c r="Z9" i="6"/>
  <c r="V9" i="6"/>
  <c r="R9" i="6"/>
  <c r="N9" i="6"/>
  <c r="J9" i="6"/>
  <c r="F9" i="6"/>
  <c r="B9" i="6"/>
  <c r="AV9" i="6"/>
  <c r="AR9" i="6"/>
  <c r="AN9" i="6"/>
  <c r="AJ9" i="6"/>
  <c r="AF9" i="6"/>
  <c r="AB9" i="6"/>
  <c r="X9" i="6"/>
  <c r="T9" i="6"/>
  <c r="P9" i="6"/>
  <c r="L9" i="6"/>
  <c r="D9" i="6"/>
  <c r="H9" i="6"/>
  <c r="AP9" i="4"/>
  <c r="AH9" i="4"/>
  <c r="N9" i="4"/>
  <c r="F9" i="4"/>
  <c r="B9" i="4"/>
  <c r="AT15" i="6"/>
  <c r="AP15" i="6"/>
  <c r="AL15" i="6"/>
  <c r="AH15" i="6"/>
  <c r="AD15" i="6"/>
  <c r="Z15" i="6"/>
  <c r="V15" i="6"/>
  <c r="R15" i="6"/>
  <c r="N15" i="6"/>
  <c r="J15" i="6"/>
  <c r="F15" i="6"/>
  <c r="B15" i="6"/>
  <c r="AV15" i="6"/>
  <c r="AR15" i="6"/>
  <c r="AN15" i="6"/>
  <c r="AJ15" i="6"/>
  <c r="AF15" i="6"/>
  <c r="AB15" i="6"/>
  <c r="X15" i="6"/>
  <c r="T15" i="6"/>
  <c r="P15" i="6"/>
  <c r="L15" i="6"/>
  <c r="D15" i="6"/>
  <c r="H15" i="6"/>
  <c r="AP16" i="4"/>
  <c r="AH16" i="4"/>
  <c r="V16" i="4"/>
  <c r="R16" i="4"/>
  <c r="U16" i="4" s="1"/>
  <c r="J16" i="4"/>
  <c r="B16" i="4"/>
  <c r="AT8" i="6"/>
  <c r="AL8" i="6"/>
  <c r="AD8" i="6"/>
  <c r="V8" i="6"/>
  <c r="N8" i="6"/>
  <c r="AP8" i="6"/>
  <c r="Z8" i="6"/>
  <c r="J8" i="6"/>
  <c r="B8" i="6"/>
  <c r="AV8" i="6"/>
  <c r="AN8" i="6"/>
  <c r="AF8" i="6"/>
  <c r="X8" i="6"/>
  <c r="P8" i="6"/>
  <c r="D8" i="6"/>
  <c r="AT8" i="4"/>
  <c r="AL8" i="4"/>
  <c r="AD8" i="4"/>
  <c r="Z8" i="4"/>
  <c r="V8" i="4"/>
  <c r="R8" i="4"/>
  <c r="J8" i="4"/>
  <c r="AH8" i="6"/>
  <c r="R8" i="6"/>
  <c r="F8" i="6"/>
  <c r="AR8" i="6"/>
  <c r="AJ8" i="6"/>
  <c r="AB8" i="6"/>
  <c r="T8" i="6"/>
  <c r="L8" i="6"/>
  <c r="H8" i="6"/>
  <c r="AR25" i="6"/>
  <c r="AP25" i="6"/>
  <c r="AN25" i="6"/>
  <c r="AH25" i="6"/>
  <c r="AF25" i="6"/>
  <c r="AD25" i="6"/>
  <c r="AB25" i="6"/>
  <c r="Z25" i="6"/>
  <c r="X25" i="6"/>
  <c r="V25" i="6"/>
  <c r="T25" i="6"/>
  <c r="R25" i="6"/>
  <c r="P25" i="6"/>
  <c r="N25" i="6"/>
  <c r="L25" i="6"/>
  <c r="J25" i="6"/>
  <c r="H25" i="6"/>
  <c r="F25" i="6"/>
  <c r="B26" i="4"/>
  <c r="E26" i="4" s="1"/>
  <c r="AT7" i="6"/>
  <c r="AP7" i="6"/>
  <c r="AL7" i="6"/>
  <c r="AH7" i="6"/>
  <c r="AD7" i="6"/>
  <c r="Z7" i="6"/>
  <c r="V7" i="6"/>
  <c r="R7" i="6"/>
  <c r="N7" i="6"/>
  <c r="AV25" i="6"/>
  <c r="AT25" i="6"/>
  <c r="AL25" i="6"/>
  <c r="AO25" i="6" s="1"/>
  <c r="AJ25" i="6"/>
  <c r="D25" i="6"/>
  <c r="B25" i="6"/>
  <c r="AT26" i="4"/>
  <c r="AP26" i="4"/>
  <c r="AL26" i="4"/>
  <c r="AH26" i="4"/>
  <c r="AK26" i="4" s="1"/>
  <c r="AD26" i="4"/>
  <c r="Z26" i="4"/>
  <c r="AC26" i="4" s="1"/>
  <c r="V26" i="4"/>
  <c r="R26" i="4"/>
  <c r="U26" i="4" s="1"/>
  <c r="N26" i="4"/>
  <c r="J26" i="4"/>
  <c r="F26" i="4"/>
  <c r="J7" i="6"/>
  <c r="F7" i="6"/>
  <c r="B7" i="6"/>
  <c r="AV7" i="6"/>
  <c r="AR7" i="6"/>
  <c r="AN7" i="6"/>
  <c r="AJ7" i="6"/>
  <c r="AF7" i="6"/>
  <c r="AB7" i="6"/>
  <c r="X7" i="6"/>
  <c r="T7" i="6"/>
  <c r="P7" i="6"/>
  <c r="L7" i="6"/>
  <c r="D7" i="6"/>
  <c r="H7" i="6"/>
  <c r="AP7" i="4"/>
  <c r="AH7" i="4"/>
  <c r="N7" i="4"/>
  <c r="F7" i="4"/>
  <c r="B7" i="4"/>
  <c r="AY27" i="6"/>
  <c r="BB27" i="6" s="1"/>
  <c r="AY5" i="6"/>
  <c r="BB5" i="6" s="1"/>
  <c r="AY25" i="6"/>
  <c r="BB25" i="6" s="1"/>
  <c r="AY7" i="6"/>
  <c r="BB7" i="6" s="1"/>
  <c r="K16" i="7"/>
  <c r="J16" i="7"/>
  <c r="B6" i="7"/>
  <c r="J6" i="7"/>
  <c r="D9" i="7"/>
  <c r="J9" i="7"/>
  <c r="H5" i="4"/>
  <c r="AR28" i="4"/>
  <c r="AN28" i="4"/>
  <c r="AV28" i="4"/>
  <c r="AJ28" i="4"/>
  <c r="AF28" i="4"/>
  <c r="AB28" i="4"/>
  <c r="X28" i="4"/>
  <c r="T28" i="4"/>
  <c r="P28" i="4"/>
  <c r="L28" i="4"/>
  <c r="D28" i="4"/>
  <c r="L5" i="4"/>
  <c r="T5" i="4"/>
  <c r="T6" i="4"/>
  <c r="AB6" i="4"/>
  <c r="P6" i="4"/>
  <c r="X6" i="4"/>
  <c r="D6" i="4"/>
  <c r="H6" i="4"/>
  <c r="AV13" i="4"/>
  <c r="AJ13" i="4"/>
  <c r="AF13" i="4"/>
  <c r="AR13" i="4"/>
  <c r="AN13" i="4"/>
  <c r="L13" i="4"/>
  <c r="AB13" i="4"/>
  <c r="H13" i="4"/>
  <c r="P13" i="4"/>
  <c r="X13" i="4"/>
  <c r="T13" i="4"/>
  <c r="AF12" i="4"/>
  <c r="AV12" i="4"/>
  <c r="AR12" i="4"/>
  <c r="AN12" i="4"/>
  <c r="AJ12" i="4"/>
  <c r="T12" i="4"/>
  <c r="P12" i="4"/>
  <c r="H12" i="4"/>
  <c r="L12" i="4"/>
  <c r="L16" i="4"/>
  <c r="AF16" i="4"/>
  <c r="AV16" i="4"/>
  <c r="AR16" i="4"/>
  <c r="AN16" i="4"/>
  <c r="AJ16" i="4"/>
  <c r="H16" i="4"/>
  <c r="X16" i="4"/>
  <c r="AB16" i="4"/>
  <c r="AC16" i="4" s="1"/>
  <c r="P16" i="4"/>
  <c r="AR29" i="4"/>
  <c r="AN29" i="4"/>
  <c r="AJ29" i="4"/>
  <c r="AF29" i="4"/>
  <c r="AB29" i="4"/>
  <c r="X29" i="4"/>
  <c r="T29" i="4"/>
  <c r="P29" i="4"/>
  <c r="L29" i="4"/>
  <c r="H29" i="4"/>
  <c r="D29" i="4"/>
  <c r="AV29" i="4"/>
  <c r="H9" i="4"/>
  <c r="D9" i="4"/>
  <c r="AV9" i="4"/>
  <c r="AR9" i="4"/>
  <c r="AF9" i="4"/>
  <c r="AN9" i="4"/>
  <c r="AJ9" i="4"/>
  <c r="P9" i="4"/>
  <c r="T9" i="4"/>
  <c r="L7" i="4"/>
  <c r="D7" i="4"/>
  <c r="H7" i="4"/>
  <c r="X7" i="4"/>
  <c r="AB7" i="4"/>
  <c r="P7" i="4"/>
  <c r="X8" i="4"/>
  <c r="H26" i="4"/>
  <c r="L26" i="4"/>
  <c r="AR26" i="4"/>
  <c r="AN26" i="4"/>
  <c r="AV8" i="4"/>
  <c r="AJ8" i="4"/>
  <c r="AF8" i="4"/>
  <c r="AR8" i="4"/>
  <c r="AN8" i="4"/>
  <c r="AB8" i="4"/>
  <c r="L8" i="4"/>
  <c r="AJ27" i="4"/>
  <c r="AF27" i="4"/>
  <c r="AF30" i="4" s="1"/>
  <c r="AB27" i="4"/>
  <c r="X27" i="4"/>
  <c r="T27" i="4"/>
  <c r="P27" i="4"/>
  <c r="AF3" i="4"/>
  <c r="AR3" i="4"/>
  <c r="AJ3" i="4"/>
  <c r="P3" i="4"/>
  <c r="X3" i="4"/>
  <c r="L3" i="4"/>
  <c r="D3" i="4"/>
  <c r="AV25" i="4"/>
  <c r="P15" i="4"/>
  <c r="X15" i="4"/>
  <c r="AR25" i="4"/>
  <c r="AJ25" i="4"/>
  <c r="AJ30" i="4" s="1"/>
  <c r="AB25" i="4"/>
  <c r="T25" i="4"/>
  <c r="T30" i="4" s="1"/>
  <c r="H25" i="4"/>
  <c r="AN15" i="4"/>
  <c r="AJ15" i="4"/>
  <c r="AF15" i="4"/>
  <c r="AV15" i="4"/>
  <c r="AR15" i="4"/>
  <c r="D15" i="4"/>
  <c r="H15" i="4"/>
  <c r="H14" i="4"/>
  <c r="AV14" i="4"/>
  <c r="AR14" i="4"/>
  <c r="AF14" i="4"/>
  <c r="AN14" i="4"/>
  <c r="AJ14" i="4"/>
  <c r="T14" i="4"/>
  <c r="AY13" i="6"/>
  <c r="BB13" i="6" s="1"/>
  <c r="AY11" i="6"/>
  <c r="BB11" i="6" s="1"/>
  <c r="AY9" i="6"/>
  <c r="BB9" i="6" s="1"/>
  <c r="AY15" i="6"/>
  <c r="BB15" i="6" s="1"/>
  <c r="AY8" i="6"/>
  <c r="BB8" i="6" s="1"/>
  <c r="D10" i="4"/>
  <c r="E10" i="4" s="1"/>
  <c r="D25" i="4"/>
  <c r="D30" i="4" s="1"/>
  <c r="X25" i="4"/>
  <c r="AJ7" i="4"/>
  <c r="AR7" i="4"/>
  <c r="P26" i="4"/>
  <c r="X26" i="4"/>
  <c r="AV10" i="4"/>
  <c r="AW10" i="4" s="1"/>
  <c r="AJ10" i="4"/>
  <c r="AK10" i="4" s="1"/>
  <c r="AJ5" i="4"/>
  <c r="AF5" i="4"/>
  <c r="P8" i="4"/>
  <c r="H3" i="4"/>
  <c r="T3" i="4"/>
  <c r="AN27" i="4"/>
  <c r="H27" i="4"/>
  <c r="L27" i="4"/>
  <c r="X4" i="4"/>
  <c r="H4" i="4"/>
  <c r="L4" i="4"/>
  <c r="AR4" i="4"/>
  <c r="AJ4" i="4"/>
  <c r="B6" i="4"/>
  <c r="E6" i="4" s="1"/>
  <c r="B15" i="4"/>
  <c r="F4" i="4"/>
  <c r="F8" i="4"/>
  <c r="I8" i="4" s="1"/>
  <c r="F14" i="4"/>
  <c r="I14" i="4" s="1"/>
  <c r="J5" i="4"/>
  <c r="M5" i="4" s="1"/>
  <c r="J9" i="4"/>
  <c r="M9" i="4" s="1"/>
  <c r="J13" i="4"/>
  <c r="M13" i="4" s="1"/>
  <c r="M17" i="4"/>
  <c r="N4" i="4"/>
  <c r="Q4" i="4" s="1"/>
  <c r="N8" i="4"/>
  <c r="N14" i="4"/>
  <c r="Q14" i="4" s="1"/>
  <c r="R5" i="4"/>
  <c r="U5" i="4" s="1"/>
  <c r="R9" i="4"/>
  <c r="R13" i="4"/>
  <c r="U13" i="4" s="1"/>
  <c r="V3" i="4"/>
  <c r="V7" i="4"/>
  <c r="V15" i="4"/>
  <c r="Y15" i="4" s="1"/>
  <c r="Z7" i="4"/>
  <c r="AC7" i="4" s="1"/>
  <c r="R12" i="4"/>
  <c r="U12" i="4" s="1"/>
  <c r="Z14" i="4"/>
  <c r="AC14" i="4" s="1"/>
  <c r="AD5" i="4"/>
  <c r="AD9" i="4"/>
  <c r="AG9" i="4" s="1"/>
  <c r="AD12" i="4"/>
  <c r="AG12" i="4" s="1"/>
  <c r="AD16" i="4"/>
  <c r="AG16" i="4" s="1"/>
  <c r="AH4" i="4"/>
  <c r="AH8" i="4"/>
  <c r="AK8" i="4" s="1"/>
  <c r="AH13" i="4"/>
  <c r="AK13" i="4" s="1"/>
  <c r="AL5" i="4"/>
  <c r="AO5" i="4" s="1"/>
  <c r="AL9" i="4"/>
  <c r="AO9" i="4" s="1"/>
  <c r="AL12" i="4"/>
  <c r="AO12" i="4" s="1"/>
  <c r="AL16" i="4"/>
  <c r="AO16" i="4" s="1"/>
  <c r="AP4" i="4"/>
  <c r="AP8" i="4"/>
  <c r="AS8" i="4" s="1"/>
  <c r="AP13" i="4"/>
  <c r="AS13" i="4" s="1"/>
  <c r="AT5" i="4"/>
  <c r="AW5" i="4" s="1"/>
  <c r="AT9" i="4"/>
  <c r="AW9" i="4" s="1"/>
  <c r="AT12" i="4"/>
  <c r="AW12" i="4" s="1"/>
  <c r="AT16" i="4"/>
  <c r="AW16" i="4" s="1"/>
  <c r="BB3" i="4"/>
  <c r="I16" i="6"/>
  <c r="K7" i="7"/>
  <c r="J7" i="7"/>
  <c r="J13" i="7"/>
  <c r="K13" i="7"/>
  <c r="J5" i="7"/>
  <c r="K5" i="7"/>
  <c r="D7" i="7"/>
  <c r="B7" i="7"/>
  <c r="H7" i="7"/>
  <c r="F7" i="7"/>
  <c r="D13" i="7"/>
  <c r="E13" i="7" s="1"/>
  <c r="B13" i="7"/>
  <c r="H13" i="7"/>
  <c r="F13" i="7"/>
  <c r="AV26" i="4"/>
  <c r="AV27" i="4"/>
  <c r="AY19" i="4"/>
  <c r="AY30" i="4"/>
  <c r="BA30" i="4"/>
  <c r="B13" i="8"/>
  <c r="Q28" i="6" l="1"/>
  <c r="G7" i="7"/>
  <c r="C10" i="7"/>
  <c r="AO28" i="6"/>
  <c r="I4" i="4"/>
  <c r="E14" i="4"/>
  <c r="U8" i="4"/>
  <c r="AK26" i="6"/>
  <c r="M6" i="6"/>
  <c r="Q7" i="8"/>
  <c r="E16" i="4"/>
  <c r="AG26" i="4"/>
  <c r="U15" i="4"/>
  <c r="E4" i="4"/>
  <c r="M14" i="4"/>
  <c r="E27" i="4"/>
  <c r="BB19" i="4"/>
  <c r="I13" i="7"/>
  <c r="U9" i="4"/>
  <c r="E15" i="4"/>
  <c r="AR30" i="4"/>
  <c r="C7" i="7"/>
  <c r="Y7" i="4"/>
  <c r="T19" i="4"/>
  <c r="P30" i="4"/>
  <c r="AB30" i="4"/>
  <c r="K8" i="7"/>
  <c r="K9" i="7"/>
  <c r="F9" i="7"/>
  <c r="B9" i="7"/>
  <c r="H9" i="7"/>
  <c r="I7" i="7"/>
  <c r="AG5" i="4"/>
  <c r="AS4" i="4"/>
  <c r="AK4" i="4"/>
  <c r="J8" i="7"/>
  <c r="E8" i="7" s="1"/>
  <c r="D11" i="6"/>
  <c r="E11" i="6" s="1"/>
  <c r="I12" i="7"/>
  <c r="C12" i="7"/>
  <c r="G12" i="7"/>
  <c r="E12" i="7"/>
  <c r="E7" i="7"/>
  <c r="E7" i="6"/>
  <c r="E25" i="6"/>
  <c r="AW25" i="6"/>
  <c r="I25" i="6"/>
  <c r="M25" i="6"/>
  <c r="Q25" i="6"/>
  <c r="U25" i="6"/>
  <c r="Y25" i="6"/>
  <c r="AC25" i="6"/>
  <c r="AG25" i="6"/>
  <c r="AS25" i="6"/>
  <c r="AC8" i="6"/>
  <c r="Q8" i="6"/>
  <c r="AG8" i="6"/>
  <c r="AW8" i="6"/>
  <c r="I15" i="6"/>
  <c r="Q7" i="6"/>
  <c r="Y7" i="6"/>
  <c r="AG7" i="6"/>
  <c r="AO7" i="6"/>
  <c r="AW7" i="6"/>
  <c r="E9" i="6"/>
  <c r="I11" i="6"/>
  <c r="Q11" i="6"/>
  <c r="Y11" i="6"/>
  <c r="AG11" i="6"/>
  <c r="AO11" i="6"/>
  <c r="AW11" i="6"/>
  <c r="E5" i="6"/>
  <c r="AO27" i="6"/>
  <c r="E27" i="6"/>
  <c r="Q5" i="6"/>
  <c r="Y5" i="6"/>
  <c r="AG5" i="6"/>
  <c r="AO5" i="6"/>
  <c r="AW5" i="6"/>
  <c r="I27" i="6"/>
  <c r="M27" i="6"/>
  <c r="Q27" i="6"/>
  <c r="U27" i="6"/>
  <c r="Y27" i="6"/>
  <c r="AC27" i="6"/>
  <c r="AG27" i="6"/>
  <c r="AS27" i="6"/>
  <c r="E26" i="6"/>
  <c r="AW26" i="6"/>
  <c r="AS4" i="6"/>
  <c r="U12" i="6"/>
  <c r="D13" i="8"/>
  <c r="Q6" i="8"/>
  <c r="AN30" i="4"/>
  <c r="L30" i="4"/>
  <c r="AB19" i="4"/>
  <c r="AN19" i="4"/>
  <c r="AV19" i="4"/>
  <c r="C6" i="7"/>
  <c r="D15" i="7"/>
  <c r="B15" i="7"/>
  <c r="H15" i="7"/>
  <c r="F15" i="7"/>
  <c r="K14" i="7"/>
  <c r="J14" i="7"/>
  <c r="M3" i="4"/>
  <c r="J19" i="4"/>
  <c r="D4" i="7"/>
  <c r="B4" i="7"/>
  <c r="F4" i="7"/>
  <c r="H4" i="7"/>
  <c r="B19" i="4"/>
  <c r="E3" i="4"/>
  <c r="N19" i="4"/>
  <c r="Q3" i="4"/>
  <c r="AH19" i="4"/>
  <c r="AK3" i="4"/>
  <c r="B18" i="6"/>
  <c r="E3" i="6"/>
  <c r="M3" i="6"/>
  <c r="J18" i="6"/>
  <c r="N18" i="6"/>
  <c r="Q3" i="6"/>
  <c r="V18" i="6"/>
  <c r="Y3" i="6"/>
  <c r="AD18" i="6"/>
  <c r="AG3" i="6"/>
  <c r="AL18" i="6"/>
  <c r="AO3" i="6"/>
  <c r="AT18" i="6"/>
  <c r="AW3" i="6"/>
  <c r="J30" i="4"/>
  <c r="M25" i="4"/>
  <c r="R30" i="4"/>
  <c r="U30" i="4" s="1"/>
  <c r="U25" i="4"/>
  <c r="Z30" i="4"/>
  <c r="AC25" i="4"/>
  <c r="AH30" i="4"/>
  <c r="AK30" i="4" s="1"/>
  <c r="AK25" i="4"/>
  <c r="AP30" i="4"/>
  <c r="AS25" i="4"/>
  <c r="E24" i="6"/>
  <c r="B30" i="6"/>
  <c r="AO24" i="6"/>
  <c r="AL30" i="6"/>
  <c r="AT30" i="6"/>
  <c r="AW24" i="6"/>
  <c r="AV30" i="4"/>
  <c r="L19" i="4"/>
  <c r="P19" i="4"/>
  <c r="AR19" i="4"/>
  <c r="F6" i="7"/>
  <c r="G6" i="7" s="1"/>
  <c r="D6" i="7"/>
  <c r="E6" i="7" s="1"/>
  <c r="I7" i="4"/>
  <c r="AK7" i="4"/>
  <c r="M7" i="6"/>
  <c r="M26" i="4"/>
  <c r="AS26" i="4"/>
  <c r="AK25" i="6"/>
  <c r="I8" i="6"/>
  <c r="AK8" i="6"/>
  <c r="AC8" i="4"/>
  <c r="AO8" i="4"/>
  <c r="E8" i="6"/>
  <c r="M16" i="4"/>
  <c r="Y16" i="4"/>
  <c r="AS16" i="4"/>
  <c r="Q15" i="6"/>
  <c r="Y15" i="6"/>
  <c r="AG15" i="6"/>
  <c r="AO15" i="6"/>
  <c r="AW15" i="6"/>
  <c r="I9" i="4"/>
  <c r="AK9" i="4"/>
  <c r="M9" i="6"/>
  <c r="U9" i="6"/>
  <c r="AC9" i="6"/>
  <c r="AK9" i="6"/>
  <c r="AS9" i="6"/>
  <c r="I12" i="4"/>
  <c r="AS12" i="4"/>
  <c r="I5" i="4"/>
  <c r="AK5" i="4"/>
  <c r="M5" i="6"/>
  <c r="M28" i="4"/>
  <c r="U28" i="4"/>
  <c r="AC28" i="4"/>
  <c r="AK28" i="4"/>
  <c r="AS28" i="4"/>
  <c r="AK27" i="6"/>
  <c r="AW14" i="4"/>
  <c r="AS15" i="4"/>
  <c r="AK15" i="4"/>
  <c r="AC13" i="4"/>
  <c r="Y13" i="4"/>
  <c r="I6" i="4"/>
  <c r="I9" i="7"/>
  <c r="E9" i="7"/>
  <c r="I5" i="7"/>
  <c r="E5" i="7"/>
  <c r="G16" i="7"/>
  <c r="E16" i="7"/>
  <c r="K6" i="7"/>
  <c r="U14" i="4"/>
  <c r="AK14" i="4"/>
  <c r="E13" i="6"/>
  <c r="M13" i="6"/>
  <c r="U13" i="6"/>
  <c r="AC13" i="6"/>
  <c r="AK13" i="6"/>
  <c r="AS13" i="6"/>
  <c r="H18" i="6"/>
  <c r="L18" i="6"/>
  <c r="T18" i="6"/>
  <c r="AB18" i="6"/>
  <c r="AJ18" i="6"/>
  <c r="AR18" i="6"/>
  <c r="M27" i="4"/>
  <c r="U27" i="4"/>
  <c r="AC27" i="4"/>
  <c r="AK27" i="4"/>
  <c r="E14" i="6"/>
  <c r="AO14" i="6"/>
  <c r="Q15" i="4"/>
  <c r="AG15" i="4"/>
  <c r="AW15" i="4"/>
  <c r="Q14" i="6"/>
  <c r="M14" i="6"/>
  <c r="AC14" i="6"/>
  <c r="AS14" i="6"/>
  <c r="AW14" i="6"/>
  <c r="H30" i="6"/>
  <c r="L30" i="6"/>
  <c r="P30" i="6"/>
  <c r="T30" i="6"/>
  <c r="X30" i="6"/>
  <c r="AB30" i="6"/>
  <c r="AF30" i="6"/>
  <c r="AN30" i="6"/>
  <c r="AR30" i="6"/>
  <c r="I4" i="6"/>
  <c r="E4" i="6"/>
  <c r="U4" i="6"/>
  <c r="Q4" i="6"/>
  <c r="AG4" i="6"/>
  <c r="AW4" i="6"/>
  <c r="I13" i="4"/>
  <c r="AG13" i="4"/>
  <c r="AW13" i="4"/>
  <c r="M12" i="6"/>
  <c r="AS12" i="6"/>
  <c r="Y12" i="6"/>
  <c r="AO12" i="6"/>
  <c r="E6" i="6"/>
  <c r="Y6" i="6"/>
  <c r="Y6" i="4"/>
  <c r="Q6" i="6"/>
  <c r="U6" i="6"/>
  <c r="AK6" i="6"/>
  <c r="AW6" i="6"/>
  <c r="I29" i="4"/>
  <c r="Q29" i="4"/>
  <c r="Y29" i="4"/>
  <c r="AG29" i="4"/>
  <c r="AO29" i="4"/>
  <c r="AW29" i="4"/>
  <c r="Y3" i="4"/>
  <c r="V19" i="4"/>
  <c r="K15" i="7"/>
  <c r="J15" i="7"/>
  <c r="D14" i="7"/>
  <c r="B14" i="7"/>
  <c r="F14" i="7"/>
  <c r="H14" i="7"/>
  <c r="AW3" i="4"/>
  <c r="AT19" i="4"/>
  <c r="AO3" i="4"/>
  <c r="AL19" i="4"/>
  <c r="AG3" i="4"/>
  <c r="AD19" i="4"/>
  <c r="R19" i="4"/>
  <c r="U19" i="4" s="1"/>
  <c r="U3" i="4"/>
  <c r="K4" i="7"/>
  <c r="J4" i="7"/>
  <c r="AY18" i="6"/>
  <c r="BB18" i="6" s="1"/>
  <c r="BB3" i="6"/>
  <c r="BB24" i="6"/>
  <c r="AY30" i="6"/>
  <c r="BB30" i="6" s="1"/>
  <c r="I3" i="4"/>
  <c r="F19" i="4"/>
  <c r="Z19" i="4"/>
  <c r="AC3" i="4"/>
  <c r="AP19" i="4"/>
  <c r="AS3" i="4"/>
  <c r="F18" i="6"/>
  <c r="I3" i="6"/>
  <c r="U3" i="6"/>
  <c r="R18" i="6"/>
  <c r="U18" i="6" s="1"/>
  <c r="AC3" i="6"/>
  <c r="Z18" i="6"/>
  <c r="AH18" i="6"/>
  <c r="AK3" i="6"/>
  <c r="AS3" i="6"/>
  <c r="AP18" i="6"/>
  <c r="B30" i="4"/>
  <c r="E30" i="4" s="1"/>
  <c r="E25" i="4"/>
  <c r="F30" i="6"/>
  <c r="I24" i="6"/>
  <c r="M24" i="6"/>
  <c r="J30" i="6"/>
  <c r="Q24" i="6"/>
  <c r="N30" i="6"/>
  <c r="U24" i="6"/>
  <c r="R30" i="6"/>
  <c r="Y24" i="6"/>
  <c r="V30" i="6"/>
  <c r="Y30" i="6" s="1"/>
  <c r="Z30" i="6"/>
  <c r="AC30" i="6" s="1"/>
  <c r="AC24" i="6"/>
  <c r="AG24" i="6"/>
  <c r="AD30" i="6"/>
  <c r="AK24" i="6"/>
  <c r="AH30" i="6"/>
  <c r="AS24" i="6"/>
  <c r="AP30" i="6"/>
  <c r="AS30" i="6" s="1"/>
  <c r="F30" i="4"/>
  <c r="I25" i="4"/>
  <c r="N30" i="4"/>
  <c r="Q25" i="4"/>
  <c r="V30" i="4"/>
  <c r="Y25" i="4"/>
  <c r="AD30" i="4"/>
  <c r="AG30" i="4" s="1"/>
  <c r="AG25" i="4"/>
  <c r="AL30" i="4"/>
  <c r="AO25" i="4"/>
  <c r="AT30" i="4"/>
  <c r="AW25" i="4"/>
  <c r="BB30" i="4"/>
  <c r="G13" i="7"/>
  <c r="C13" i="7"/>
  <c r="Q8" i="4"/>
  <c r="H19" i="4"/>
  <c r="X30" i="4"/>
  <c r="H30" i="4"/>
  <c r="D19" i="4"/>
  <c r="X19" i="4"/>
  <c r="AJ19" i="4"/>
  <c r="AF19" i="4"/>
  <c r="H6" i="7"/>
  <c r="I6" i="7" s="1"/>
  <c r="E7" i="4"/>
  <c r="Q7" i="4"/>
  <c r="AS7" i="4"/>
  <c r="I7" i="6"/>
  <c r="I26" i="4"/>
  <c r="Q26" i="4"/>
  <c r="Y26" i="4"/>
  <c r="AO26" i="4"/>
  <c r="AW26" i="4"/>
  <c r="U7" i="6"/>
  <c r="AC7" i="6"/>
  <c r="AK7" i="6"/>
  <c r="AS7" i="6"/>
  <c r="U8" i="6"/>
  <c r="M8" i="4"/>
  <c r="Y8" i="4"/>
  <c r="AG8" i="4"/>
  <c r="AW8" i="4"/>
  <c r="M8" i="6"/>
  <c r="AS8" i="6"/>
  <c r="Y8" i="6"/>
  <c r="AO8" i="6"/>
  <c r="AK16" i="4"/>
  <c r="E15" i="6"/>
  <c r="M15" i="6"/>
  <c r="U15" i="6"/>
  <c r="AC15" i="6"/>
  <c r="AK15" i="6"/>
  <c r="AS15" i="6"/>
  <c r="E9" i="4"/>
  <c r="Q9" i="4"/>
  <c r="AS9" i="4"/>
  <c r="I9" i="6"/>
  <c r="Q9" i="6"/>
  <c r="Y9" i="6"/>
  <c r="AG9" i="6"/>
  <c r="AO9" i="6"/>
  <c r="AW9" i="6"/>
  <c r="Q12" i="4"/>
  <c r="AK12" i="4"/>
  <c r="M11" i="6"/>
  <c r="U11" i="6"/>
  <c r="AC11" i="6"/>
  <c r="AK11" i="6"/>
  <c r="AS11" i="6"/>
  <c r="I5" i="6"/>
  <c r="AW27" i="6"/>
  <c r="Q28" i="4"/>
  <c r="Y28" i="4"/>
  <c r="AG28" i="4"/>
  <c r="AO28" i="4"/>
  <c r="AW28" i="4"/>
  <c r="U5" i="6"/>
  <c r="AC5" i="6"/>
  <c r="AK5" i="6"/>
  <c r="AS5" i="6"/>
  <c r="E28" i="4"/>
  <c r="G10" i="7"/>
  <c r="E10" i="7"/>
  <c r="AO14" i="4"/>
  <c r="AG14" i="4"/>
  <c r="M12" i="4"/>
  <c r="Q16" i="4"/>
  <c r="Q6" i="4"/>
  <c r="M7" i="4"/>
  <c r="I16" i="4"/>
  <c r="G9" i="7"/>
  <c r="C9" i="7"/>
  <c r="G5" i="7"/>
  <c r="C5" i="7"/>
  <c r="I16" i="7"/>
  <c r="C16" i="7"/>
  <c r="AS14" i="4"/>
  <c r="I13" i="6"/>
  <c r="Q13" i="6"/>
  <c r="Y13" i="6"/>
  <c r="AG13" i="6"/>
  <c r="AO13" i="6"/>
  <c r="AW13" i="6"/>
  <c r="P18" i="6"/>
  <c r="X18" i="6"/>
  <c r="AF18" i="6"/>
  <c r="AN18" i="6"/>
  <c r="AV18" i="6"/>
  <c r="I26" i="6"/>
  <c r="M26" i="6"/>
  <c r="Q26" i="6"/>
  <c r="U26" i="6"/>
  <c r="Y26" i="6"/>
  <c r="AC26" i="6"/>
  <c r="AG26" i="6"/>
  <c r="AS26" i="6"/>
  <c r="I27" i="4"/>
  <c r="Q27" i="4"/>
  <c r="Y27" i="4"/>
  <c r="AG27" i="4"/>
  <c r="AO27" i="4"/>
  <c r="AW27" i="4"/>
  <c r="AO26" i="6"/>
  <c r="Y14" i="6"/>
  <c r="I15" i="4"/>
  <c r="AO15" i="4"/>
  <c r="I14" i="6"/>
  <c r="AG14" i="6"/>
  <c r="U14" i="6"/>
  <c r="AK14" i="6"/>
  <c r="D30" i="6"/>
  <c r="AJ30" i="6"/>
  <c r="AV30" i="6"/>
  <c r="AC4" i="6"/>
  <c r="M4" i="4"/>
  <c r="Y4" i="4"/>
  <c r="M4" i="6"/>
  <c r="AK4" i="6"/>
  <c r="Y4" i="6"/>
  <c r="AO4" i="6"/>
  <c r="I12" i="6"/>
  <c r="AK12" i="6"/>
  <c r="Q13" i="4"/>
  <c r="AO13" i="4"/>
  <c r="E12" i="6"/>
  <c r="AC12" i="6"/>
  <c r="Q12" i="6"/>
  <c r="AG12" i="6"/>
  <c r="AW12" i="6"/>
  <c r="AO6" i="6"/>
  <c r="U6" i="4"/>
  <c r="AC6" i="4"/>
  <c r="I6" i="6"/>
  <c r="AG6" i="6"/>
  <c r="AC6" i="6"/>
  <c r="AS6" i="6"/>
  <c r="E29" i="4"/>
  <c r="M29" i="4"/>
  <c r="U29" i="4"/>
  <c r="AC29" i="4"/>
  <c r="AK29" i="4"/>
  <c r="AS29" i="4"/>
  <c r="G14" i="7" l="1"/>
  <c r="E14" i="7"/>
  <c r="AS19" i="4"/>
  <c r="Q13" i="8"/>
  <c r="AC30" i="4"/>
  <c r="D18" i="6"/>
  <c r="E18" i="6" s="1"/>
  <c r="AG30" i="6"/>
  <c r="Q30" i="6"/>
  <c r="Q30" i="4"/>
  <c r="AW19" i="4"/>
  <c r="AS30" i="4"/>
  <c r="K19" i="7"/>
  <c r="I30" i="6"/>
  <c r="AK18" i="6"/>
  <c r="I18" i="6"/>
  <c r="AW30" i="4"/>
  <c r="AO30" i="4"/>
  <c r="AC19" i="4"/>
  <c r="I8" i="7"/>
  <c r="G8" i="7"/>
  <c r="C8" i="7"/>
  <c r="Y30" i="4"/>
  <c r="U30" i="6"/>
  <c r="M30" i="6"/>
  <c r="AS18" i="6"/>
  <c r="AC18" i="6"/>
  <c r="J19" i="7"/>
  <c r="I14" i="7"/>
  <c r="C14" i="7"/>
  <c r="AO19" i="4"/>
  <c r="M30" i="4"/>
  <c r="I4" i="7"/>
  <c r="H19" i="7"/>
  <c r="B19" i="7"/>
  <c r="C4" i="7"/>
  <c r="AO30" i="6"/>
  <c r="E30" i="6"/>
  <c r="M18" i="6"/>
  <c r="M19" i="4"/>
  <c r="G15" i="7"/>
  <c r="C15" i="7"/>
  <c r="G4" i="7"/>
  <c r="G19" i="7" s="1"/>
  <c r="F19" i="7"/>
  <c r="D19" i="7"/>
  <c r="E4" i="7"/>
  <c r="E19" i="7" s="1"/>
  <c r="I30" i="4"/>
  <c r="AK30" i="6"/>
  <c r="I19" i="4"/>
  <c r="AG19" i="4"/>
  <c r="Y19" i="4"/>
  <c r="AW30" i="6"/>
  <c r="AW18" i="6"/>
  <c r="AO18" i="6"/>
  <c r="AG18" i="6"/>
  <c r="Y18" i="6"/>
  <c r="Q18" i="6"/>
  <c r="AK19" i="4"/>
  <c r="Q19" i="4"/>
  <c r="E19" i="4"/>
  <c r="I15" i="7"/>
  <c r="E15" i="7"/>
  <c r="C19" i="7" l="1"/>
  <c r="I19" i="7"/>
</calcChain>
</file>

<file path=xl/sharedStrings.xml><?xml version="1.0" encoding="utf-8"?>
<sst xmlns="http://schemas.openxmlformats.org/spreadsheetml/2006/main" count="8683" uniqueCount="1211">
  <si>
    <t>N°</t>
  </si>
  <si>
    <t>Désignation</t>
  </si>
  <si>
    <t>Business Unit</t>
  </si>
  <si>
    <t>Code vendeur</t>
  </si>
  <si>
    <t>Valeur estimée DS</t>
  </si>
  <si>
    <t>Date création</t>
  </si>
  <si>
    <t>Date de validité</t>
  </si>
  <si>
    <t>Date d'envoi</t>
  </si>
  <si>
    <t>Date travaux</t>
  </si>
  <si>
    <t>Type</t>
  </si>
  <si>
    <t>% chance de succès</t>
  </si>
  <si>
    <t>N° projet</t>
  </si>
  <si>
    <t>N° chantier</t>
  </si>
  <si>
    <t>Ouvriers prévus / jour</t>
  </si>
  <si>
    <t>Total Heures Devis</t>
  </si>
  <si>
    <t>Total coûts Devis</t>
  </si>
  <si>
    <t>Total Heures Commande</t>
  </si>
  <si>
    <t>Total prix de vente Commande</t>
  </si>
  <si>
    <t>Heures prestées Projet</t>
  </si>
  <si>
    <t>Date début pointages Projet</t>
  </si>
  <si>
    <t>Date fin pointages Projet</t>
  </si>
  <si>
    <t>N° doc. externe</t>
  </si>
  <si>
    <t>Nom contact</t>
  </si>
  <si>
    <t>Nom société contact</t>
  </si>
  <si>
    <t>Code cycle de vente</t>
  </si>
  <si>
    <t>Challenge Nizet/Opinel.</t>
  </si>
  <si>
    <t>N° campagne</t>
  </si>
  <si>
    <t>OP010521</t>
  </si>
  <si>
    <t>Réparation tuyauterie reffroid. n°7 DN 80 laminoir</t>
  </si>
  <si>
    <t>BUSID-IL</t>
  </si>
  <si>
    <t>JLB</t>
  </si>
  <si>
    <t>Forfait</t>
  </si>
  <si>
    <t>DV JLB</t>
  </si>
  <si>
    <t>Bernard BAUGNEE</t>
  </si>
  <si>
    <t>INDUSTEEL BELGIUM S.A.</t>
  </si>
  <si>
    <t>LEPAGE</t>
  </si>
  <si>
    <t>OP010522</t>
  </si>
  <si>
    <t>Fab. &amp; placement tôle protection, portillon,...</t>
  </si>
  <si>
    <t>RV</t>
  </si>
  <si>
    <t>RV 164202</t>
  </si>
  <si>
    <t>Benjamin LECRENIER</t>
  </si>
  <si>
    <t>OP010523</t>
  </si>
  <si>
    <t>Rplct 8 rails ripeurs table ripage cisaille</t>
  </si>
  <si>
    <t>RV 164204</t>
  </si>
  <si>
    <t>Carl DI GIACOMO</t>
  </si>
  <si>
    <t>OP010524</t>
  </si>
  <si>
    <t>Réparation de 2 portes dent.</t>
  </si>
  <si>
    <t>RV 164203</t>
  </si>
  <si>
    <t>Marc BOHY</t>
  </si>
  <si>
    <t>OP010525</t>
  </si>
  <si>
    <t>Renforcement  plancher huilerie de Tihange 2</t>
  </si>
  <si>
    <t>BUNUC</t>
  </si>
  <si>
    <t>DDU</t>
  </si>
  <si>
    <t>DV DDU</t>
  </si>
  <si>
    <t>André BEUGNIES</t>
  </si>
  <si>
    <t>ELECTRABEL TIHANGE</t>
  </si>
  <si>
    <t>OP010526</t>
  </si>
  <si>
    <t>Fabrication et fourniture d'un redler</t>
  </si>
  <si>
    <t>BUEN-OEM</t>
  </si>
  <si>
    <t>STB</t>
  </si>
  <si>
    <t>VOTRE MAIL DU 22/12/15</t>
  </si>
  <si>
    <t>Sebastiano LAROSA</t>
  </si>
  <si>
    <t>I.B.W.</t>
  </si>
  <si>
    <t>OP010527</t>
  </si>
  <si>
    <t>fournit., fab. et montage d'un escalier métallique</t>
  </si>
  <si>
    <t>BUPH-CH-AL</t>
  </si>
  <si>
    <t>LV</t>
  </si>
  <si>
    <t>DV LV</t>
  </si>
  <si>
    <t>Thomas DUPONT</t>
  </si>
  <si>
    <t>I.S.P.P.C.</t>
  </si>
  <si>
    <t>OP010528</t>
  </si>
  <si>
    <t>Budget remplacer 2 lignes de rejet 4’’ en PEHD</t>
  </si>
  <si>
    <t>Thibaud ALLARD</t>
  </si>
  <si>
    <t>GALERE SA</t>
  </si>
  <si>
    <t>OP010529</t>
  </si>
  <si>
    <t>Mise confor circuits CNI cabanons CEI Th2 de Th3</t>
  </si>
  <si>
    <t>VERBALE 5 JANVIER</t>
  </si>
  <si>
    <t>Mathieu RORIVE</t>
  </si>
  <si>
    <t>OP010530</t>
  </si>
  <si>
    <t>Isométriques 3D station traitement H2O Service CSI</t>
  </si>
  <si>
    <t>NB</t>
  </si>
  <si>
    <t>DV NB</t>
  </si>
  <si>
    <t>Christian WARGNIES</t>
  </si>
  <si>
    <t>GlaxoSmithKline Biologicals SA</t>
  </si>
  <si>
    <t>PROSPECT</t>
  </si>
  <si>
    <t>OP010531</t>
  </si>
  <si>
    <t>Construction d'un hall de 27 m x 27 m</t>
  </si>
  <si>
    <t>VDP</t>
  </si>
  <si>
    <t>Sandra COLINA</t>
  </si>
  <si>
    <t>SANTO COLINA sprl</t>
  </si>
  <si>
    <t>OP010532</t>
  </si>
  <si>
    <t>Etude pour les 2 passerelles cisaille double rive.</t>
  </si>
  <si>
    <t>RV 164205</t>
  </si>
  <si>
    <t>Vincent CHERMANNE</t>
  </si>
  <si>
    <t>OP010533</t>
  </si>
  <si>
    <t>Déménagement de matériels de bureau.</t>
  </si>
  <si>
    <t>RV 164208</t>
  </si>
  <si>
    <t>Didier LEMAITRE</t>
  </si>
  <si>
    <t>OP010534</t>
  </si>
  <si>
    <t>Rplct système manœuvre  vanne murale Wanfercée</t>
  </si>
  <si>
    <t>DV STB</t>
  </si>
  <si>
    <t>Pierre-Yves DE MEYER</t>
  </si>
  <si>
    <t>IGRETEC</t>
  </si>
  <si>
    <t>OP010535</t>
  </si>
  <si>
    <t>Manutention armoires électriques CBR Antoing</t>
  </si>
  <si>
    <t>DV VDP</t>
  </si>
  <si>
    <t>Xavier JESU</t>
  </si>
  <si>
    <t>POUCHAIN</t>
  </si>
  <si>
    <t>OP010537</t>
  </si>
  <si>
    <t>Travaux ferronnerie pour la traversée de Courrière</t>
  </si>
  <si>
    <t>TRAVERSÉE COURRIERE</t>
  </si>
  <si>
    <t>Stéphane LIBERT</t>
  </si>
  <si>
    <t>SOCOGETRA</t>
  </si>
  <si>
    <t>OP010538</t>
  </si>
  <si>
    <t>Remplacement d'un cable de levage pont 29 et 36</t>
  </si>
  <si>
    <t>RV 164209</t>
  </si>
  <si>
    <t>OP010539</t>
  </si>
  <si>
    <t>Pose de 616 m² bardage sur pignon façade Sud</t>
  </si>
  <si>
    <t>MAIL DU 11/01</t>
  </si>
  <si>
    <t>Luc GOUVERNEUR</t>
  </si>
  <si>
    <t>ALSTOM BELGIUM</t>
  </si>
  <si>
    <t>OP010540</t>
  </si>
  <si>
    <t>Aménagement blocs A,B,C et D bât. VINCI à Wavre</t>
  </si>
  <si>
    <t>VOTRE MAIL DU 11/01</t>
  </si>
  <si>
    <t>Vedran DRAGICEVIC</t>
  </si>
  <si>
    <t>BEMAT S.A.</t>
  </si>
  <si>
    <t>OP010541</t>
  </si>
  <si>
    <t>Rplct réchauffeur S1306/01 par new RH à la saline</t>
  </si>
  <si>
    <t>Patrick AHRENS</t>
  </si>
  <si>
    <t>INOVYN Manufacturing Belgium</t>
  </si>
  <si>
    <t>OP010542</t>
  </si>
  <si>
    <t>LTO EI-49 supports servomoteurs PGV</t>
  </si>
  <si>
    <t>GB</t>
  </si>
  <si>
    <t>DV GB</t>
  </si>
  <si>
    <t>Marie-Laure RIHON</t>
  </si>
  <si>
    <t>TRACTEBEL ENGINEERING</t>
  </si>
  <si>
    <t>OP010543</t>
  </si>
  <si>
    <t>Nettoyage et test hydraulique de l'anneau de voûte VD n° 1</t>
  </si>
  <si>
    <t>NG</t>
  </si>
  <si>
    <t>DV NG</t>
  </si>
  <si>
    <t>Donato PETRUCCI</t>
  </si>
  <si>
    <t>OP010544</t>
  </si>
  <si>
    <t>Rplct pattes supports de bras du couvercle sécheur</t>
  </si>
  <si>
    <t>OP010545</t>
  </si>
  <si>
    <t xml:space="preserve"> Réparation du plancher du four</t>
  </si>
  <si>
    <t>OP010546</t>
  </si>
  <si>
    <t xml:space="preserve"> OP 10546 Complément de travaux Cde 537423</t>
  </si>
  <si>
    <t>OP010547</t>
  </si>
  <si>
    <t>Fourniture et pose d'un garde-corps fosse des</t>
  </si>
  <si>
    <t>Marc-André CULOT</t>
  </si>
  <si>
    <t>OP010548</t>
  </si>
  <si>
    <t>Montage bras de renversement +arrêts sécurité</t>
  </si>
  <si>
    <t>OP010549</t>
  </si>
  <si>
    <t>Fourniture d'un bras de remplacement pour levage</t>
  </si>
  <si>
    <t>N° APPEL D'OFFRE : 2034973 - SOUMISSION : 320359</t>
  </si>
  <si>
    <t>Pierre-Philippe POLIART</t>
  </si>
  <si>
    <t>OP010550</t>
  </si>
  <si>
    <t>Fourn.&amp; pose anneaux levage unités rotatives</t>
  </si>
  <si>
    <t>OP010551</t>
  </si>
  <si>
    <t>Rplct pattes support bras couvercle côté rue</t>
  </si>
  <si>
    <t>OP010552</t>
  </si>
  <si>
    <t>Bâchage local eau refroidissement  segment CC</t>
  </si>
  <si>
    <t>N° 2034727</t>
  </si>
  <si>
    <t>Etienne DEPRET</t>
  </si>
  <si>
    <t>OP010553</t>
  </si>
  <si>
    <t>Pose caillebotis stand Jumbo atelier répartiteur</t>
  </si>
  <si>
    <t>Cédric VAN MALDER</t>
  </si>
  <si>
    <t>OP010554</t>
  </si>
  <si>
    <t>Placement de 2 tubes cintrés sur la voûte VOD n°3</t>
  </si>
  <si>
    <t>OP010555</t>
  </si>
  <si>
    <t>Fourniture de 2 poulies + axe + clamage mouflage</t>
  </si>
  <si>
    <t xml:space="preserve">312277_ 20 </t>
  </si>
  <si>
    <t>OP010556</t>
  </si>
  <si>
    <t>Fourniture d'une boîte pour les maçons</t>
  </si>
  <si>
    <t>OP010557</t>
  </si>
  <si>
    <t>Réparation de l'économiseur de réserve</t>
  </si>
  <si>
    <t>OP010558</t>
  </si>
  <si>
    <t>Réparation du T2</t>
  </si>
  <si>
    <t>OP010559</t>
  </si>
  <si>
    <t>Réalis. blocage mécanique sur  lingotière atelier</t>
  </si>
  <si>
    <t>OP010560</t>
  </si>
  <si>
    <t>Réparation sur la partie avant du four électrique</t>
  </si>
  <si>
    <t>OP010561</t>
  </si>
  <si>
    <t>fourniture et pose d’un monorail dans l’atelier CC</t>
  </si>
  <si>
    <t>OP010562</t>
  </si>
  <si>
    <t>Réparation tuyauterie air sur brûleur n°2 char</t>
  </si>
  <si>
    <t>OP010563</t>
  </si>
  <si>
    <t>Etablir une QMOS/PQR pour chantier Tanzanie</t>
  </si>
  <si>
    <t>BUDIVERS</t>
  </si>
  <si>
    <t>PO</t>
  </si>
  <si>
    <t>DV PO</t>
  </si>
  <si>
    <t>Alain DUPLOUY</t>
  </si>
  <si>
    <t>TPF-BASSE SAMBRE</t>
  </si>
  <si>
    <t>OP010564</t>
  </si>
  <si>
    <t>Rplct chaines triplex 1'1/4 du monte décors</t>
  </si>
  <si>
    <t>Jean-luc DECAMP</t>
  </si>
  <si>
    <t>UCL</t>
  </si>
  <si>
    <t>OP010565</t>
  </si>
  <si>
    <t>Réalisation d'un plan de maintenance</t>
  </si>
  <si>
    <t>OP010566</t>
  </si>
  <si>
    <t>Poste travail démontage soupape hydropneumatique</t>
  </si>
  <si>
    <t>Manuel RECUERODORAL</t>
  </si>
  <si>
    <t>ELECTRABEL AMERCOEUR</t>
  </si>
  <si>
    <t>OP010567</t>
  </si>
  <si>
    <t>Rénovation poutrelles métalliques UPN140</t>
  </si>
  <si>
    <t>MAIL DU 12/01/16</t>
  </si>
  <si>
    <t>Stefano ZOCCHEDDU</t>
  </si>
  <si>
    <t>BPC Liège</t>
  </si>
  <si>
    <t>OP010568</t>
  </si>
  <si>
    <t>Réalisa. travaux tuyauteries en milieu hospitalier</t>
  </si>
  <si>
    <t>Julien DONCKELS</t>
  </si>
  <si>
    <t>CEGELEC S.A.</t>
  </si>
  <si>
    <t>OP010569</t>
  </si>
  <si>
    <t>Rplct du fond de tank T1421 A</t>
  </si>
  <si>
    <t>VOTRE MAIL DU 5/01/16</t>
  </si>
  <si>
    <t>Rony NYOKA</t>
  </si>
  <si>
    <t>AFTON CHEMICAL sprl</t>
  </si>
  <si>
    <t>OP010570</t>
  </si>
  <si>
    <t>Etude, fourniture et montage de 2 monorails</t>
  </si>
  <si>
    <t>Filippo STAGNITTO</t>
  </si>
  <si>
    <t>OP010571</t>
  </si>
  <si>
    <t>Structure métallique à la gare de Namur</t>
  </si>
  <si>
    <t>VOTRE MAIL DU 14/01</t>
  </si>
  <si>
    <t>Karima NAUAR</t>
  </si>
  <si>
    <t>LOUIS DUCHENE S.A.</t>
  </si>
  <si>
    <t>OP010572</t>
  </si>
  <si>
    <t>Déplacement de machines</t>
  </si>
  <si>
    <t>Michel VANBELLINGHEN</t>
  </si>
  <si>
    <t>Le Bois du Cazier ASBL</t>
  </si>
  <si>
    <t>OP010573</t>
  </si>
  <si>
    <t>Travaux sortie essoreuse 1 LF7</t>
  </si>
  <si>
    <t>Eric BULTIAUX</t>
  </si>
  <si>
    <t>OP010574</t>
  </si>
  <si>
    <t>Etude stabilité, charge nouvel autoclave bat B3</t>
  </si>
  <si>
    <t>Myriam STORDEUR</t>
  </si>
  <si>
    <t>UCB Pharma S.A.</t>
  </si>
  <si>
    <t>OP010575</t>
  </si>
  <si>
    <t>Remplacement manchon DN 15 316L fissuré</t>
  </si>
  <si>
    <t>Vito MELILLO</t>
  </si>
  <si>
    <t>ELECTRABEL SAINT-GHISLAIN</t>
  </si>
  <si>
    <t>OP010576</t>
  </si>
  <si>
    <t>Réparation chaudière four 2</t>
  </si>
  <si>
    <t>2016-001 OB/LF-FG/LD</t>
  </si>
  <si>
    <t>Fabien GRAVAR</t>
  </si>
  <si>
    <t>I.C.D.I.</t>
  </si>
  <si>
    <t>OP010577</t>
  </si>
  <si>
    <t>Dplct pupitre table des traceurs cisaille sack</t>
  </si>
  <si>
    <t>RV 164210</t>
  </si>
  <si>
    <t>OP010579</t>
  </si>
  <si>
    <t xml:space="preserve"> Four 3 : Rplct support chemin de roulement.</t>
  </si>
  <si>
    <t>RV 164211</t>
  </si>
  <si>
    <t>OP010580</t>
  </si>
  <si>
    <t>DDP CMI Balteau  C0136 STEP FELUY  FERRONNERIE</t>
  </si>
  <si>
    <t>C0136 STEP FELUY</t>
  </si>
  <si>
    <t>Steve WEYNE</t>
  </si>
  <si>
    <t>BALTEAU S.A.</t>
  </si>
  <si>
    <t>OP010581</t>
  </si>
  <si>
    <t>Tuyauterie DN100 test compresseur entrée Transval</t>
  </si>
  <si>
    <t>Philippe MOREAU</t>
  </si>
  <si>
    <t>OP010582</t>
  </si>
  <si>
    <t>Rplct vanne DN200 PN16 circuit eau filtrée n° 7</t>
  </si>
  <si>
    <t>OP010583</t>
  </si>
  <si>
    <t>Réalisat. tuyauterie DN 100 d'eau filtrée hall laminoir</t>
  </si>
  <si>
    <t>OP010584</t>
  </si>
  <si>
    <t>Réalisation gaines ventilation basse nouvelle chaufferie</t>
  </si>
  <si>
    <t>Felice FUSCHETTO</t>
  </si>
  <si>
    <t>Bemis Monceau S.A.</t>
  </si>
  <si>
    <t>OP010585</t>
  </si>
  <si>
    <t>Rehausse de la cheminée de la nouvelle chaufferie</t>
  </si>
  <si>
    <t>OP010586</t>
  </si>
  <si>
    <t>Remplacement moteur meuleuse</t>
  </si>
  <si>
    <t>RV 164212</t>
  </si>
  <si>
    <t>Eric BAURANT</t>
  </si>
  <si>
    <t>OP010587</t>
  </si>
  <si>
    <t>Construction gare autobus, accès +travaux routiers</t>
  </si>
  <si>
    <t>VOTRE MAIL DU 18/01</t>
  </si>
  <si>
    <t>Delphine BARBÉ</t>
  </si>
  <si>
    <t>THIRAN ENTREPRISES</t>
  </si>
  <si>
    <t>OP010588</t>
  </si>
  <si>
    <t>Démolition et reconstruction Delhaize à Heusy</t>
  </si>
  <si>
    <t>VOTRE  MAIL DU 19/01</t>
  </si>
  <si>
    <t>Yves-Marie LENNERTS</t>
  </si>
  <si>
    <t>OP010589</t>
  </si>
  <si>
    <t>Rplct de 2 tanks X0-AT01 A et B</t>
  </si>
  <si>
    <t>VOTRE MAIL DU 7/01</t>
  </si>
  <si>
    <t>Khaled MECHICHI</t>
  </si>
  <si>
    <t>AKZO NOBEL CHEMICALS</t>
  </si>
  <si>
    <t>OP010590</t>
  </si>
  <si>
    <t>Placement garde-corps amovibles poutre roulement</t>
  </si>
  <si>
    <t>RV 164214</t>
  </si>
  <si>
    <t>Thierry FLORIS</t>
  </si>
  <si>
    <t>OP010591</t>
  </si>
  <si>
    <t>Installation tuyaut. DK6 Tr 2 Dunkerque</t>
  </si>
  <si>
    <t>Jean-Pierre BARTHELEMI</t>
  </si>
  <si>
    <t>Engie Electrabel EMS</t>
  </si>
  <si>
    <t>OP010592</t>
  </si>
  <si>
    <t>Découpe  échantillon dans tranche de brame</t>
  </si>
  <si>
    <t>RV 164215</t>
  </si>
  <si>
    <t>OP010593</t>
  </si>
  <si>
    <t>Projet SPW canal charleroi-bruxelles</t>
  </si>
  <si>
    <t>VOTRE MAIL DU 20/01</t>
  </si>
  <si>
    <t>Christian CASTIN</t>
  </si>
  <si>
    <t>E.C.V.  S. A.</t>
  </si>
  <si>
    <t>OP010594</t>
  </si>
  <si>
    <t>Prestations en D.C. 2016</t>
  </si>
  <si>
    <t>Dép. Contrôlées MO</t>
  </si>
  <si>
    <t>OP010595</t>
  </si>
  <si>
    <t>Enlèvement et remplacement des pieds de colonnes</t>
  </si>
  <si>
    <t>RM</t>
  </si>
  <si>
    <t>Stéphane GOREZ</t>
  </si>
  <si>
    <t>NLMK LA LOUVIERE S.A.</t>
  </si>
  <si>
    <t>OP010596</t>
  </si>
  <si>
    <t>Démontage équipements (installation cétirizine)</t>
  </si>
  <si>
    <t>Alain BALLIEUX</t>
  </si>
  <si>
    <t>OP010597</t>
  </si>
  <si>
    <t>Correction colonnes + tambours cisaille Div 2</t>
  </si>
  <si>
    <t>VERBALE</t>
  </si>
  <si>
    <t>OP010598</t>
  </si>
  <si>
    <t>Placement protection arrière du bureau dessin</t>
  </si>
  <si>
    <t>RV 164213</t>
  </si>
  <si>
    <t>OP010599</t>
  </si>
  <si>
    <t>FAB. &amp;placement barrière côté tourniquet vestiaire</t>
  </si>
  <si>
    <t>RV 164217</t>
  </si>
  <si>
    <t>OP010600</t>
  </si>
  <si>
    <t>Construction immeubles bureaux ruche chapelloise</t>
  </si>
  <si>
    <t>A06026//12-MONTAGE</t>
  </si>
  <si>
    <t>Patrick WARNOTTE</t>
  </si>
  <si>
    <t>ETS. JEAN WUST S.A.</t>
  </si>
  <si>
    <t>OP010601</t>
  </si>
  <si>
    <t>Résidence service et centre de bien être Mariemont</t>
  </si>
  <si>
    <t>VOTRE MAIL DU 25/01</t>
  </si>
  <si>
    <t>OP010602</t>
  </si>
  <si>
    <t>Démontage rampes transport unité 1 emballage</t>
  </si>
  <si>
    <t>Paul-Henry ALLARD</t>
  </si>
  <si>
    <t>VANDEMOORTELE SENEFFE</t>
  </si>
  <si>
    <t>OP010603</t>
  </si>
  <si>
    <t>Extraction d'un échangeur à plaques du skid huile.</t>
  </si>
  <si>
    <t>Dominique JOUNIAUX</t>
  </si>
  <si>
    <t>OP010604</t>
  </si>
  <si>
    <t>Entretien de la planeuse à froid hall 5.</t>
  </si>
  <si>
    <t>RV 164218</t>
  </si>
  <si>
    <t>OP010605</t>
  </si>
  <si>
    <t>Rplct axes dynamométrique du monte décors</t>
  </si>
  <si>
    <t>Rinus VANELSLANDER</t>
  </si>
  <si>
    <t>AULA MAGNA - NE + UTILISER</t>
  </si>
  <si>
    <t>OP010606</t>
  </si>
  <si>
    <t>Mise en place des rotors broyeurs</t>
  </si>
  <si>
    <t>Philippe DELVAUX</t>
  </si>
  <si>
    <t>OP010607</t>
  </si>
  <si>
    <t>Rénovation Bât. CERIA &amp; construction salle théatre</t>
  </si>
  <si>
    <t>VOTRE MAIL DU 27/01</t>
  </si>
  <si>
    <t>OP010608</t>
  </si>
  <si>
    <t>Réparation interne pied cheminée CVA Tihange 2</t>
  </si>
  <si>
    <t>DV</t>
  </si>
  <si>
    <t>Michel JEURISSEN</t>
  </si>
  <si>
    <t>OP010609</t>
  </si>
  <si>
    <t>W18 RPLCT échangeur plaque ECHS,modif. Tuyauteries</t>
  </si>
  <si>
    <t>W18</t>
  </si>
  <si>
    <t>Jean THYS</t>
  </si>
  <si>
    <t>OP010610</t>
  </si>
  <si>
    <t>Assistance RM comme conseiller technique</t>
  </si>
  <si>
    <t>DV RM</t>
  </si>
  <si>
    <t>OP010612</t>
  </si>
  <si>
    <t>Travaux administratifs</t>
  </si>
  <si>
    <t>RT</t>
  </si>
  <si>
    <t>DV RT</t>
  </si>
  <si>
    <t>Frank THERASSE</t>
  </si>
  <si>
    <t>Aperam Stainless Belgium NV</t>
  </si>
  <si>
    <t>OP010613</t>
  </si>
  <si>
    <t>Réparation bretelles de poche aciérie</t>
  </si>
  <si>
    <t>OP010615</t>
  </si>
  <si>
    <t>Placement escalier accès bassin rétention</t>
  </si>
  <si>
    <t>OP010616</t>
  </si>
  <si>
    <t>Réalisation de diverses gardes-corps</t>
  </si>
  <si>
    <t>Pierre PARFONRY</t>
  </si>
  <si>
    <t>ORICA</t>
  </si>
  <si>
    <t>OP010617</t>
  </si>
  <si>
    <t>Modif.&amp; implantation alimentat. GAZ Plasma Hall 5</t>
  </si>
  <si>
    <t>Franck BOURGEOIS</t>
  </si>
  <si>
    <t>OP010618</t>
  </si>
  <si>
    <t>Mise en place d'une cheminée pour le nouveau four</t>
  </si>
  <si>
    <t>Quentin LIVIN</t>
  </si>
  <si>
    <t>DONCASTERS SETTAS sa</t>
  </si>
  <si>
    <t>OP010619</t>
  </si>
  <si>
    <t>Remplacement des rails de roulement</t>
  </si>
  <si>
    <t>Christophe CONRAADS</t>
  </si>
  <si>
    <t>ELECTRABEL AWIRS</t>
  </si>
  <si>
    <t>OP010620</t>
  </si>
  <si>
    <t>Mise en service station pompage eau bat. EHN1</t>
  </si>
  <si>
    <t>IPT-PI/EN/MS4176/BJ/MR</t>
  </si>
  <si>
    <t>BJORN JENSSEN</t>
  </si>
  <si>
    <t>CERN</t>
  </si>
  <si>
    <t>OP010621</t>
  </si>
  <si>
    <t>Réparation fuites condensats chaufferie Hélio 2</t>
  </si>
  <si>
    <t>Patrick FONTAINE</t>
  </si>
  <si>
    <t>HELIO CHARLEROI S.A.</t>
  </si>
  <si>
    <t>OP010622</t>
  </si>
  <si>
    <t>Réalisation de 4 jeux de rampes en inox 304L DN 80</t>
  </si>
  <si>
    <t>Baptiste COWEZ</t>
  </si>
  <si>
    <t>RECOVAL BELGIUM</t>
  </si>
  <si>
    <t>OP010623</t>
  </si>
  <si>
    <t>transformation bardage transformateur</t>
  </si>
  <si>
    <t>Jean-Pol BREDAT</t>
  </si>
  <si>
    <t>OP010624</t>
  </si>
  <si>
    <t>Etude, fabrication et montage d'un tablier passerelle acier.</t>
  </si>
  <si>
    <t>MAIL DU 3/02</t>
  </si>
  <si>
    <t>Paulo LADEIRO</t>
  </si>
  <si>
    <t>Socatra SA</t>
  </si>
  <si>
    <t>OP010625</t>
  </si>
  <si>
    <t>Dplct système recouvrement cellules compostage</t>
  </si>
  <si>
    <t>Thomas GREVISSE</t>
  </si>
  <si>
    <t>BEP Bureau Econom. Prov. Namur</t>
  </si>
  <si>
    <t>OP010626</t>
  </si>
  <si>
    <t>Montage plaques support laser cloture extérieur</t>
  </si>
  <si>
    <t>Olivier PELLEGRINI</t>
  </si>
  <si>
    <t>OP010627</t>
  </si>
  <si>
    <t>Passerelle lames supérieur cisaille DIV 2</t>
  </si>
  <si>
    <t>RV 164219</t>
  </si>
  <si>
    <t>OP010628</t>
  </si>
  <si>
    <t>Remplacement de conduites PVDF W2</t>
  </si>
  <si>
    <t>N°APPEL2034663 - SOUM: 320185/10</t>
  </si>
  <si>
    <t>OP010629</t>
  </si>
  <si>
    <t>Modifications d'étagères à la CC</t>
  </si>
  <si>
    <t>OP010630</t>
  </si>
  <si>
    <t>Fourniture de 2 supports chaîne</t>
  </si>
  <si>
    <t>OP010631</t>
  </si>
  <si>
    <t>Fourniture rack pour lances thermiques usagées</t>
  </si>
  <si>
    <t>OP010632</t>
  </si>
  <si>
    <t>Divers démontages prépa. magasin à consommables</t>
  </si>
  <si>
    <t>DDE EMAIL DU 12/02/16</t>
  </si>
  <si>
    <t>Lionel MANNO</t>
  </si>
  <si>
    <t>OP010633</t>
  </si>
  <si>
    <t>Pose de  n° d'identification sur poches de coulée</t>
  </si>
  <si>
    <t>OP010634</t>
  </si>
  <si>
    <t>Démontage, fourni. &amp; pose escalier accès au four</t>
  </si>
  <si>
    <t>OP010635</t>
  </si>
  <si>
    <t>Fourniture de marchepieds du chenal</t>
  </si>
  <si>
    <t>OP010636</t>
  </si>
  <si>
    <t>Mise en PlaceDoguets Inox sur Bac de Secours CC</t>
  </si>
  <si>
    <t>OP010637</t>
  </si>
  <si>
    <t xml:space="preserve"> Biseautage du crochet du pont Stripper</t>
  </si>
  <si>
    <t>OP010638</t>
  </si>
  <si>
    <t>Remplacement des roulements du ventilateur Tecoer</t>
  </si>
  <si>
    <t>N° 2034673</t>
  </si>
  <si>
    <t>OP010639</t>
  </si>
  <si>
    <t>Réparation de 2 pivots + anses</t>
  </si>
  <si>
    <t>OP010640</t>
  </si>
  <si>
    <t>Réparation et rpct tuyau sur le tunnel</t>
  </si>
  <si>
    <t>OP010641</t>
  </si>
  <si>
    <t>Nettoyage et test hydraulique voûte VOD n°4</t>
  </si>
  <si>
    <t>OP010642</t>
  </si>
  <si>
    <t>nettoyage et test hydraulique d'une voûte VOD</t>
  </si>
  <si>
    <t>OP010643</t>
  </si>
  <si>
    <t>Fourniture et pose support tuyauterie d'eau</t>
  </si>
  <si>
    <t>OP010644</t>
  </si>
  <si>
    <t>Fourniture d'un palonnier à mitrailles</t>
  </si>
  <si>
    <t>Marc CLAES</t>
  </si>
  <si>
    <t>OP010645</t>
  </si>
  <si>
    <t>Montage d'un Escalier bande Transporteuse A11B</t>
  </si>
  <si>
    <t>OP010646</t>
  </si>
  <si>
    <t>Rplct 2 segments sur coude  l'éjecteur 2 du VOD</t>
  </si>
  <si>
    <t>OP010647</t>
  </si>
  <si>
    <t>Rpct tube n°4 sur voûtain n°15</t>
  </si>
  <si>
    <t>OP010648</t>
  </si>
  <si>
    <t>Rpct tuyauterie sur le voûtain n°14</t>
  </si>
  <si>
    <t>OP010649</t>
  </si>
  <si>
    <t>Renouvel. passage sup. Infrabel Braine-le-Comte</t>
  </si>
  <si>
    <t>VOTRE MAIL DU 8/02</t>
  </si>
  <si>
    <t>Jean GUILLAUME</t>
  </si>
  <si>
    <t>OP010650</t>
  </si>
  <si>
    <t>Renfor. support sur cheminées fours en toiture</t>
  </si>
  <si>
    <t>Etienne TISTHOUD</t>
  </si>
  <si>
    <t>SOVITEC SA</t>
  </si>
  <si>
    <t>OP010651</t>
  </si>
  <si>
    <t>Fabrication de 2 caissons 2 bars + pipes,...</t>
  </si>
  <si>
    <t>MAIL DU 10/02/16</t>
  </si>
  <si>
    <t>Vincent LELOUX</t>
  </si>
  <si>
    <t>OP010652</t>
  </si>
  <si>
    <t>Déplacement tourniquet dans hall socco</t>
  </si>
  <si>
    <t>RV 164220</t>
  </si>
  <si>
    <t>Jonathan VAN LEEUW</t>
  </si>
  <si>
    <t>OP010653</t>
  </si>
  <si>
    <t>Placement vanne sur l'aspiration pompe à vide</t>
  </si>
  <si>
    <t>Jean-Pierre LEGRAND</t>
  </si>
  <si>
    <t>OP010654</t>
  </si>
  <si>
    <t>Travaux de tuyauteries</t>
  </si>
  <si>
    <t>NS/154932</t>
  </si>
  <si>
    <t>Jean-Marc STILMANT</t>
  </si>
  <si>
    <t>CATERPILLAR BELGIUM S.A</t>
  </si>
  <si>
    <t>OP010655</t>
  </si>
  <si>
    <t>Passerelle CP recyclage Six</t>
  </si>
  <si>
    <t>DA 27368213</t>
  </si>
  <si>
    <t>Jean-Louis BOHEME</t>
  </si>
  <si>
    <t>OP010656</t>
  </si>
  <si>
    <t>Fab. socle en béton &amp; montage tourniquet parking</t>
  </si>
  <si>
    <t>RV 164221</t>
  </si>
  <si>
    <t>OP010657</t>
  </si>
  <si>
    <t>Maintenance installations traitement eaux aciérie</t>
  </si>
  <si>
    <t>VOTRE MAIL DU 10/02</t>
  </si>
  <si>
    <t>Regis HENNEBICQ</t>
  </si>
  <si>
    <t>OP010658</t>
  </si>
  <si>
    <t>Modification de 2 tuyauteries d'huile</t>
  </si>
  <si>
    <t>TUYAUTERIE ALTERNATEUR TG HYDROGÈNE</t>
  </si>
  <si>
    <t>OP010659</t>
  </si>
  <si>
    <t>Fourniture d'un anneau de levage pour lance TN</t>
  </si>
  <si>
    <t>DEMANDE URGENTE 05/02</t>
  </si>
  <si>
    <t>OP010660</t>
  </si>
  <si>
    <t>Réparation de la pince 15 T</t>
  </si>
  <si>
    <t>RV 164222</t>
  </si>
  <si>
    <t>OP010661</t>
  </si>
  <si>
    <t>Fab. &amp; placement escalier, garde-corps démontable</t>
  </si>
  <si>
    <t>RV 164223</t>
  </si>
  <si>
    <t>Jonathan GODARD</t>
  </si>
  <si>
    <t>OP010662</t>
  </si>
  <si>
    <t>Construction d’un hall technique à Verviers</t>
  </si>
  <si>
    <t>VOTRE MAIL DU 11/02</t>
  </si>
  <si>
    <t>OP010663</t>
  </si>
  <si>
    <t>Construct. &amp; livraison 8 containers acier carbone</t>
  </si>
  <si>
    <t>RC FELU EBA</t>
  </si>
  <si>
    <t>Etienne BASTIN</t>
  </si>
  <si>
    <t>TOTAL PETR (ATOFINA) NE+UTILIS</t>
  </si>
  <si>
    <t>OP010664</t>
  </si>
  <si>
    <t>Prestations de sécurité sur différents sites</t>
  </si>
  <si>
    <t>LA</t>
  </si>
  <si>
    <t>DV EL</t>
  </si>
  <si>
    <t>Frédéric STASSIN</t>
  </si>
  <si>
    <t>ACIERS GROSJEAN</t>
  </si>
  <si>
    <t>OP010665</t>
  </si>
  <si>
    <t>Démontage d'un bâtiment A304  à Th1</t>
  </si>
  <si>
    <t>Christelle VLIEGHE</t>
  </si>
  <si>
    <t>OP010666</t>
  </si>
  <si>
    <t>Rehausse D7 &amp; D6 Piping</t>
  </si>
  <si>
    <t>DA27451123</t>
  </si>
  <si>
    <t>OP010667</t>
  </si>
  <si>
    <t>Réparation du silo M.N</t>
  </si>
  <si>
    <t>Romolo BACIARINI RUFFINI</t>
  </si>
  <si>
    <t>NGK Ceramics Europe SA</t>
  </si>
  <si>
    <t>OP010668</t>
  </si>
  <si>
    <t>Réalisation et montage de 2 trémies en HARDOX 400</t>
  </si>
  <si>
    <t>SAS DOUBLE CLAPET DE 400 ATOMISEUR L1</t>
  </si>
  <si>
    <t>OP010669</t>
  </si>
  <si>
    <t>Réparation tuyauterie DN 80 purge salle filtres</t>
  </si>
  <si>
    <t>OP010670</t>
  </si>
  <si>
    <t>Réparation tuyauterie vidange DN100 four épuration</t>
  </si>
  <si>
    <t>OP010671</t>
  </si>
  <si>
    <t>Collecteur DN150 pompe secours eau décarbonatée</t>
  </si>
  <si>
    <t>OP010672</t>
  </si>
  <si>
    <t>fourniture &amp; raccordements éventuels 2 radiateurs</t>
  </si>
  <si>
    <t>MM\155178</t>
  </si>
  <si>
    <t>Michel DE MICHELI</t>
  </si>
  <si>
    <t>OP010673</t>
  </si>
  <si>
    <t>Projet Twin Disc à Nivelles</t>
  </si>
  <si>
    <t>Christian METENS</t>
  </si>
  <si>
    <t>PROMEBAT</t>
  </si>
  <si>
    <t>OP010674</t>
  </si>
  <si>
    <t>Remplacement de 2 cables de levage pont 83</t>
  </si>
  <si>
    <t>RV 164224</t>
  </si>
  <si>
    <t>OP010675</t>
  </si>
  <si>
    <t>Remplacement de deux galets libres Pont 83</t>
  </si>
  <si>
    <t>RV 164225</t>
  </si>
  <si>
    <t>OP010676</t>
  </si>
  <si>
    <t>Construction passerelle inox + échelle à Grognon</t>
  </si>
  <si>
    <t>VOTRE MAIL DU 17/02</t>
  </si>
  <si>
    <t>Tom DE WAELE</t>
  </si>
  <si>
    <t>Deckx Elektromechanica</t>
  </si>
  <si>
    <t>OP010679</t>
  </si>
  <si>
    <t>Remplacement du Té DN 300 au pré-décalaminage</t>
  </si>
  <si>
    <t>OP010680</t>
  </si>
  <si>
    <t>Réparation rampe décalaminage</t>
  </si>
  <si>
    <t>OP010681</t>
  </si>
  <si>
    <t>Réalisation nouvelle rampe pour décalaminage</t>
  </si>
  <si>
    <t>OP010682</t>
  </si>
  <si>
    <t>Réparation du pont Titan</t>
  </si>
  <si>
    <t>OP010683</t>
  </si>
  <si>
    <t>Démontage des vannes  gaz du skid</t>
  </si>
  <si>
    <t>OP010684</t>
  </si>
  <si>
    <t>Géométrie en altitude Four 1.</t>
  </si>
  <si>
    <t>RV 164226</t>
  </si>
  <si>
    <t>OP010685</t>
  </si>
  <si>
    <t>Géométrie cisaille à chute cisaille sack</t>
  </si>
  <si>
    <t>RV 164230</t>
  </si>
  <si>
    <t>OP010686</t>
  </si>
  <si>
    <t>Manutention dalles préfab. pour réalisation trémie</t>
  </si>
  <si>
    <t>VOTRE FAX DU 22/02</t>
  </si>
  <si>
    <t>Perlette NGUYEN</t>
  </si>
  <si>
    <t>OP010687</t>
  </si>
  <si>
    <t>Placement challe et garde-corps sur la mixing room</t>
  </si>
  <si>
    <t>MM/155240</t>
  </si>
  <si>
    <t>OP010688</t>
  </si>
  <si>
    <t>Réparation int. blindage l'oxycoupeuse 1 et 2</t>
  </si>
  <si>
    <t>RV 164227</t>
  </si>
  <si>
    <t>OP010689</t>
  </si>
  <si>
    <t>Réparation fuite bacs eaux four heurtey 1 et 2</t>
  </si>
  <si>
    <t>RV 164228</t>
  </si>
  <si>
    <t>OP010690</t>
  </si>
  <si>
    <t>Répa. tuyau DN600 &amp; placement rustine dans coude</t>
  </si>
  <si>
    <t>OP010691</t>
  </si>
  <si>
    <t>Tuyauteries alimentation eau boueuses sur filtres</t>
  </si>
  <si>
    <t>Gabriel GIULIANI</t>
  </si>
  <si>
    <t>OP010692</t>
  </si>
  <si>
    <t>Rplct tuyauterie appoints des eaux circuit DEA</t>
  </si>
  <si>
    <t>OP010693</t>
  </si>
  <si>
    <t>Modif. tubes Event Hydraulique local Hydrau. CC</t>
  </si>
  <si>
    <t>Stefano PELLARIN</t>
  </si>
  <si>
    <t>DANIELI &amp; C OFFICINE MECCANICH</t>
  </si>
  <si>
    <t>OP010694</t>
  </si>
  <si>
    <t>Réalis.descentes pour fermeture boucle LHEX</t>
  </si>
  <si>
    <t>OB/153505 - DDE VERSION 3</t>
  </si>
  <si>
    <t>Olivier BALCERSKI</t>
  </si>
  <si>
    <t>OP010695</t>
  </si>
  <si>
    <t>Montage porte Big bag au B20</t>
  </si>
  <si>
    <t>2011 - 01828 - LACOSAMIDE 2G BMO IMPLEMENTATION</t>
  </si>
  <si>
    <t>Michel TERRIEN</t>
  </si>
  <si>
    <t>OP010696</t>
  </si>
  <si>
    <t>Etude de stabilité du déplacement mur au B5</t>
  </si>
  <si>
    <t>B5 REVAMPING - VOTRE MAIL DU 17/02</t>
  </si>
  <si>
    <t>Isabelle CANDAEL</t>
  </si>
  <si>
    <t>OP010697</t>
  </si>
  <si>
    <t>Remplacement de 2 rouleaux Four 2</t>
  </si>
  <si>
    <t>RV 164229</t>
  </si>
  <si>
    <t>OP010698</t>
  </si>
  <si>
    <t>Démontage mécaniques Chantier CTT</t>
  </si>
  <si>
    <t>MAIL DU 24/02</t>
  </si>
  <si>
    <t>OP010699</t>
  </si>
  <si>
    <t>Pose portique de sécurisation avec ligne de vie</t>
  </si>
  <si>
    <t>Eric MARLET</t>
  </si>
  <si>
    <t>OP010700</t>
  </si>
  <si>
    <t>Divers réparations bardage.</t>
  </si>
  <si>
    <t>OP010701</t>
  </si>
  <si>
    <t>Réparation dégâts toiture et porte sectionnelle</t>
  </si>
  <si>
    <t>SV STB</t>
  </si>
  <si>
    <t>OP010702</t>
  </si>
  <si>
    <t>Réalisation  coude ébonité ds condensateur Danto</t>
  </si>
  <si>
    <t>Ulrich HERMANT</t>
  </si>
  <si>
    <t>Flaurea Chemicals S.A.</t>
  </si>
  <si>
    <t>OP010703</t>
  </si>
  <si>
    <t>Déviation conduite EDN niveau de PCT1  -BAT-R300</t>
  </si>
  <si>
    <t>Marc VAN DAMME</t>
  </si>
  <si>
    <t>OP010704</t>
  </si>
  <si>
    <t>Construction d'une nouvelle agence Belfius à Wavre</t>
  </si>
  <si>
    <t>VOTRE MAIL DU 25/02</t>
  </si>
  <si>
    <t>OP010705</t>
  </si>
  <si>
    <t>Réalisation de 2 protections mécaniques à Rixensart</t>
  </si>
  <si>
    <t>OP010707</t>
  </si>
  <si>
    <t>HC-CBR Antoing - piping O2</t>
  </si>
  <si>
    <t>HC-CBR ANTOING - PIPING O2</t>
  </si>
  <si>
    <t>Jean-Luc VAN LANDUYT</t>
  </si>
  <si>
    <t>C.B.R. ANTOING</t>
  </si>
  <si>
    <t>OP010708</t>
  </si>
  <si>
    <t>Remontage pince à brames 45T Hall à slabs</t>
  </si>
  <si>
    <t>RV 164232</t>
  </si>
  <si>
    <t>OP010709</t>
  </si>
  <si>
    <t>Meulage de 3 lignes blocs réfractaires Four 1</t>
  </si>
  <si>
    <t>RV 164233</t>
  </si>
  <si>
    <t>OP010710</t>
  </si>
  <si>
    <t>Project NAKHODKA_préservation des turbines Anvers</t>
  </si>
  <si>
    <t>VOTRE MAIL DU 22/02</t>
  </si>
  <si>
    <t>Magali BERGEROT-DOMON</t>
  </si>
  <si>
    <t>GE Energy Products France SNC</t>
  </si>
  <si>
    <t>OP010711</t>
  </si>
  <si>
    <t>Chgmt vanne 3 voies sur circuit secondaire froid</t>
  </si>
  <si>
    <t>OP010712</t>
  </si>
  <si>
    <t>Chgmt pompe P2A sur collecteur eau de chauffage</t>
  </si>
  <si>
    <t>OP010713</t>
  </si>
  <si>
    <t>Rplct tuyauterie d'alimentation d'eau sur cylindre</t>
  </si>
  <si>
    <t>OP010714</t>
  </si>
  <si>
    <t>Réalisa. tuyau eau ville aliment. humidificateur</t>
  </si>
  <si>
    <t>OP010715</t>
  </si>
  <si>
    <t>AM16 remplacement vannes arrêt Juin 2016</t>
  </si>
  <si>
    <t>OP010716</t>
  </si>
  <si>
    <t>Réparation installation Javel</t>
  </si>
  <si>
    <t>OP010717</t>
  </si>
  <si>
    <t>Tamisage 560SC au PVC III</t>
  </si>
  <si>
    <t>MAIL DU 01/03</t>
  </si>
  <si>
    <t>OP010718</t>
  </si>
  <si>
    <t>Piping &amp; Génie Civil Mise en eau Tank 421 Feluy</t>
  </si>
  <si>
    <t>DOC487532 - MAIL DU 29/02</t>
  </si>
  <si>
    <t>Jean-Damascène ISHIMWE</t>
  </si>
  <si>
    <t>OP010719</t>
  </si>
  <si>
    <t xml:space="preserve"> O2: structure métallique galvanisée et bardage.</t>
  </si>
  <si>
    <t>VOTRE MAIL DU 1/03</t>
  </si>
  <si>
    <t>OP010720</t>
  </si>
  <si>
    <t>Fabrication bac de rétention</t>
  </si>
  <si>
    <t>Thierry COLOGNATO</t>
  </si>
  <si>
    <t>OP010722</t>
  </si>
  <si>
    <t>Budget pour réalisation d'un skid</t>
  </si>
  <si>
    <t>Dorian VLAEMINCK</t>
  </si>
  <si>
    <t>TRANE Belgium</t>
  </si>
  <si>
    <t>OP010723</t>
  </si>
  <si>
    <t>Fourniture 2000 plaques 60x60x10</t>
  </si>
  <si>
    <t>RV 164235 DA321112</t>
  </si>
  <si>
    <t>OP010724</t>
  </si>
  <si>
    <t>Rplct collecteur côté banc rouleaux bac de trempe</t>
  </si>
  <si>
    <t>OP010725</t>
  </si>
  <si>
    <t>Réparation annuelle fours Heurtey 2016</t>
  </si>
  <si>
    <t>OP010726</t>
  </si>
  <si>
    <t>Démontage des pandales pour accès autoclave B3</t>
  </si>
  <si>
    <t>OP010727</t>
  </si>
  <si>
    <t>Démontage + évacuation du flux laminaire GP201301 &amp; 201801</t>
  </si>
  <si>
    <t>GP20.13.01 &amp; 20.18.01</t>
  </si>
  <si>
    <t>Pascal REMIENCE</t>
  </si>
  <si>
    <t>OP010728</t>
  </si>
  <si>
    <t>Réparation et renforcement pont 207</t>
  </si>
  <si>
    <t>RV 164234</t>
  </si>
  <si>
    <t>OP010729</t>
  </si>
  <si>
    <t>Fourniture de 5 axes pour le garage</t>
  </si>
  <si>
    <t>RV 164236</t>
  </si>
  <si>
    <t>OP010730</t>
  </si>
  <si>
    <t>Modification de la ligne de rejet CEC Tihange 1</t>
  </si>
  <si>
    <t>OP010731</t>
  </si>
  <si>
    <t>Etude de stabilité du déplacement du mur B5</t>
  </si>
  <si>
    <t>Fabrice WAUTIER</t>
  </si>
  <si>
    <t>WAUTIER CONSTRUCT sprl</t>
  </si>
  <si>
    <t>OP010732</t>
  </si>
  <si>
    <t>Fabrication d'une palissade amovible</t>
  </si>
  <si>
    <t>DEMANDE VERBALE DU 04/03/16</t>
  </si>
  <si>
    <t>OP010733</t>
  </si>
  <si>
    <t>Remplacement du bras de décrassage</t>
  </si>
  <si>
    <t>DEMANDE VERBALE DU 02/03/16</t>
  </si>
  <si>
    <t>Guy MIERMONT</t>
  </si>
  <si>
    <t>OP010734</t>
  </si>
  <si>
    <t>Entretien des polisseurs</t>
  </si>
  <si>
    <t>DV DU 02/03/16</t>
  </si>
  <si>
    <t>OP010735</t>
  </si>
  <si>
    <t>Entretien des Ligatureuses LC1,LC2, LR1, LR2</t>
  </si>
  <si>
    <t>OP010736</t>
  </si>
  <si>
    <t>Modifications passerelles dans 3 fosses CEI</t>
  </si>
  <si>
    <t>OP010737</t>
  </si>
  <si>
    <t>Réparation virole du réservoir d'eau demin. D859</t>
  </si>
  <si>
    <t>Nicolas POULIN</t>
  </si>
  <si>
    <t>OP010738</t>
  </si>
  <si>
    <t>Construction de l'internat Saint-Marie à Jambes</t>
  </si>
  <si>
    <t>MAIL DU 9/03</t>
  </si>
  <si>
    <t>OP010739</t>
  </si>
  <si>
    <t>démontage et recoupage pont 130T à Fos sur mer</t>
  </si>
  <si>
    <t>09/BR</t>
  </si>
  <si>
    <t>Bernard ROUSSEAU</t>
  </si>
  <si>
    <t>EUROPA LEVAGE</t>
  </si>
  <si>
    <t>OP010740</t>
  </si>
  <si>
    <t>Fab. &amp; montage plateforme de travail sur Tihange</t>
  </si>
  <si>
    <t>PB</t>
  </si>
  <si>
    <t>OP010741</t>
  </si>
  <si>
    <t>Modif. installation de chauffage bain de rinçage</t>
  </si>
  <si>
    <t>MM\154944</t>
  </si>
  <si>
    <t>OP010742</t>
  </si>
  <si>
    <t>Equiper 2 galets de leur boitard</t>
  </si>
  <si>
    <t>RV 164238</t>
  </si>
  <si>
    <t>OP010743</t>
  </si>
  <si>
    <t>Découpe de 200 tôles pour oxycoupeuses 1-2-3</t>
  </si>
  <si>
    <t>RV 164239</t>
  </si>
  <si>
    <t>OP010744</t>
  </si>
  <si>
    <t>Mise en place de 5 débitmètres avec soudures PP</t>
  </si>
  <si>
    <t>SOUDURE POLYPROPYLÈNE</t>
  </si>
  <si>
    <t>Maxime VINCHON</t>
  </si>
  <si>
    <t>AGC AUTOMOTIVE BELGIUM S.A.</t>
  </si>
  <si>
    <t>OP010745</t>
  </si>
  <si>
    <t>Démontage étagères  et remontage à socco</t>
  </si>
  <si>
    <t>RV 164237</t>
  </si>
  <si>
    <t>Jérémie BASTIN</t>
  </si>
  <si>
    <t>OP010746</t>
  </si>
  <si>
    <t>Réparation de la protection du marteau piqueur</t>
  </si>
  <si>
    <t>RV 164242</t>
  </si>
  <si>
    <t>OP010747</t>
  </si>
  <si>
    <t>Tôle de visite table à disques</t>
  </si>
  <si>
    <t>RV 164243</t>
  </si>
  <si>
    <t>Quentin Demuynck</t>
  </si>
  <si>
    <t>OP010748</t>
  </si>
  <si>
    <t>Rplct mètres de rails hall 5 (semi-portique)</t>
  </si>
  <si>
    <t>RV 164240</t>
  </si>
  <si>
    <t>OP010749</t>
  </si>
  <si>
    <t>Travaux de maintenance 2016</t>
  </si>
  <si>
    <t>OP010751</t>
  </si>
  <si>
    <t>Mise en place de 3 thermocouples</t>
  </si>
  <si>
    <t>TERMOCOUPLE SYSTEM INSTALLATION</t>
  </si>
  <si>
    <t>OP010752</t>
  </si>
  <si>
    <t>Démontage ancienne installation "filtre farine"</t>
  </si>
  <si>
    <t>OP010753</t>
  </si>
  <si>
    <t>Fab. et mise en place de 2 trappes sous trémies</t>
  </si>
  <si>
    <t>DV DU 07/03/16</t>
  </si>
  <si>
    <t>Jean-Pol LORGE</t>
  </si>
  <si>
    <t>OP010754</t>
  </si>
  <si>
    <t>Rplct tôle larmée  sur bande transporteuse</t>
  </si>
  <si>
    <t>OP010755</t>
  </si>
  <si>
    <t>fourniture vannes oma ligne incendie</t>
  </si>
  <si>
    <t>Mr GALANT</t>
  </si>
  <si>
    <t>OP010756</t>
  </si>
  <si>
    <t>réalisation de deux pièces spéciales en inox 316L</t>
  </si>
  <si>
    <t>2016 03 14 - GEOTH-026</t>
  </si>
  <si>
    <t>François DAMIEN</t>
  </si>
  <si>
    <t>Carrières et Terrassements</t>
  </si>
  <si>
    <t>OP010757</t>
  </si>
  <si>
    <t>Maintenance de 5 TG à Anvers</t>
  </si>
  <si>
    <t>Régis GAGNEUR</t>
  </si>
  <si>
    <t>Logistique Globale Européenne</t>
  </si>
  <si>
    <t>OP010758</t>
  </si>
  <si>
    <t>Fourn.&amp; place. tuyauterie PEHD 160mm dans le bâtiment E</t>
  </si>
  <si>
    <t>MM\155701</t>
  </si>
  <si>
    <t>OP010759</t>
  </si>
  <si>
    <t>Démont &amp; remontage racking chez YUSen à Courcelles</t>
  </si>
  <si>
    <t>VV\155536</t>
  </si>
  <si>
    <t>Vincent VERDOOT</t>
  </si>
  <si>
    <t>OP010760</t>
  </si>
  <si>
    <t>Géométrie pont 207</t>
  </si>
  <si>
    <t>RV 164241</t>
  </si>
  <si>
    <t>OP010761</t>
  </si>
  <si>
    <t>Révision charpente hall AMC B</t>
  </si>
  <si>
    <t>RV 164247</t>
  </si>
  <si>
    <t>OP010762</t>
  </si>
  <si>
    <t>Rplt visserie  rails bascule CMI à côté de MGL</t>
  </si>
  <si>
    <t>RV 164244</t>
  </si>
  <si>
    <t>Khalid EL HASNNAOUI</t>
  </si>
  <si>
    <t>OP010763</t>
  </si>
  <si>
    <t>Revamping installation traitement eaux RX35</t>
  </si>
  <si>
    <t>OP010764</t>
  </si>
  <si>
    <t>Réparation de fuites sur le circuit hydraulique</t>
  </si>
  <si>
    <t>OP010765</t>
  </si>
  <si>
    <t>Structure métallique centrage IBC PP3</t>
  </si>
  <si>
    <t>DOC492918 RC_FELU_JMN</t>
  </si>
  <si>
    <t>Jean-Marc NICAISE</t>
  </si>
  <si>
    <t>OP010766</t>
  </si>
  <si>
    <t>Remplacement de la superstructure</t>
  </si>
  <si>
    <t>VOTRE MAIL DU 15/03</t>
  </si>
  <si>
    <t>OP010767</t>
  </si>
  <si>
    <t>Montage d'une goulotte sur trémie</t>
  </si>
  <si>
    <t>Alain ALCALUZAC</t>
  </si>
  <si>
    <t>OP010768</t>
  </si>
  <si>
    <t>Complément de travaux sur la poche de coulée n°7</t>
  </si>
  <si>
    <t>OP010769</t>
  </si>
  <si>
    <t>Alimentation eau et air guniteuse</t>
  </si>
  <si>
    <t>Vincent ELOY</t>
  </si>
  <si>
    <t>OP010770</t>
  </si>
  <si>
    <t>Pour N. Goury</t>
  </si>
  <si>
    <t>OP010771</t>
  </si>
  <si>
    <t>OP010772</t>
  </si>
  <si>
    <t>OP010773</t>
  </si>
  <si>
    <t>OP010774</t>
  </si>
  <si>
    <t>OP010775</t>
  </si>
  <si>
    <t>OP010776</t>
  </si>
  <si>
    <t>OP010777</t>
  </si>
  <si>
    <t>OP010778</t>
  </si>
  <si>
    <t>OP010779</t>
  </si>
  <si>
    <t>OP010780</t>
  </si>
  <si>
    <t>OP010781</t>
  </si>
  <si>
    <t>OP010782</t>
  </si>
  <si>
    <t>OP010783</t>
  </si>
  <si>
    <t>OP010784</t>
  </si>
  <si>
    <t>OP010785</t>
  </si>
  <si>
    <t>OP010786</t>
  </si>
  <si>
    <t>OP010787</t>
  </si>
  <si>
    <t>Prolongation d'une cleanroom</t>
  </si>
  <si>
    <t>Olivier DUPONT</t>
  </si>
  <si>
    <t>OP010788</t>
  </si>
  <si>
    <t>Fourni. ossature métal. supportage réservoir stock</t>
  </si>
  <si>
    <t>RS D2219 HCL</t>
  </si>
  <si>
    <t>Patrice CHMIDLIN</t>
  </si>
  <si>
    <t>OP010789</t>
  </si>
  <si>
    <t>Rplct batteries HVAC &amp; Tuyauteries GSK Rixensart</t>
  </si>
  <si>
    <t>Tiffany KAUPP</t>
  </si>
  <si>
    <t>CRC Engineering bvba</t>
  </si>
  <si>
    <t>OP010790</t>
  </si>
  <si>
    <t>Pour R. TROVARELLI</t>
  </si>
  <si>
    <t>Jean-Christophe CAES</t>
  </si>
  <si>
    <t>OP010791</t>
  </si>
  <si>
    <t>OP010792</t>
  </si>
  <si>
    <t>OP010793</t>
  </si>
  <si>
    <t>OP010794</t>
  </si>
  <si>
    <t>OP010795</t>
  </si>
  <si>
    <t>OP010796</t>
  </si>
  <si>
    <t>OP010797</t>
  </si>
  <si>
    <t>OP010798</t>
  </si>
  <si>
    <t>OP010799</t>
  </si>
  <si>
    <t>OP010800</t>
  </si>
  <si>
    <t>Placement d'un guide barrière parc à mitraille</t>
  </si>
  <si>
    <t>RV 164248</t>
  </si>
  <si>
    <t>OP010801</t>
  </si>
  <si>
    <t>Réalis. tuyauteries décompression économiseur</t>
  </si>
  <si>
    <t>OP010802</t>
  </si>
  <si>
    <t>Manutention de machines</t>
  </si>
  <si>
    <t>OP010803</t>
  </si>
  <si>
    <t>Alimentation des GM pompes M52</t>
  </si>
  <si>
    <t>DA27626866</t>
  </si>
  <si>
    <t>OP010804</t>
  </si>
  <si>
    <t>Réparation bardage</t>
  </si>
  <si>
    <t>OP010805</t>
  </si>
  <si>
    <t>Sécurisation chauffeurs CHIMIE</t>
  </si>
  <si>
    <t>MAIL DU 24/03</t>
  </si>
  <si>
    <t>OP010806</t>
  </si>
  <si>
    <t>Réparation pont (incendie)</t>
  </si>
  <si>
    <t>Philippe HUVENNE</t>
  </si>
  <si>
    <t>HB Drilling S.A.</t>
  </si>
  <si>
    <t>OP010807</t>
  </si>
  <si>
    <t>Réparat. rail et joint dilation hall à slabs.</t>
  </si>
  <si>
    <t>RV 164250</t>
  </si>
  <si>
    <t>OP010808</t>
  </si>
  <si>
    <t>Transport du 6/04</t>
  </si>
  <si>
    <t>OP010809</t>
  </si>
  <si>
    <t>Rénovation du registre sur la gaine de fumée</t>
  </si>
  <si>
    <t>OP010810</t>
  </si>
  <si>
    <t>Modif. tuyauterie 6'' eau brut incendie Hall 3</t>
  </si>
  <si>
    <t>OP010811</t>
  </si>
  <si>
    <t>Pose plancher sur fosses de pompes</t>
  </si>
  <si>
    <t>Benoît DUPRET</t>
  </si>
  <si>
    <t>OP010812</t>
  </si>
  <si>
    <t>Pose couvercles sur puits circulaires de pompe</t>
  </si>
  <si>
    <t xml:space="preserve">Etape 
cycle </t>
  </si>
  <si>
    <t>BU</t>
  </si>
  <si>
    <t>Code 
vendeur</t>
  </si>
  <si>
    <t>D.C.</t>
  </si>
  <si>
    <t>OP</t>
  </si>
  <si>
    <t>o</t>
  </si>
  <si>
    <t>Mois
envoi</t>
  </si>
  <si>
    <t>Retard</t>
  </si>
  <si>
    <t>Offre secrétariat</t>
  </si>
  <si>
    <t>Date DDE
secrétariat</t>
  </si>
  <si>
    <t>Délai 
réalisation</t>
  </si>
  <si>
    <t>N° OP</t>
  </si>
  <si>
    <t>Concerne</t>
  </si>
  <si>
    <t>PM</t>
  </si>
  <si>
    <t>Dactylo</t>
  </si>
  <si>
    <t>Date demande</t>
  </si>
  <si>
    <t>Date dactylo</t>
  </si>
  <si>
    <t>Remplacement du scrubber S191</t>
  </si>
  <si>
    <t>DT</t>
  </si>
  <si>
    <t>Réalisation et pose d'un escalier en acier galvanisé à chaud</t>
  </si>
  <si>
    <t>Mise en place flexibles et raccord</t>
  </si>
  <si>
    <t>Extracteur gaz échappement tunnel Léopold Bxl</t>
  </si>
  <si>
    <t>Renforcement d'un plancher à la huilerie sur le site nucléaire de TI 2</t>
  </si>
  <si>
    <t>l’installation de protections de moteur et platelage en caillebotis pour le projet CC355</t>
  </si>
  <si>
    <t xml:space="preserve">projet LTO-SUR étendu </t>
  </si>
  <si>
    <t>Travaux mécanqiues pour le STOP LTO 2016</t>
  </si>
  <si>
    <t>Réparation de la passerelle piétons à l’aciérie</t>
  </si>
  <si>
    <t>Réalisation de travaux de renouvellements sur le tablier de pont du passage inférieur situé route de Mons à Marchienne-au-pont.</t>
  </si>
  <si>
    <t xml:space="preserve">Pose de bardage sur les deux pignons extérieurs. </t>
  </si>
  <si>
    <t xml:space="preserve">Montage de structures et d’équipements de l’usine ALIPHOS de Dunkerque (zone B11&amp;B15). </t>
  </si>
  <si>
    <t xml:space="preserve">12/01/16
</t>
  </si>
  <si>
    <t xml:space="preserve">13/01/16
</t>
  </si>
  <si>
    <t>projet Logistique : Sécurisation des chauffeurs</t>
  </si>
  <si>
    <t>Réalisation de travaux à la sortie de l’essoreuse J-LF7</t>
  </si>
  <si>
    <t>Fourniture et le placement d’un escalier donnant accès au parking supérieur sur le site de VAN GOGH à MARCHIENNE-AU-PONT.</t>
  </si>
  <si>
    <t>Fourniture et la pose des éléments de structures métalliques le site de la ville de Courrière…</t>
  </si>
  <si>
    <t>Réalisation du remplacement du réchauffeur S1306/1.</t>
  </si>
  <si>
    <t>Fabrication et le placement de garde-corps amovibles sur la poutre de roulement Hall à slabs (côté sud).</t>
  </si>
  <si>
    <t>Fabrication et le montage d’une charpente d’accès à la cheminée du laveur 224L02</t>
  </si>
  <si>
    <t xml:space="preserve">Réparation interne du pied de cheminée CVA Tihange 2 </t>
  </si>
  <si>
    <t>Réalisation de divers travaux au bat. B3</t>
  </si>
  <si>
    <t>Remplacement des cuves X0-AT01A et X0-AT01B</t>
  </si>
  <si>
    <t>MHB</t>
  </si>
  <si>
    <t>Démontage de rampes transporteuses à l'emballage de l'unité 1</t>
  </si>
  <si>
    <t>Fabrication et l’installation d’un support pour le servomoteur PVG en réponse à votre demande d’offre ayant pour objet CNT1-LTO EI-49.</t>
  </si>
  <si>
    <t>Offre Budgétaire pour la réparation de brettelles de poche d'aciérie du site d’APERAM</t>
  </si>
  <si>
    <t>D.C. pour la réalisation des isométriques de l'installation de production d'eau sur le site de Rixensart</t>
  </si>
  <si>
    <t>Réalisation et le placement de diverses ferronneries sur le site de Feluy</t>
  </si>
  <si>
    <t>Fourniture et pose d'une passerelle au niveau 28M</t>
  </si>
  <si>
    <t xml:space="preserve">Mise en place de  2 nouveaux monorails </t>
  </si>
  <si>
    <t>Réalisation et le placement d’un escalier avec palier en acier au CP RECYCLAGE SIX</t>
  </si>
  <si>
    <t xml:space="preserve">Offre budgétaire pour le démontage du bâtiment A304 à l’unité 1 suivant votre demande verbale.  </t>
  </si>
  <si>
    <t>Remplacement des rails de roulement des chaines de la grille Beaudrey.</t>
  </si>
  <si>
    <t>Remplacement de l’échangeur de la plaque ECHS et les modifications de tuyauteries sur le site de  GSK WAVRE</t>
  </si>
  <si>
    <t>Correction des colonnes et des deux tambours des lames à chute de la cisaille DIV 2.</t>
  </si>
  <si>
    <t>Réalisation de travaux dans le cadre du projet SPW Canal Charleroi-Bruxelles (adjudication du 23/02/2016).</t>
  </si>
  <si>
    <t>L’installation et les raccordements de tuyauteries d’un échangeurs Eau/vapeur en salle des machines DK6 Tranche.2 sur le site de Dunkerque.</t>
  </si>
  <si>
    <t>Réparation de la rampe de décalaminage en notre atelier.</t>
  </si>
  <si>
    <t>géométrie du bâti des lames à chutes de la cisaille SACK</t>
  </si>
  <si>
    <t>3 ans de Travaux sur conduites en votre Atelier de Salzinnes</t>
  </si>
  <si>
    <t>Réalisation de 3 chandelles pour poches</t>
  </si>
  <si>
    <t xml:space="preserve">Démontage des équipements de la ligne cetirizine (phase 7) et BCBP (phase 8) </t>
  </si>
  <si>
    <t>Réalisation et le montage de 2 caissons 2 bars sur le site de l’incinérateur de Virginal.</t>
  </si>
  <si>
    <t>Remplacement des surchauffeurs SH2A et SH2B de la chaudière four 2 sur le site de I.C.D.I Pont-de-loup</t>
  </si>
  <si>
    <t xml:space="preserve">Déviation de la tuyauterie PCT1-EDN au niveau du bâtiment PCT1-BAT-N300 de Tihange 1 suivant votre demande 6000464584  </t>
  </si>
  <si>
    <t>Prestations de sécurité sur différents sites en D.C.</t>
  </si>
  <si>
    <t>Remplacement de la tuyauterie d’appoint d’eau DEA en acier par du PEHD SDR17 PE100 dans local pompes et de la cuve vers le local pompes.</t>
  </si>
  <si>
    <t xml:space="preserve">Remise en conformité de la ligne de rejet CEC de Tihange 1. </t>
  </si>
  <si>
    <t xml:space="preserve">Démontage mécanique, démantèlement d’une bouteille de N2 + tuyauterie et cadre associé, DS-01 chantier CTM de l’unité 1 de la centrale nucléaire de Tihange. </t>
  </si>
  <si>
    <t>Modification de passerelles et de moyens de levage dans 3 fosses CEI sur les 3 unités de la centrale de Tihange</t>
  </si>
  <si>
    <t>Réalisation d’une rampe de décalaminage</t>
  </si>
  <si>
    <t>Réalisation d’une nouvelle tuyauterie en PEHD d’alimentation d’eau de refroidissement pour les cylindres</t>
  </si>
  <si>
    <t>réalisation et la pose d’une passerelle et d’une échelle en acier inox 304 sur le site de la station de relevage de Grognon</t>
  </si>
  <si>
    <t>Prestations de maintenance conservatoire de 5 turbines à gaz de type 9 E, stockées dans un bâtiment APROJECT sis à Anvers en 2016</t>
  </si>
  <si>
    <t>Fabrication de 8 padelles</t>
  </si>
  <si>
    <t>Réalisation d’un bac de rétention 2m x 1m x 1m (suivant votre croquis).</t>
  </si>
  <si>
    <t>Remplacement de rails A 100 (2 x 162 m) – Hall 5 (semi-portique).</t>
  </si>
  <si>
    <t xml:space="preserve">Réparation du tank D859 d’eau deminéralisée </t>
  </si>
  <si>
    <t>Réalisation de la structure métallique bardée et couverte de la maille "Tamisage 560SC" au PVC III</t>
  </si>
  <si>
    <t xml:space="preserve">Entretien mensuel des polisseurs des bobineuses 1 et 2 </t>
  </si>
  <si>
    <t>Fabrication et mise en place de 2 trappes sous trémies sur le site d’Aperam Châtelet aciérie</t>
  </si>
  <si>
    <t>Remplacement d’une tôle larmée par un caillebotis au-dessus des rouleaux de bandes transporteuses sur le site de l’aciérie d’Aperam à Châtelet</t>
  </si>
  <si>
    <t>Fourniture et la pose d’un portique support et une ligne de vie sur rail</t>
  </si>
  <si>
    <t>Maintenance conservatoire de 5 turbines à gaz de type 6FA, stockées dans le bâtiment APROJECT sis à Anvers</t>
  </si>
  <si>
    <t>Projet Racking à Courcelles</t>
  </si>
  <si>
    <t>Démontage et l'évacuation du flux laminaire</t>
  </si>
  <si>
    <t>Fabrication et l’installation de la structure PP3 pour le mélangeur IBC</t>
  </si>
  <si>
    <t>Renouvellement du tablier métallique du pont de la Sambre à Tamines.</t>
  </si>
  <si>
    <t>Réparation annuelle de la mécanique et du réfractaire des FOURS HEURTEY 1 et 2, sur le site d’INDUSTEEL à Marchienne-au-Pont</t>
  </si>
  <si>
    <t>Remplacement de 2 segments sur le coude de l’éjecteur 2 du VOD</t>
  </si>
  <si>
    <t>Démontage de l’ancienne installation «Aspiration Farine ».</t>
  </si>
  <si>
    <t>Assainissement du local RX15-006 sur le site de RIXENSART en dépenses contrpolées</t>
  </si>
  <si>
    <t>OP010514</t>
  </si>
  <si>
    <t>OP010433</t>
  </si>
  <si>
    <t>OP010460</t>
  </si>
  <si>
    <t>OP010486</t>
  </si>
  <si>
    <t>OP010513</t>
  </si>
  <si>
    <t>OP010445</t>
  </si>
  <si>
    <t>OP010425</t>
  </si>
  <si>
    <t>OP010346</t>
  </si>
  <si>
    <t>OP010035</t>
  </si>
  <si>
    <t>OP010457</t>
  </si>
  <si>
    <t>OP010515</t>
  </si>
  <si>
    <t>OP010480</t>
  </si>
  <si>
    <t>OP010176</t>
  </si>
  <si>
    <t>OP08440</t>
  </si>
  <si>
    <t>OP010270</t>
  </si>
  <si>
    <t>OP10591</t>
  </si>
  <si>
    <t>OP10717</t>
  </si>
  <si>
    <t>Synthèse des offres envoyées - Code Vendeur - 2016</t>
  </si>
  <si>
    <t>CPJ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</si>
  <si>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</si>
  <si>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</si>
  <si>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</si>
  <si>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</si>
  <si>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</si>
  <si>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</si>
  <si>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</si>
  <si>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</si>
  <si>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</si>
  <si>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</si>
  <si>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</si>
  <si>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</si>
  <si>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</si>
  <si>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DDu</t>
  </si>
  <si>
    <t>/</t>
  </si>
  <si>
    <t>YS</t>
  </si>
  <si>
    <t>Date de 
validité</t>
  </si>
  <si>
    <t>Synthèse des offres envoyées sans retard - Code Vendeur - 2016</t>
  </si>
  <si>
    <t>Synthèse des offres envoyées - Business Units - 2016</t>
  </si>
  <si>
    <t>BUEN</t>
  </si>
  <si>
    <t>BUPH</t>
  </si>
  <si>
    <t>BUSID</t>
  </si>
  <si>
    <t>Synthèse des offres envoyées sans retard - Business Units - 2016</t>
  </si>
  <si>
    <t>Délai pour réaliser une offre</t>
  </si>
  <si>
    <t>%</t>
  </si>
  <si>
    <t>Avance 
(DV -3j)</t>
  </si>
  <si>
    <t>Temps
 (1 ou2j&lt;DV)</t>
  </si>
  <si>
    <t>Total Offres 
dachtylographiées</t>
  </si>
  <si>
    <t>Total offres
&lt; 12.500 €</t>
  </si>
  <si>
    <t>Juste
 (= à DV)</t>
  </si>
  <si>
    <t>Synthèse des ouvertures OP - Business Units - 2016</t>
  </si>
  <si>
    <t>Statut</t>
  </si>
  <si>
    <t>D.C</t>
  </si>
  <si>
    <t>FORFAIT</t>
  </si>
  <si>
    <t>Date 
d'envoi</t>
  </si>
  <si>
    <t>Date 
travaux</t>
  </si>
  <si>
    <t>Mois 
création</t>
  </si>
  <si>
    <t>Sous
-Total</t>
  </si>
  <si>
    <t>Date idéale</t>
  </si>
  <si>
    <t>N°. commande</t>
  </si>
  <si>
    <t>Etape cycle de vente actuelle</t>
  </si>
  <si>
    <t>Nettoyage et test hydrauliquevoûte VOD n°6</t>
  </si>
  <si>
    <t>Nettoyage et test hydraulique voûte VOD n°5</t>
  </si>
  <si>
    <t>Réparations de supports de poches</t>
  </si>
  <si>
    <t>Nettoyage et contrôles destructifs de la poche n°8</t>
  </si>
  <si>
    <t>Réparation voûte VOD n°5</t>
  </si>
  <si>
    <t>Hugues MARGUERITE</t>
  </si>
  <si>
    <t>APPEL 2035918</t>
  </si>
  <si>
    <t>OP010813</t>
  </si>
  <si>
    <t>Fournit &amp; install syst refroidissement sites du CERN</t>
  </si>
  <si>
    <t>MS-4204/</t>
  </si>
  <si>
    <t>OP010814</t>
  </si>
  <si>
    <t>Rénovation de la station de traitement de Beez</t>
  </si>
  <si>
    <t>Mr PERDAEN</t>
  </si>
  <si>
    <t>Atelier construction Herstal</t>
  </si>
  <si>
    <t>OP010815</t>
  </si>
  <si>
    <t>Modification et fourniture d'un palonnier</t>
  </si>
  <si>
    <t>OL/GR/PYD/NM/0627-39-D21P3</t>
  </si>
  <si>
    <t>OP010816</t>
  </si>
  <si>
    <t>Réalisation de cloison amovible</t>
  </si>
  <si>
    <t>OP010817</t>
  </si>
  <si>
    <t>Rplct compensateur château d'eau laminoir</t>
  </si>
  <si>
    <t>OP010818</t>
  </si>
  <si>
    <t>Rplct vanne 3 voies DN 65 PN 40 sur circuit huile</t>
  </si>
  <si>
    <t>OP010819</t>
  </si>
  <si>
    <t>Pose porte coupe feu et divers travaux.</t>
  </si>
  <si>
    <t>Michel LAUDELOUT</t>
  </si>
  <si>
    <t>OP010820</t>
  </si>
  <si>
    <t>Rplct chaudières &amp; réalis. collecteur de chauffage</t>
  </si>
  <si>
    <t>PROJET HÉLIPORT I : BRUXELLES</t>
  </si>
  <si>
    <t>Stéphane Bertrand</t>
  </si>
  <si>
    <t>SANIDEAL SPRL</t>
  </si>
  <si>
    <t>OP010821</t>
  </si>
  <si>
    <t>Fab &amp; placement barrière fischer 1</t>
  </si>
  <si>
    <t>RV 164251</t>
  </si>
  <si>
    <t>OP010822</t>
  </si>
  <si>
    <t>Fab. bac pour recevoir mitrailles des bennes</t>
  </si>
  <si>
    <t>RV164252</t>
  </si>
  <si>
    <t>Vincent D'HERT</t>
  </si>
  <si>
    <t>OP010823</t>
  </si>
  <si>
    <t>Fabrication d'un bac pour dépose chute de tôle</t>
  </si>
  <si>
    <t>RV 164245</t>
  </si>
  <si>
    <t>Marc DEPRAETERE</t>
  </si>
  <si>
    <t>OP010824</t>
  </si>
  <si>
    <t>Fabrication d'un ratelier à rives</t>
  </si>
  <si>
    <t>RV 164246</t>
  </si>
  <si>
    <t>OP010825</t>
  </si>
  <si>
    <t>Séparateur secondaire ballon T4</t>
  </si>
  <si>
    <t>OP010826</t>
  </si>
  <si>
    <t>Réalisation de 4 pickages DN50 sur cuve huile TV</t>
  </si>
  <si>
    <t>OP010827</t>
  </si>
  <si>
    <t>Fourn. &amp; pose barrières amovibles à FLoreffe</t>
  </si>
  <si>
    <t>OP010828</t>
  </si>
  <si>
    <t>RV 164253</t>
  </si>
  <si>
    <t>OP010829</t>
  </si>
  <si>
    <t>RV 164254</t>
  </si>
  <si>
    <t>Jacky SERPENTI</t>
  </si>
  <si>
    <t>OP010831</t>
  </si>
  <si>
    <t>Démontage ligne production</t>
  </si>
  <si>
    <t>OP010832</t>
  </si>
  <si>
    <t>Modification garde corps pont TAG</t>
  </si>
  <si>
    <t>Réalisation de 2 tuyauteries de décompression sur l’économiseur sur le site de EBL Amercoeur</t>
  </si>
  <si>
    <t>Sécurisation des chauffeurs Chimie.</t>
  </si>
  <si>
    <t>Fourniture et la pose de deux portes coupe-feu, la réception par un organisme agrée ainsi que divers travaux de démontage et remontage de bardage et le déplacement d’une porte.</t>
  </si>
  <si>
    <t xml:space="preserve">modification de l’installation de chauffage du bain de rinçage au TTS du F </t>
  </si>
  <si>
    <t>Contrat de maintenance « mécanique » des installations du traitement des eaux d’APERAM sur le site de Châtelet</t>
  </si>
  <si>
    <t xml:space="preserve">Prolongation d’une cleanroom chez Mosselman à Ghlin </t>
  </si>
  <si>
    <t>Modifications et les réparations de la voûte TN</t>
  </si>
  <si>
    <t>Date 
création</t>
  </si>
  <si>
    <t>KINGSPAN DOOR COMPONENTS SA</t>
  </si>
  <si>
    <t>Modification de la voûte TN</t>
  </si>
  <si>
    <t>AO N° 2035003</t>
  </si>
  <si>
    <t>réalisation note de calcul manip.unités rotatives</t>
  </si>
  <si>
    <t>COMMANDE 540129</t>
  </si>
  <si>
    <t>Nettoyage,test hydraulique anneau voûte VD n° 1</t>
  </si>
  <si>
    <t>GSK RX302 PROJECT</t>
  </si>
  <si>
    <t>Création passage sur le plancher du MEP</t>
  </si>
  <si>
    <t>Découpe et chargement de pièces hall pont 3</t>
  </si>
  <si>
    <t>OP010830</t>
  </si>
  <si>
    <t>Déplacement ligne L108</t>
  </si>
  <si>
    <t>Benoît COPPENS</t>
  </si>
  <si>
    <t>INTERWAFFLES - Lotus</t>
  </si>
  <si>
    <t>OP010833</t>
  </si>
  <si>
    <t>Réalisation tuyau. air &amp; eau bât. C &amp; D usine III</t>
  </si>
  <si>
    <t>MAIL DU 7/04/16</t>
  </si>
  <si>
    <t>OP010834</t>
  </si>
  <si>
    <t>Réparation refroidissement poutres oxycoupeuse CC</t>
  </si>
  <si>
    <t>OXYCOUPEUSE CC</t>
  </si>
  <si>
    <t>OP010835</t>
  </si>
  <si>
    <t>Répar. fuites circuit refroidissement moteur Twin</t>
  </si>
  <si>
    <t>OP010836</t>
  </si>
  <si>
    <t>Rplct portions tuyau. DN 250 côté four aciérie</t>
  </si>
  <si>
    <t>OP010837</t>
  </si>
  <si>
    <t>Lignes de vie C6+ et C6-zone C à  Feluy</t>
  </si>
  <si>
    <t>P15-XX-008-5.04</t>
  </si>
  <si>
    <t>JC DELCOURT</t>
  </si>
  <si>
    <t>TOTAL PETROCHEMICALS</t>
  </si>
  <si>
    <t>OP010838</t>
  </si>
  <si>
    <t>Travaux d'aménagements du local acide</t>
  </si>
  <si>
    <t>OP010839</t>
  </si>
  <si>
    <t>Fabrication Skid pour Buffer Tank</t>
  </si>
  <si>
    <t>OP010840</t>
  </si>
  <si>
    <t>Démontage &amp; manutention machines</t>
  </si>
  <si>
    <t>Philippe MIOTLA</t>
  </si>
  <si>
    <t>OP010841</t>
  </si>
  <si>
    <t>Rplct structure métal. STEP Wanfecée</t>
  </si>
  <si>
    <t>OL/DDA/PCO/SA/641 - PROJET38-S2500</t>
  </si>
  <si>
    <t>Pascal COLIN</t>
  </si>
  <si>
    <t>OP010842</t>
  </si>
  <si>
    <t>Réparation fuite tuyau inox station Aiseau</t>
  </si>
  <si>
    <t>OL/GR/PYD/SA/677-DOSSIER 38-S01P8</t>
  </si>
  <si>
    <t>OP010843</t>
  </si>
  <si>
    <t>Amélioration sécurité DDR : passerelle,...</t>
  </si>
  <si>
    <t>RV 164256</t>
  </si>
  <si>
    <t>OP010844</t>
  </si>
  <si>
    <t>Prestations montage de four en DC à Nivelles</t>
  </si>
  <si>
    <t>Marc BALTUS</t>
  </si>
  <si>
    <t>ACEMAL</t>
  </si>
  <si>
    <t>OP010845</t>
  </si>
  <si>
    <t>Fourniture d'un accouplement suivant plan</t>
  </si>
  <si>
    <t>RV 164258</t>
  </si>
  <si>
    <t>OP010846</t>
  </si>
  <si>
    <t>Dédoublement tuyau&amp; refoulement émulsion vers cuve</t>
  </si>
  <si>
    <t>OP010847</t>
  </si>
  <si>
    <t>Rplct dégrilleurs Dewekon à Gué Gobeau</t>
  </si>
  <si>
    <t>OL/GR/PYD/SA/679-39-D21P5</t>
  </si>
  <si>
    <t>OP010848</t>
  </si>
  <si>
    <t>Fourn &amp; placement garde-corps ponts roulants</t>
  </si>
  <si>
    <t>RV 164257</t>
  </si>
  <si>
    <t>OP010849</t>
  </si>
  <si>
    <t>Prestations en DC - Site MARCINELLE ENERGIE</t>
  </si>
  <si>
    <t>716182 - MAIL DU 18/04</t>
  </si>
  <si>
    <t>Silvia MELONI parle FR</t>
  </si>
  <si>
    <t>MELONI TECNO-HANDLING S.R.L</t>
  </si>
  <si>
    <t>OP010850</t>
  </si>
  <si>
    <t>Dépannage portique de chargement</t>
  </si>
  <si>
    <t>OP010853</t>
  </si>
  <si>
    <t>Install. tuyau. distribution soude et acide</t>
  </si>
  <si>
    <t>MM\156205</t>
  </si>
  <si>
    <t>OP010854</t>
  </si>
  <si>
    <t>Modifications divers et améliorations</t>
  </si>
  <si>
    <t>Mr DENEYER</t>
  </si>
  <si>
    <t>OP010855</t>
  </si>
  <si>
    <t>Prestation en dc arrêt de juin du +- du 15 au 30</t>
  </si>
  <si>
    <t>OP010856</t>
  </si>
  <si>
    <t>évacuation et recyclage pièces chaudière</t>
  </si>
  <si>
    <t>OP010857</t>
  </si>
  <si>
    <t>Four.&amp; placement portiques de signalisations</t>
  </si>
  <si>
    <t>OP010858</t>
  </si>
  <si>
    <t>fourniture et montage d un portique de chargement</t>
  </si>
  <si>
    <t>N°. cde</t>
  </si>
  <si>
    <t>Date de
 validité</t>
  </si>
  <si>
    <t>N°. CDE</t>
  </si>
  <si>
    <t>Etape</t>
  </si>
  <si>
    <t xml:space="preserve">Valeur 
estimée </t>
  </si>
  <si>
    <t xml:space="preserve"> 
vendeur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</si>
</sst>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10"/>
      <name val="Arial"/>
      <family val="2"/>
    </font>
    <font>
      <sz val="10"/>
      <name val="Comic Sans MS"/>
      <family val="4"/>
    </font>
    <font>
      <b/>
      <u/>
      <sz val="12"/>
      <name val="Comic Sans MS"/>
      <family val="4"/>
    </font>
    <font>
      <sz val="12"/>
      <name val="Comic Sans MS"/>
      <family val="4"/>
    </font>
    <font>
      <b/>
      <sz val="10"/>
      <name val="Comic Sans MS"/>
      <family val="4"/>
    </font>
    <font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hair">
        <color indexed="64"/>
      </bottom>
      <diagonal/>
    </border>
    <border>
      <left style="thick">
        <color auto="1"/>
      </left>
      <right style="thick">
        <color auto="1"/>
      </right>
      <top style="hair">
        <color indexed="64"/>
      </top>
      <bottom style="hair">
        <color indexed="64"/>
      </bottom>
      <diagonal/>
    </border>
    <border>
      <left style="thick">
        <color auto="1"/>
      </left>
      <right style="thick">
        <color auto="1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thick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auto="1"/>
      </bottom>
      <diagonal/>
    </border>
    <border>
      <left style="hair">
        <color indexed="64"/>
      </left>
      <right/>
      <top style="hair">
        <color indexed="64"/>
      </top>
      <bottom style="thick">
        <color auto="1"/>
      </bottom>
      <diagonal/>
    </border>
    <border>
      <left/>
      <right style="hair">
        <color indexed="64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thick">
        <color indexed="64"/>
      </bottom>
      <diagonal/>
    </border>
    <border>
      <left style="mediumDashDot">
        <color indexed="64"/>
      </left>
      <right style="mediumDashDot">
        <color indexed="64"/>
      </right>
      <top style="thick">
        <color indexed="64"/>
      </top>
      <bottom style="thick">
        <color auto="1"/>
      </bottom>
      <diagonal/>
    </border>
    <border>
      <left style="mediumDashDot">
        <color indexed="64"/>
      </left>
      <right style="mediumDashDot">
        <color indexed="64"/>
      </right>
      <top style="thick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 style="thick">
        <color auto="1"/>
      </bottom>
      <diagonal/>
    </border>
    <border>
      <left style="mediumDashDot">
        <color indexed="64"/>
      </left>
      <right style="mediumDashDot">
        <color indexed="64"/>
      </right>
      <top/>
      <bottom style="hair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hair">
        <color indexed="64"/>
      </bottom>
      <diagonal/>
    </border>
    <border>
      <left/>
      <right style="mediumDashDot">
        <color indexed="64"/>
      </right>
      <top style="thick">
        <color indexed="64"/>
      </top>
      <bottom style="hair">
        <color indexed="64"/>
      </bottom>
      <diagonal/>
    </border>
    <border>
      <left style="mediumDashDot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3" fillId="0" borderId="0"/>
    <xf numFmtId="0" fontId="8" fillId="0" borderId="0"/>
    <xf numFmtId="9" fontId="8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2" fillId="0" borderId="3" xfId="0" applyNumberFormat="1" applyFont="1" applyBorder="1" applyAlignment="1">
      <alignment horizontal="center" vertical="top" wrapText="1"/>
    </xf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0" xfId="0"/>
    <xf numFmtId="0" fontId="6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4" fillId="0" borderId="0" xfId="1" applyFont="1" applyBorder="1" applyAlignment="1">
      <alignment vertical="center"/>
    </xf>
    <xf numFmtId="0" fontId="4" fillId="0" borderId="0" xfId="1" applyNumberFormat="1" applyFont="1" applyAlignment="1">
      <alignment vertical="center"/>
    </xf>
    <xf numFmtId="0" fontId="7" fillId="0" borderId="0" xfId="1" applyFont="1" applyAlignment="1">
      <alignment vertical="center"/>
    </xf>
    <xf numFmtId="0" fontId="7" fillId="0" borderId="0" xfId="1" applyFont="1" applyAlignment="1">
      <alignment horizontal="right" vertical="center"/>
    </xf>
    <xf numFmtId="0" fontId="4" fillId="0" borderId="0" xfId="1" applyNumberFormat="1" applyFont="1" applyFill="1" applyBorder="1" applyAlignment="1">
      <alignment horizontal="center" vertical="center"/>
    </xf>
    <xf numFmtId="49" fontId="7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7" fillId="0" borderId="3" xfId="1" applyFont="1" applyBorder="1" applyAlignment="1">
      <alignment horizontal="center" vertical="center"/>
    </xf>
    <xf numFmtId="0" fontId="7" fillId="0" borderId="5" xfId="1" applyFont="1" applyBorder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4" fillId="0" borderId="6" xfId="1" applyNumberFormat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>
      <alignment vertical="center"/>
    </xf>
    <xf numFmtId="0" fontId="4" fillId="0" borderId="0" xfId="1" applyNumberFormat="1" applyFont="1" applyBorder="1" applyAlignment="1">
      <alignment vertical="center"/>
    </xf>
    <xf numFmtId="0" fontId="7" fillId="0" borderId="0" xfId="6" applyNumberFormat="1" applyFont="1" applyAlignment="1">
      <alignment horizontal="center" vertical="center"/>
    </xf>
    <xf numFmtId="0" fontId="4" fillId="0" borderId="7" xfId="1" applyNumberFormat="1" applyFont="1" applyFill="1" applyBorder="1" applyAlignment="1">
      <alignment horizontal="center" vertical="center"/>
    </xf>
    <xf numFmtId="0" fontId="4" fillId="0" borderId="8" xfId="1" quotePrefix="1" applyNumberFormat="1" applyFont="1" applyFill="1" applyBorder="1" applyAlignment="1">
      <alignment horizontal="center" vertical="center"/>
    </xf>
    <xf numFmtId="0" fontId="7" fillId="0" borderId="9" xfId="1" applyNumberFormat="1" applyFont="1" applyFill="1" applyBorder="1" applyAlignment="1">
      <alignment horizontal="center" vertical="center"/>
    </xf>
    <xf numFmtId="0" fontId="7" fillId="0" borderId="10" xfId="1" applyNumberFormat="1" applyFont="1" applyFill="1" applyBorder="1" applyAlignment="1">
      <alignment horizontal="center" vertical="center"/>
    </xf>
    <xf numFmtId="0" fontId="7" fillId="0" borderId="10" xfId="1" quotePrefix="1" applyNumberFormat="1" applyFont="1" applyFill="1" applyBorder="1" applyAlignment="1">
      <alignment horizontal="center" vertical="center"/>
    </xf>
    <xf numFmtId="0" fontId="7" fillId="0" borderId="9" xfId="6" applyNumberFormat="1" applyFont="1" applyFill="1" applyBorder="1" applyAlignment="1">
      <alignment horizontal="center" vertical="center"/>
    </xf>
    <xf numFmtId="0" fontId="7" fillId="0" borderId="9" xfId="6" applyNumberFormat="1" applyFont="1" applyBorder="1" applyAlignment="1">
      <alignment horizontal="center" vertical="center"/>
    </xf>
    <xf numFmtId="0" fontId="7" fillId="0" borderId="10" xfId="6" applyNumberFormat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10" xfId="6" applyNumberFormat="1" applyFont="1" applyFill="1" applyBorder="1" applyAlignment="1">
      <alignment horizontal="center" vertical="center"/>
    </xf>
    <xf numFmtId="9" fontId="4" fillId="0" borderId="11" xfId="1" applyNumberFormat="1" applyFont="1" applyFill="1" applyBorder="1" applyAlignment="1">
      <alignment horizontal="center" vertical="center"/>
    </xf>
    <xf numFmtId="9" fontId="7" fillId="0" borderId="12" xfId="6" applyFont="1" applyBorder="1" applyAlignment="1">
      <alignment horizontal="center" vertical="center"/>
    </xf>
    <xf numFmtId="0" fontId="4" fillId="0" borderId="0" xfId="1" applyNumberFormat="1" applyFont="1" applyFill="1" applyAlignment="1">
      <alignment vertical="center"/>
    </xf>
    <xf numFmtId="9" fontId="4" fillId="0" borderId="0" xfId="6" applyFont="1" applyAlignment="1">
      <alignment vertical="center"/>
    </xf>
    <xf numFmtId="0" fontId="0" fillId="0" borderId="0" xfId="0" applyAlignment="1">
      <alignment horizontal="center"/>
    </xf>
    <xf numFmtId="9" fontId="4" fillId="0" borderId="11" xfId="3" applyFont="1" applyFill="1" applyBorder="1" applyAlignment="1">
      <alignment horizontal="center" vertical="center"/>
    </xf>
    <xf numFmtId="0" fontId="0" fillId="0" borderId="0" xfId="0" applyAlignment="1">
      <alignment wrapText="1"/>
    </xf>
    <xf numFmtId="9" fontId="7" fillId="0" borderId="11" xfId="1" applyNumberFormat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9" fontId="7" fillId="0" borderId="5" xfId="3" applyFont="1" applyBorder="1" applyAlignment="1">
      <alignment horizontal="center" vertical="center"/>
    </xf>
    <xf numFmtId="0" fontId="7" fillId="0" borderId="13" xfId="1" applyFont="1" applyBorder="1" applyAlignment="1">
      <alignment horizontal="center" vertical="center"/>
    </xf>
    <xf numFmtId="49" fontId="7" fillId="0" borderId="1" xfId="1" applyNumberFormat="1" applyFont="1" applyBorder="1" applyAlignment="1">
      <alignment horizontal="center" vertical="center" wrapText="1"/>
    </xf>
    <xf numFmtId="0" fontId="0" fillId="0" borderId="0" xfId="0"/>
    <xf numFmtId="0" fontId="5" fillId="0" borderId="0" xfId="1" applyFont="1" applyBorder="1" applyAlignment="1">
      <alignment vertical="top"/>
    </xf>
    <xf numFmtId="9" fontId="7" fillId="0" borderId="3" xfId="3" applyFont="1" applyBorder="1" applyAlignment="1">
      <alignment horizontal="center" vertical="center"/>
    </xf>
    <xf numFmtId="0" fontId="0" fillId="0" borderId="15" xfId="0" applyFill="1" applyBorder="1"/>
    <xf numFmtId="0" fontId="7" fillId="0" borderId="13" xfId="1" applyFont="1" applyFill="1" applyBorder="1" applyAlignment="1">
      <alignment horizontal="center" vertical="center"/>
    </xf>
    <xf numFmtId="0" fontId="7" fillId="0" borderId="8" xfId="1" quotePrefix="1" applyNumberFormat="1" applyFont="1" applyFill="1" applyBorder="1" applyAlignment="1">
      <alignment horizontal="center" vertical="center"/>
    </xf>
    <xf numFmtId="0" fontId="10" fillId="0" borderId="0" xfId="0" applyFont="1"/>
    <xf numFmtId="0" fontId="11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19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9" xfId="0" applyBorder="1" applyAlignment="1">
      <alignment horizontal="center"/>
    </xf>
    <xf numFmtId="0" fontId="9" fillId="0" borderId="30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2" xfId="0" applyBorder="1" applyAlignment="1">
      <alignment horizontal="center"/>
    </xf>
    <xf numFmtId="0" fontId="9" fillId="0" borderId="37" xfId="0" applyFont="1" applyBorder="1" applyAlignment="1">
      <alignment vertical="center"/>
    </xf>
    <xf numFmtId="0" fontId="9" fillId="0" borderId="38" xfId="0" applyFont="1" applyBorder="1" applyAlignment="1">
      <alignment vertical="center"/>
    </xf>
    <xf numFmtId="0" fontId="9" fillId="0" borderId="39" xfId="0" applyFont="1" applyBorder="1" applyAlignment="1">
      <alignment vertical="center"/>
    </xf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2" fillId="2" borderId="2" xfId="0" applyFont="1" applyFill="1" applyBorder="1" applyAlignment="1">
      <alignment horizontal="center" vertical="center" wrapText="1"/>
    </xf>
    <xf numFmtId="14" fontId="12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12" fillId="2" borderId="40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5" fillId="0" borderId="0" xfId="1" applyFont="1" applyBorder="1" applyAlignment="1">
      <alignment horizontal="center" vertical="top"/>
    </xf>
    <xf numFmtId="0" fontId="9" fillId="0" borderId="33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7" fillId="0" borderId="9" xfId="1" applyFont="1" applyBorder="1" applyAlignment="1">
      <alignment horizontal="center" vertical="center" wrapText="1"/>
    </xf>
    <xf numFmtId="0" fontId="7" fillId="0" borderId="10" xfId="1" applyFont="1" applyBorder="1" applyAlignment="1">
      <alignment horizontal="center" vertical="center" wrapText="1"/>
    </xf>
    <xf numFmtId="0" fontId="7" fillId="0" borderId="16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13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7">
    <cellStyle name="Normal" xfId="0" builtinId="0"/>
    <cellStyle name="Normal 2" xfId="1"/>
    <cellStyle name="Normal 43" xfId="2"/>
    <cellStyle name="Pourcentage" xfId="3" builtinId="5"/>
    <cellStyle name="Pourcentage 2" xfId="4"/>
    <cellStyle name="Pourcentage 3" xfId="5"/>
    <cellStyle name="Pourcentage 4" xfId="6"/>
  </cellStyles>
  <dxfs count="7">
    <dxf>
      <fill>
        <patternFill patternType="darkUp">
          <fgColor rgb="FFFF0000"/>
        </patternFill>
      </fill>
    </dxf>
    <dxf>
      <fill>
        <patternFill patternType="darkUp">
          <fgColor rgb="FFFF0000"/>
        </patternFill>
      </fill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Statut des OP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'Statut offre'!$B$4:$C$4</c:f>
              <c:strCache>
                <c:ptCount val="1"/>
                <c:pt idx="0">
                  <c:v>BUEN-OEM</c:v>
                </c:pt>
              </c:strCache>
            </c:strRef>
          </c:tx>
          <c:invertIfNegative val="0"/>
          <c:val>
            <c:numRef>
              <c:f>'Statut offre'!$D$6:$D$12</c:f>
              <c:numCache>
                <c:formatCode>General</c:formatCode>
                <c:ptCount val="7"/>
                <c:pt idx="0">
                  <c:v>23</c:v>
                </c:pt>
                <c:pt idx="1">
                  <c:v>14</c:v>
                </c:pt>
                <c:pt idx="2">
                  <c:v>36</c:v>
                </c:pt>
                <c:pt idx="3">
                  <c:v>24</c:v>
                </c:pt>
                <c:pt idx="4">
                  <c:v>5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</c:ser>
        <c:ser>
          <c:idx val="2"/>
          <c:order val="1"/>
          <c:tx>
            <c:strRef>
              <c:f>'Statut offre'!$E$4:$F$4</c:f>
              <c:strCache>
                <c:ptCount val="1"/>
                <c:pt idx="0">
                  <c:v>BUNUC</c:v>
                </c:pt>
              </c:strCache>
            </c:strRef>
          </c:tx>
          <c:invertIfNegative val="0"/>
          <c:val>
            <c:numRef>
              <c:f>'Statut offre'!$G$6:$G$12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6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'Statut offre'!$H$4:$I$4</c:f>
              <c:strCache>
                <c:ptCount val="1"/>
                <c:pt idx="0">
                  <c:v>BUPH-CH-AL</c:v>
                </c:pt>
              </c:strCache>
            </c:strRef>
          </c:tx>
          <c:invertIfNegative val="0"/>
          <c:val>
            <c:numRef>
              <c:f>'Statut offre'!$J$6:$J$12</c:f>
              <c:numCache>
                <c:formatCode>General</c:formatCode>
                <c:ptCount val="7"/>
                <c:pt idx="0">
                  <c:v>4</c:v>
                </c:pt>
                <c:pt idx="1">
                  <c:v>1</c:v>
                </c:pt>
                <c:pt idx="2">
                  <c:v>27</c:v>
                </c:pt>
                <c:pt idx="3">
                  <c:v>11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</c:numCache>
            </c:numRef>
          </c:val>
        </c:ser>
        <c:ser>
          <c:idx val="4"/>
          <c:order val="3"/>
          <c:tx>
            <c:strRef>
              <c:f>'Statut offre'!$K$4:$L$4</c:f>
              <c:strCache>
                <c:ptCount val="1"/>
                <c:pt idx="0">
                  <c:v>BUSID-IL</c:v>
                </c:pt>
              </c:strCache>
            </c:strRef>
          </c:tx>
          <c:invertIfNegative val="0"/>
          <c:val>
            <c:numRef>
              <c:f>'Statut offre'!$M$6:$M$12</c:f>
              <c:numCache>
                <c:formatCode>General</c:formatCode>
                <c:ptCount val="7"/>
                <c:pt idx="0">
                  <c:v>26</c:v>
                </c:pt>
                <c:pt idx="1">
                  <c:v>1</c:v>
                </c:pt>
                <c:pt idx="2">
                  <c:v>61</c:v>
                </c:pt>
                <c:pt idx="3">
                  <c:v>67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'Statut offre'!$N$4:$O$4</c:f>
              <c:strCache>
                <c:ptCount val="1"/>
                <c:pt idx="0">
                  <c:v>BUDIVERS</c:v>
                </c:pt>
              </c:strCache>
            </c:strRef>
          </c:tx>
          <c:invertIfNegative val="0"/>
          <c:val>
            <c:numRef>
              <c:f>'Statut offre'!$P$6:$P$12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4861312"/>
        <c:axId val="234862848"/>
      </c:barChart>
      <c:catAx>
        <c:axId val="234861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34862848"/>
        <c:crosses val="autoZero"/>
        <c:auto val="1"/>
        <c:lblAlgn val="ctr"/>
        <c:lblOffset val="100"/>
        <c:noMultiLvlLbl val="0"/>
      </c:catAx>
      <c:valAx>
        <c:axId val="2348628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48613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Statut des OP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'Statut offre'!$A$6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offre'!$D$6,'Statut offre'!$G$6,'Statut offre'!$J$6,'Statut offre'!$M$6,'Statut offre'!$P$6)</c:f>
              <c:numCache>
                <c:formatCode>General</c:formatCode>
                <c:ptCount val="5"/>
                <c:pt idx="0">
                  <c:v>23</c:v>
                </c:pt>
                <c:pt idx="1">
                  <c:v>1</c:v>
                </c:pt>
                <c:pt idx="2">
                  <c:v>4</c:v>
                </c:pt>
                <c:pt idx="3">
                  <c:v>26</c:v>
                </c:pt>
                <c:pt idx="4">
                  <c:v>0</c:v>
                </c:pt>
              </c:numCache>
            </c:numRef>
          </c:val>
        </c:ser>
        <c:ser>
          <c:idx val="2"/>
          <c:order val="1"/>
          <c:tx>
            <c:strRef>
              <c:f>'Statut offre'!$A$7</c:f>
              <c:strCache>
                <c:ptCount val="1"/>
                <c:pt idx="0">
                  <c:v>2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offre'!$D$7,'Statut offre'!$G$7,'Statut offre'!$J$7,'Statut offre'!$M$7,'Statut offre'!$P$7)</c:f>
              <c:numCache>
                <c:formatCode>General</c:formatCode>
                <c:ptCount val="5"/>
                <c:pt idx="0">
                  <c:v>14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</c:ser>
        <c:ser>
          <c:idx val="3"/>
          <c:order val="2"/>
          <c:tx>
            <c:strRef>
              <c:f>'Statut offre'!$A$8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offre'!$D$8,'Statut offre'!$G$8,'Statut offre'!$J$8,'Statut offre'!$M$8,'Statut offre'!$P$8)</c:f>
              <c:numCache>
                <c:formatCode>General</c:formatCode>
                <c:ptCount val="5"/>
                <c:pt idx="0">
                  <c:v>36</c:v>
                </c:pt>
                <c:pt idx="1">
                  <c:v>3</c:v>
                </c:pt>
                <c:pt idx="2">
                  <c:v>27</c:v>
                </c:pt>
                <c:pt idx="3">
                  <c:v>61</c:v>
                </c:pt>
                <c:pt idx="4">
                  <c:v>1</c:v>
                </c:pt>
              </c:numCache>
            </c:numRef>
          </c:val>
        </c:ser>
        <c:ser>
          <c:idx val="4"/>
          <c:order val="3"/>
          <c:tx>
            <c:strRef>
              <c:f>'Statut offre'!$A$9</c:f>
              <c:strCache>
                <c:ptCount val="1"/>
                <c:pt idx="0">
                  <c:v>4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offre'!$D$9,'Statut offre'!$G$9,'Statut offre'!$J$9,'Statut offre'!$M$9,'Statut offre'!$P$9)</c:f>
              <c:numCache>
                <c:formatCode>General</c:formatCode>
                <c:ptCount val="5"/>
                <c:pt idx="0">
                  <c:v>24</c:v>
                </c:pt>
                <c:pt idx="1">
                  <c:v>6</c:v>
                </c:pt>
                <c:pt idx="2">
                  <c:v>11</c:v>
                </c:pt>
                <c:pt idx="3">
                  <c:v>67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'Statut offre'!$A$10</c:f>
              <c:strCache>
                <c:ptCount val="1"/>
                <c:pt idx="0">
                  <c:v>5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offre'!$D$10,'Statut offre'!$G$10,'Statut offre'!$J$10,'Statut offre'!$M$10,'Statut offre'!$P$10)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0</c:v>
                </c:pt>
                <c:pt idx="3">
                  <c:v>6</c:v>
                </c:pt>
                <c:pt idx="4">
                  <c:v>0</c:v>
                </c:pt>
              </c:numCache>
            </c:numRef>
          </c:val>
        </c:ser>
        <c:ser>
          <c:idx val="0"/>
          <c:order val="5"/>
          <c:tx>
            <c:strRef>
              <c:f>'Statut offre'!$A$11</c:f>
              <c:strCache>
                <c:ptCount val="1"/>
                <c:pt idx="0">
                  <c:v>6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offre'!$D$11,'Statut offre'!$G$11,'Statut offre'!$J$11,'Statut offre'!$M$11,'Statut offre'!$P$11)</c:f>
              <c:numCache>
                <c:formatCode>General</c:formatCode>
                <c:ptCount val="5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6"/>
          <c:tx>
            <c:strRef>
              <c:f>'Statut offre'!$A$12</c:f>
              <c:strCache>
                <c:ptCount val="1"/>
                <c:pt idx="0">
                  <c:v>7</c:v>
                </c:pt>
              </c:strCache>
            </c:strRef>
          </c:tx>
          <c:invertIfNegative val="0"/>
          <c:cat>
            <c:strRef>
              <c:f>('Statut offre'!$B$4,'Statut offre'!$E$4,'Statut offre'!$H$4,'Statut offre'!$K$4,'Statut offre'!$N$4)</c:f>
              <c:strCache>
                <c:ptCount val="5"/>
                <c:pt idx="0">
                  <c:v>BUEN-OEM</c:v>
                </c:pt>
                <c:pt idx="1">
                  <c:v>BUNUC</c:v>
                </c:pt>
                <c:pt idx="2">
                  <c:v>BUPH-CH-AL</c:v>
                </c:pt>
                <c:pt idx="3">
                  <c:v>BUSID-IL</c:v>
                </c:pt>
                <c:pt idx="4">
                  <c:v>BUDIVERS</c:v>
                </c:pt>
              </c:strCache>
            </c:strRef>
          </c:cat>
          <c:val>
            <c:numRef>
              <c:f>('Statut offre'!$D$12,'Statut offre'!$G$12,'Statut offre'!$J$12,'Statut offre'!$M$12,'Statut offre'!$P$12)</c:f>
              <c:numCache>
                <c:formatCode>General</c:formatCode>
                <c:ptCount val="5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6461952"/>
        <c:axId val="206476032"/>
      </c:barChart>
      <c:catAx>
        <c:axId val="206461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6476032"/>
        <c:crosses val="autoZero"/>
        <c:auto val="1"/>
        <c:lblAlgn val="ctr"/>
        <c:lblOffset val="100"/>
        <c:noMultiLvlLbl val="0"/>
      </c:catAx>
      <c:valAx>
        <c:axId val="206476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461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15</xdr:row>
      <xdr:rowOff>133349</xdr:rowOff>
    </xdr:from>
    <xdr:to>
      <xdr:col>12</xdr:col>
      <xdr:colOff>152401</xdr:colOff>
      <xdr:row>31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76200</xdr:colOff>
      <xdr:row>14</xdr:row>
      <xdr:rowOff>142875</xdr:rowOff>
    </xdr:from>
    <xdr:to>
      <xdr:col>24</xdr:col>
      <xdr:colOff>47626</xdr:colOff>
      <xdr:row>35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28"/>
  <sheetViews>
    <sheetView zoomScaleNormal="100" workbookViewId="0">
      <pane ySplit="1" topLeftCell="A302" activePane="bottomLeft" state="frozen"/>
      <selection pane="bottomLeft" activeCell="AD329" sqref="AD329"/>
    </sheetView>
  </sheetViews>
  <sheetFormatPr baseColWidth="10" defaultRowHeight="15" x14ac:dyDescent="0.25"/>
  <cols>
    <col min="1" max="1" width="11.42578125" style="91"/>
    <col min="2" max="2" width="8.7109375" style="91" customWidth="1"/>
    <col min="3" max="3" width="7.140625" style="91" bestFit="1" customWidth="1"/>
    <col min="4" max="4" width="0" style="91" hidden="1" customWidth="1"/>
    <col min="5" max="5" width="11.42578125" style="91"/>
    <col min="6" max="6" width="8.5703125" style="91" customWidth="1"/>
    <col min="7" max="7" width="0" style="91" hidden="1" customWidth="1"/>
    <col min="8" max="11" width="11.42578125" style="91"/>
    <col min="12" max="12" width="8.28515625" style="91" customWidth="1"/>
    <col min="13" max="13" width="5.7109375" style="91" hidden="1" customWidth="1"/>
    <col min="14" max="14" width="8" style="91" hidden="1" customWidth="1"/>
    <col min="15" max="15" width="5.140625" style="91" hidden="1" customWidth="1"/>
    <col min="16" max="16" width="6" style="91" hidden="1" customWidth="1"/>
    <col min="17" max="17" width="19.85546875" style="91" hidden="1" customWidth="1"/>
    <col min="18" max="18" width="18.140625" style="91" hidden="1" customWidth="1"/>
    <col min="19" max="19" width="0" style="91" hidden="1" customWidth="1"/>
    <col min="20" max="20" width="12.5703125" style="91" customWidth="1"/>
    <col min="21" max="21" width="0" style="91" hidden="1" customWidth="1"/>
    <col min="22" max="23" width="11.42578125" style="91"/>
    <col min="24" max="25" width="0" style="91" hidden="1" customWidth="1"/>
    <col min="26" max="26" width="32.42578125" style="91" bestFit="1" customWidth="1"/>
    <col min="27" max="29" width="10.28515625" style="91" hidden="1" customWidth="1"/>
    <col min="30" max="30" width="8.140625" style="50" bestFit="1" customWidth="1"/>
    <col min="31" max="31" width="10.5703125" bestFit="1" customWidth="1"/>
  </cols>
  <sheetData>
    <row r="1" spans="1:31" ht="31.5" x14ac:dyDescent="0.25">
      <c r="A1" s="91" t="s">
        <v>0</v>
      </c>
      <c r="B1" s="91" t="s">
        <v>1205</v>
      </c>
      <c r="C1" s="52" t="s">
        <v>904</v>
      </c>
      <c r="D1" s="91" t="s">
        <v>1</v>
      </c>
      <c r="E1" s="91" t="s">
        <v>905</v>
      </c>
      <c r="F1" s="52" t="s">
        <v>906</v>
      </c>
      <c r="G1" s="91" t="s">
        <v>4</v>
      </c>
      <c r="H1" s="52" t="s">
        <v>1123</v>
      </c>
      <c r="I1" s="52" t="s">
        <v>1206</v>
      </c>
      <c r="J1" s="52" t="s">
        <v>1049</v>
      </c>
      <c r="K1" s="52" t="s">
        <v>1050</v>
      </c>
      <c r="L1" s="91" t="s">
        <v>9</v>
      </c>
      <c r="M1" s="91" t="s">
        <v>10</v>
      </c>
      <c r="N1" s="91" t="s">
        <v>11</v>
      </c>
      <c r="O1" s="91" t="s">
        <v>12</v>
      </c>
      <c r="P1" s="91" t="s">
        <v>13</v>
      </c>
      <c r="Q1" s="91" t="s">
        <v>14</v>
      </c>
      <c r="R1" s="91" t="s">
        <v>15</v>
      </c>
      <c r="S1" s="91" t="s">
        <v>16</v>
      </c>
      <c r="T1" s="91" t="s">
        <v>17</v>
      </c>
      <c r="U1" s="91" t="s">
        <v>18</v>
      </c>
      <c r="V1" s="91" t="s">
        <v>19</v>
      </c>
      <c r="W1" s="91" t="s">
        <v>20</v>
      </c>
      <c r="X1" s="91" t="s">
        <v>21</v>
      </c>
      <c r="Y1" s="91" t="s">
        <v>22</v>
      </c>
      <c r="Z1" s="91" t="s">
        <v>23</v>
      </c>
      <c r="AA1" s="91" t="s">
        <v>24</v>
      </c>
      <c r="AB1" s="91" t="s">
        <v>25</v>
      </c>
      <c r="AC1" s="91" t="s">
        <v>26</v>
      </c>
      <c r="AD1" s="65" t="s">
        <v>908</v>
      </c>
      <c r="AE1" s="66" t="s">
        <v>1051</v>
      </c>
    </row>
    <row r="2" spans="1:31" x14ac:dyDescent="0.25">
      <c r="A2" s="91" t="s">
        <v>27</v>
      </c>
      <c r="B2" s="91">
        <v>160268</v>
      </c>
      <c r="C2" s="91">
        <v>4</v>
      </c>
      <c r="D2" s="91" t="s">
        <v>28</v>
      </c>
      <c r="E2" s="91" t="s">
        <v>29</v>
      </c>
      <c r="F2" s="91" t="s">
        <v>30</v>
      </c>
      <c r="G2" s="3">
        <v>2900</v>
      </c>
      <c r="H2" s="2">
        <v>42374</v>
      </c>
      <c r="I2" s="2">
        <v>42374</v>
      </c>
      <c r="J2" s="2">
        <v>42374</v>
      </c>
      <c r="K2" s="2">
        <v>42384</v>
      </c>
      <c r="L2" s="91" t="s">
        <v>31</v>
      </c>
      <c r="M2" s="91">
        <v>50</v>
      </c>
      <c r="N2" s="91">
        <v>160268</v>
      </c>
      <c r="P2" s="91">
        <v>0</v>
      </c>
      <c r="Q2" s="91">
        <v>20</v>
      </c>
      <c r="R2" s="3">
        <v>2903.38</v>
      </c>
      <c r="S2" s="91">
        <v>20</v>
      </c>
      <c r="T2" s="3">
        <v>2900</v>
      </c>
      <c r="U2" s="91">
        <v>0</v>
      </c>
      <c r="V2" s="2"/>
      <c r="W2" s="2"/>
      <c r="X2" s="91" t="s">
        <v>32</v>
      </c>
      <c r="Y2" s="91" t="s">
        <v>33</v>
      </c>
      <c r="Z2" s="91" t="s">
        <v>34</v>
      </c>
      <c r="AA2" s="91" t="s">
        <v>35</v>
      </c>
      <c r="AD2" s="50" t="s">
        <v>909</v>
      </c>
      <c r="AE2" s="50">
        <f>MONTH(H2)</f>
        <v>1</v>
      </c>
    </row>
    <row r="3" spans="1:31" x14ac:dyDescent="0.25">
      <c r="A3" s="91" t="s">
        <v>36</v>
      </c>
      <c r="B3" s="91">
        <v>164202</v>
      </c>
      <c r="C3" s="91">
        <v>4</v>
      </c>
      <c r="D3" s="91" t="s">
        <v>37</v>
      </c>
      <c r="E3" s="91" t="s">
        <v>29</v>
      </c>
      <c r="F3" s="91" t="s">
        <v>38</v>
      </c>
      <c r="G3" s="3">
        <v>1550</v>
      </c>
      <c r="H3" s="2">
        <v>42374</v>
      </c>
      <c r="J3" s="2">
        <v>42368</v>
      </c>
      <c r="L3" s="91" t="s">
        <v>31</v>
      </c>
      <c r="M3" s="91">
        <v>50</v>
      </c>
      <c r="N3" s="91">
        <v>164202</v>
      </c>
      <c r="P3" s="91">
        <v>0</v>
      </c>
      <c r="Q3" s="91">
        <v>30</v>
      </c>
      <c r="R3" s="3">
        <v>1550.29</v>
      </c>
      <c r="S3" s="91">
        <v>30</v>
      </c>
      <c r="T3" s="3">
        <v>1550</v>
      </c>
      <c r="U3" s="91">
        <v>30</v>
      </c>
      <c r="V3" s="2">
        <v>42452</v>
      </c>
      <c r="W3" s="2">
        <v>42454</v>
      </c>
      <c r="X3" s="91" t="s">
        <v>39</v>
      </c>
      <c r="Y3" s="91" t="s">
        <v>40</v>
      </c>
      <c r="Z3" s="91" t="s">
        <v>34</v>
      </c>
      <c r="AA3" s="91" t="s">
        <v>35</v>
      </c>
      <c r="AD3" s="95" t="s">
        <v>909</v>
      </c>
      <c r="AE3" s="95">
        <f t="shared" ref="AE3:AE66" si="0">MONTH(H3)</f>
        <v>1</v>
      </c>
    </row>
    <row r="4" spans="1:31" x14ac:dyDescent="0.25">
      <c r="A4" s="91" t="s">
        <v>41</v>
      </c>
      <c r="B4" s="91">
        <v>164204</v>
      </c>
      <c r="C4" s="91">
        <v>4</v>
      </c>
      <c r="D4" s="91" t="s">
        <v>42</v>
      </c>
      <c r="E4" s="91" t="s">
        <v>29</v>
      </c>
      <c r="F4" s="91" t="s">
        <v>38</v>
      </c>
      <c r="G4" s="3">
        <v>14356</v>
      </c>
      <c r="H4" s="2">
        <v>42374</v>
      </c>
      <c r="J4" s="2">
        <v>42374</v>
      </c>
      <c r="L4" s="91" t="s">
        <v>31</v>
      </c>
      <c r="M4" s="91">
        <v>50</v>
      </c>
      <c r="N4" s="91">
        <v>164204</v>
      </c>
      <c r="P4" s="91">
        <v>0</v>
      </c>
      <c r="Q4" s="91">
        <v>304</v>
      </c>
      <c r="R4" s="3">
        <v>14355.73</v>
      </c>
      <c r="S4" s="91">
        <v>304</v>
      </c>
      <c r="T4" s="3">
        <v>14356</v>
      </c>
      <c r="U4" s="91">
        <v>279.5</v>
      </c>
      <c r="V4" s="2">
        <v>42374</v>
      </c>
      <c r="W4" s="2">
        <v>42474</v>
      </c>
      <c r="X4" s="91" t="s">
        <v>43</v>
      </c>
      <c r="Y4" s="91" t="s">
        <v>44</v>
      </c>
      <c r="Z4" s="91" t="s">
        <v>34</v>
      </c>
      <c r="AA4" s="91" t="s">
        <v>35</v>
      </c>
      <c r="AD4" s="95" t="s">
        <v>909</v>
      </c>
      <c r="AE4" s="95">
        <f t="shared" si="0"/>
        <v>1</v>
      </c>
    </row>
    <row r="5" spans="1:31" x14ac:dyDescent="0.25">
      <c r="A5" s="91" t="s">
        <v>45</v>
      </c>
      <c r="B5" s="91">
        <v>164203</v>
      </c>
      <c r="C5" s="91">
        <v>4</v>
      </c>
      <c r="D5" s="91" t="s">
        <v>46</v>
      </c>
      <c r="E5" s="91" t="s">
        <v>29</v>
      </c>
      <c r="F5" s="91" t="s">
        <v>38</v>
      </c>
      <c r="G5" s="3">
        <v>1350</v>
      </c>
      <c r="H5" s="2">
        <v>42374</v>
      </c>
      <c r="I5" s="2"/>
      <c r="J5" s="2">
        <v>42373</v>
      </c>
      <c r="K5" s="2"/>
      <c r="L5" s="91" t="s">
        <v>31</v>
      </c>
      <c r="M5" s="91">
        <v>50</v>
      </c>
      <c r="N5" s="91">
        <v>164203</v>
      </c>
      <c r="P5" s="91">
        <v>0</v>
      </c>
      <c r="Q5" s="91">
        <v>28</v>
      </c>
      <c r="R5" s="3">
        <v>1350.42</v>
      </c>
      <c r="S5" s="91">
        <v>28</v>
      </c>
      <c r="T5" s="3">
        <v>1350</v>
      </c>
      <c r="U5" s="91">
        <v>28</v>
      </c>
      <c r="V5" s="2">
        <v>42376</v>
      </c>
      <c r="W5" s="2">
        <v>42461</v>
      </c>
      <c r="X5" s="91" t="s">
        <v>47</v>
      </c>
      <c r="Y5" s="91" t="s">
        <v>48</v>
      </c>
      <c r="Z5" s="91" t="s">
        <v>34</v>
      </c>
      <c r="AA5" s="91" t="s">
        <v>35</v>
      </c>
      <c r="AD5" s="95" t="s">
        <v>909</v>
      </c>
      <c r="AE5" s="95">
        <f t="shared" si="0"/>
        <v>1</v>
      </c>
    </row>
    <row r="6" spans="1:31" x14ac:dyDescent="0.25">
      <c r="A6" s="91" t="s">
        <v>49</v>
      </c>
      <c r="B6" s="91">
        <v>160103</v>
      </c>
      <c r="C6" s="91">
        <v>4</v>
      </c>
      <c r="D6" s="91" t="s">
        <v>50</v>
      </c>
      <c r="E6" s="91" t="s">
        <v>51</v>
      </c>
      <c r="F6" s="91" t="s">
        <v>52</v>
      </c>
      <c r="G6" s="3">
        <v>6860</v>
      </c>
      <c r="H6" s="2">
        <v>42375</v>
      </c>
      <c r="I6" s="2">
        <v>42384</v>
      </c>
      <c r="J6" s="2">
        <v>42376</v>
      </c>
      <c r="K6" s="2">
        <v>42401</v>
      </c>
      <c r="L6" s="91" t="s">
        <v>31</v>
      </c>
      <c r="M6" s="91">
        <v>25</v>
      </c>
      <c r="N6" s="91">
        <v>160103</v>
      </c>
      <c r="P6" s="91">
        <v>0</v>
      </c>
      <c r="Q6" s="91">
        <v>51</v>
      </c>
      <c r="R6" s="3">
        <v>6136.51</v>
      </c>
      <c r="S6" s="91">
        <v>51</v>
      </c>
      <c r="T6" s="3">
        <v>6860</v>
      </c>
      <c r="U6" s="91">
        <v>134</v>
      </c>
      <c r="V6" s="2">
        <v>42415</v>
      </c>
      <c r="W6" s="2">
        <v>42451</v>
      </c>
      <c r="X6" s="91" t="s">
        <v>53</v>
      </c>
      <c r="Y6" s="91" t="s">
        <v>54</v>
      </c>
      <c r="Z6" s="91" t="s">
        <v>55</v>
      </c>
      <c r="AA6" s="91" t="s">
        <v>35</v>
      </c>
      <c r="AD6" s="95" t="s">
        <v>909</v>
      </c>
      <c r="AE6" s="95">
        <f t="shared" si="0"/>
        <v>1</v>
      </c>
    </row>
    <row r="7" spans="1:31" x14ac:dyDescent="0.25">
      <c r="A7" s="91" t="s">
        <v>56</v>
      </c>
      <c r="C7" s="91">
        <v>1</v>
      </c>
      <c r="D7" s="91" t="s">
        <v>57</v>
      </c>
      <c r="E7" s="91" t="s">
        <v>58</v>
      </c>
      <c r="F7" s="91" t="s">
        <v>59</v>
      </c>
      <c r="G7" s="3">
        <v>15000</v>
      </c>
      <c r="H7" s="2">
        <v>42375</v>
      </c>
      <c r="I7" s="2">
        <v>42400</v>
      </c>
      <c r="J7" s="2"/>
      <c r="K7" s="2">
        <v>42460</v>
      </c>
      <c r="L7" s="91" t="s">
        <v>31</v>
      </c>
      <c r="M7" s="91">
        <v>30</v>
      </c>
      <c r="P7" s="91">
        <v>0</v>
      </c>
      <c r="Q7" s="91">
        <v>0</v>
      </c>
      <c r="R7" s="3">
        <v>0</v>
      </c>
      <c r="S7" s="91">
        <v>0</v>
      </c>
      <c r="T7" s="91">
        <v>0</v>
      </c>
      <c r="U7" s="91">
        <v>0</v>
      </c>
      <c r="X7" s="91" t="s">
        <v>60</v>
      </c>
      <c r="Y7" s="91" t="s">
        <v>61</v>
      </c>
      <c r="Z7" s="91" t="s">
        <v>62</v>
      </c>
      <c r="AA7" s="91" t="s">
        <v>35</v>
      </c>
      <c r="AD7" s="95" t="s">
        <v>909</v>
      </c>
      <c r="AE7" s="95">
        <f t="shared" si="0"/>
        <v>1</v>
      </c>
    </row>
    <row r="8" spans="1:31" x14ac:dyDescent="0.25">
      <c r="A8" s="91" t="s">
        <v>63</v>
      </c>
      <c r="C8" s="91">
        <v>3</v>
      </c>
      <c r="D8" s="91" t="s">
        <v>64</v>
      </c>
      <c r="E8" s="91" t="s">
        <v>65</v>
      </c>
      <c r="F8" s="91" t="s">
        <v>66</v>
      </c>
      <c r="G8" s="3">
        <v>9270</v>
      </c>
      <c r="H8" s="2">
        <v>42375</v>
      </c>
      <c r="I8" s="2">
        <v>42384</v>
      </c>
      <c r="J8" s="2">
        <v>42388</v>
      </c>
      <c r="K8" s="2">
        <v>42429</v>
      </c>
      <c r="L8" s="91" t="s">
        <v>31</v>
      </c>
      <c r="M8" s="91">
        <v>25</v>
      </c>
      <c r="P8" s="91">
        <v>0</v>
      </c>
      <c r="Q8" s="91">
        <v>22</v>
      </c>
      <c r="R8" s="3">
        <v>9269.58</v>
      </c>
      <c r="S8" s="91">
        <v>0</v>
      </c>
      <c r="T8" s="91">
        <v>0</v>
      </c>
      <c r="U8" s="91">
        <v>0</v>
      </c>
      <c r="X8" s="91" t="s">
        <v>67</v>
      </c>
      <c r="Y8" s="91" t="s">
        <v>68</v>
      </c>
      <c r="Z8" s="91" t="s">
        <v>69</v>
      </c>
      <c r="AA8" s="91" t="s">
        <v>35</v>
      </c>
      <c r="AD8" s="95" t="s">
        <v>909</v>
      </c>
      <c r="AE8" s="95">
        <f t="shared" si="0"/>
        <v>1</v>
      </c>
    </row>
    <row r="9" spans="1:31" x14ac:dyDescent="0.25">
      <c r="A9" s="91" t="s">
        <v>70</v>
      </c>
      <c r="C9" s="91">
        <v>3</v>
      </c>
      <c r="D9" s="91" t="s">
        <v>71</v>
      </c>
      <c r="E9" s="91" t="s">
        <v>51</v>
      </c>
      <c r="F9" s="91" t="s">
        <v>52</v>
      </c>
      <c r="G9" s="3">
        <v>0</v>
      </c>
      <c r="H9" s="2">
        <v>42376</v>
      </c>
      <c r="I9" s="2"/>
      <c r="J9" s="2">
        <v>42375</v>
      </c>
      <c r="K9" s="2">
        <v>42735</v>
      </c>
      <c r="L9" s="91" t="s">
        <v>31</v>
      </c>
      <c r="M9" s="91">
        <v>0</v>
      </c>
      <c r="P9" s="91">
        <v>0</v>
      </c>
      <c r="Q9" s="91">
        <v>0</v>
      </c>
      <c r="R9" s="91">
        <v>0</v>
      </c>
      <c r="S9" s="91">
        <v>0</v>
      </c>
      <c r="T9" s="91">
        <v>0</v>
      </c>
      <c r="U9" s="91">
        <v>0</v>
      </c>
      <c r="Y9" s="91" t="s">
        <v>72</v>
      </c>
      <c r="Z9" s="91" t="s">
        <v>73</v>
      </c>
      <c r="AA9" s="91" t="s">
        <v>35</v>
      </c>
      <c r="AD9" s="95" t="s">
        <v>909</v>
      </c>
      <c r="AE9" s="95">
        <f t="shared" si="0"/>
        <v>1</v>
      </c>
    </row>
    <row r="10" spans="1:31" x14ac:dyDescent="0.25">
      <c r="A10" s="91" t="s">
        <v>74</v>
      </c>
      <c r="C10" s="91">
        <v>6</v>
      </c>
      <c r="D10" s="91" t="s">
        <v>75</v>
      </c>
      <c r="E10" s="91" t="s">
        <v>51</v>
      </c>
      <c r="F10" s="91" t="s">
        <v>52</v>
      </c>
      <c r="G10" s="3">
        <v>4000</v>
      </c>
      <c r="H10" s="2">
        <v>42377</v>
      </c>
      <c r="I10" s="2">
        <v>42415</v>
      </c>
      <c r="J10" s="2"/>
      <c r="K10" s="2">
        <v>42551</v>
      </c>
      <c r="L10" s="91" t="s">
        <v>31</v>
      </c>
      <c r="M10" s="91">
        <v>25</v>
      </c>
      <c r="P10" s="91">
        <v>0</v>
      </c>
      <c r="Q10" s="91">
        <v>0</v>
      </c>
      <c r="R10" s="91">
        <v>0</v>
      </c>
      <c r="S10" s="91">
        <v>0</v>
      </c>
      <c r="T10" s="91">
        <v>0</v>
      </c>
      <c r="U10" s="91">
        <v>0</v>
      </c>
      <c r="X10" s="91" t="s">
        <v>76</v>
      </c>
      <c r="Y10" s="91" t="s">
        <v>77</v>
      </c>
      <c r="Z10" s="91" t="s">
        <v>55</v>
      </c>
      <c r="AA10" s="91" t="s">
        <v>35</v>
      </c>
      <c r="AD10" s="95" t="s">
        <v>909</v>
      </c>
      <c r="AE10" s="95">
        <f t="shared" si="0"/>
        <v>1</v>
      </c>
    </row>
    <row r="11" spans="1:31" x14ac:dyDescent="0.25">
      <c r="A11" s="91" t="s">
        <v>78</v>
      </c>
      <c r="B11" s="91">
        <v>161701</v>
      </c>
      <c r="C11" s="91">
        <v>4</v>
      </c>
      <c r="D11" s="91" t="s">
        <v>79</v>
      </c>
      <c r="E11" s="91" t="s">
        <v>65</v>
      </c>
      <c r="F11" s="91" t="s">
        <v>80</v>
      </c>
      <c r="G11" s="91">
        <v>0</v>
      </c>
      <c r="H11" s="2">
        <v>42377</v>
      </c>
      <c r="I11" s="2">
        <v>42403</v>
      </c>
      <c r="J11" s="2">
        <v>42404</v>
      </c>
      <c r="K11" s="2">
        <v>42415</v>
      </c>
      <c r="L11" s="91" t="s">
        <v>31</v>
      </c>
      <c r="M11" s="91">
        <v>50</v>
      </c>
      <c r="N11" s="91">
        <v>161701</v>
      </c>
      <c r="P11" s="91">
        <v>0</v>
      </c>
      <c r="Q11" s="91">
        <v>0</v>
      </c>
      <c r="R11" s="91">
        <v>0</v>
      </c>
      <c r="S11" s="91">
        <v>0</v>
      </c>
      <c r="T11" s="91">
        <v>0</v>
      </c>
      <c r="U11" s="91">
        <v>67.5</v>
      </c>
      <c r="X11" s="91" t="s">
        <v>81</v>
      </c>
      <c r="Y11" s="91" t="s">
        <v>82</v>
      </c>
      <c r="Z11" s="91" t="s">
        <v>83</v>
      </c>
      <c r="AA11" s="91" t="s">
        <v>84</v>
      </c>
      <c r="AD11" s="95" t="s">
        <v>909</v>
      </c>
      <c r="AE11" s="95">
        <f t="shared" si="0"/>
        <v>1</v>
      </c>
    </row>
    <row r="12" spans="1:31" x14ac:dyDescent="0.25">
      <c r="A12" s="91" t="s">
        <v>85</v>
      </c>
      <c r="C12" s="91">
        <v>2</v>
      </c>
      <c r="D12" s="91" t="s">
        <v>86</v>
      </c>
      <c r="E12" s="91" t="s">
        <v>58</v>
      </c>
      <c r="F12" s="91" t="s">
        <v>87</v>
      </c>
      <c r="G12" s="91">
        <v>0</v>
      </c>
      <c r="H12" s="2">
        <v>42377</v>
      </c>
      <c r="J12" s="2"/>
      <c r="K12" s="2"/>
      <c r="L12" s="91" t="s">
        <v>31</v>
      </c>
      <c r="M12" s="91">
        <v>0</v>
      </c>
      <c r="P12" s="91">
        <v>0</v>
      </c>
      <c r="Q12" s="91">
        <v>0</v>
      </c>
      <c r="R12" s="91">
        <v>0</v>
      </c>
      <c r="S12" s="91">
        <v>0</v>
      </c>
      <c r="T12" s="91">
        <v>0</v>
      </c>
      <c r="U12" s="91">
        <v>0</v>
      </c>
      <c r="Y12" s="91" t="s">
        <v>88</v>
      </c>
      <c r="Z12" s="91" t="s">
        <v>89</v>
      </c>
      <c r="AA12" s="91" t="s">
        <v>35</v>
      </c>
      <c r="AD12" s="95" t="s">
        <v>909</v>
      </c>
      <c r="AE12" s="95">
        <f t="shared" si="0"/>
        <v>1</v>
      </c>
    </row>
    <row r="13" spans="1:31" x14ac:dyDescent="0.25">
      <c r="A13" s="91" t="s">
        <v>90</v>
      </c>
      <c r="C13" s="91">
        <v>3</v>
      </c>
      <c r="D13" s="91" t="s">
        <v>91</v>
      </c>
      <c r="E13" s="91" t="s">
        <v>29</v>
      </c>
      <c r="F13" s="91" t="s">
        <v>38</v>
      </c>
      <c r="G13" s="91">
        <v>660</v>
      </c>
      <c r="H13" s="2">
        <v>42377</v>
      </c>
      <c r="J13" s="2">
        <v>42375</v>
      </c>
      <c r="K13" s="2">
        <v>42460</v>
      </c>
      <c r="L13" s="91" t="s">
        <v>31</v>
      </c>
      <c r="M13" s="91">
        <v>50</v>
      </c>
      <c r="P13" s="91">
        <v>0</v>
      </c>
      <c r="Q13" s="91">
        <v>4</v>
      </c>
      <c r="R13" s="91">
        <v>660.17</v>
      </c>
      <c r="S13" s="91">
        <v>0</v>
      </c>
      <c r="T13" s="91">
        <v>0</v>
      </c>
      <c r="U13" s="91">
        <v>0</v>
      </c>
      <c r="V13" s="2"/>
      <c r="W13" s="2"/>
      <c r="X13" s="91" t="s">
        <v>92</v>
      </c>
      <c r="Y13" s="91" t="s">
        <v>93</v>
      </c>
      <c r="Z13" s="91" t="s">
        <v>34</v>
      </c>
      <c r="AA13" s="91" t="s">
        <v>35</v>
      </c>
      <c r="AD13" s="95" t="s">
        <v>909</v>
      </c>
      <c r="AE13" s="95">
        <f t="shared" si="0"/>
        <v>1</v>
      </c>
    </row>
    <row r="14" spans="1:31" x14ac:dyDescent="0.25">
      <c r="A14" s="91" t="s">
        <v>94</v>
      </c>
      <c r="B14" s="91">
        <v>164208</v>
      </c>
      <c r="C14" s="91">
        <v>4</v>
      </c>
      <c r="D14" s="91" t="s">
        <v>95</v>
      </c>
      <c r="E14" s="91" t="s">
        <v>29</v>
      </c>
      <c r="F14" s="91" t="s">
        <v>38</v>
      </c>
      <c r="G14" s="3">
        <v>525</v>
      </c>
      <c r="H14" s="2">
        <v>42377</v>
      </c>
      <c r="I14" s="2"/>
      <c r="J14" s="2">
        <v>42377</v>
      </c>
      <c r="K14" s="2"/>
      <c r="L14" s="91" t="s">
        <v>31</v>
      </c>
      <c r="M14" s="91">
        <v>50</v>
      </c>
      <c r="N14" s="91">
        <v>164208</v>
      </c>
      <c r="P14" s="91">
        <v>0</v>
      </c>
      <c r="Q14" s="91">
        <v>11</v>
      </c>
      <c r="R14" s="3">
        <v>525.98</v>
      </c>
      <c r="S14" s="91">
        <v>11</v>
      </c>
      <c r="T14" s="3">
        <v>525</v>
      </c>
      <c r="U14" s="91">
        <v>11</v>
      </c>
      <c r="V14" s="2">
        <v>42425</v>
      </c>
      <c r="W14" s="2">
        <v>42425</v>
      </c>
      <c r="X14" s="91" t="s">
        <v>96</v>
      </c>
      <c r="Y14" s="91" t="s">
        <v>97</v>
      </c>
      <c r="Z14" s="91" t="s">
        <v>34</v>
      </c>
      <c r="AA14" s="91" t="s">
        <v>35</v>
      </c>
      <c r="AD14" s="95" t="s">
        <v>909</v>
      </c>
      <c r="AE14" s="95">
        <f t="shared" si="0"/>
        <v>1</v>
      </c>
    </row>
    <row r="15" spans="1:31" x14ac:dyDescent="0.25">
      <c r="A15" s="91" t="s">
        <v>98</v>
      </c>
      <c r="B15" s="91">
        <v>160621</v>
      </c>
      <c r="C15" s="91">
        <v>4</v>
      </c>
      <c r="D15" s="91" t="s">
        <v>99</v>
      </c>
      <c r="E15" s="91" t="s">
        <v>58</v>
      </c>
      <c r="F15" s="91" t="s">
        <v>59</v>
      </c>
      <c r="G15" s="3">
        <v>8500</v>
      </c>
      <c r="H15" s="2">
        <v>42377</v>
      </c>
      <c r="I15" s="2">
        <v>42436</v>
      </c>
      <c r="J15" s="2">
        <v>42403</v>
      </c>
      <c r="K15" s="2">
        <v>42461</v>
      </c>
      <c r="L15" s="91" t="s">
        <v>31</v>
      </c>
      <c r="M15" s="91">
        <v>60</v>
      </c>
      <c r="N15" s="91">
        <v>160621</v>
      </c>
      <c r="P15" s="91">
        <v>0</v>
      </c>
      <c r="Q15" s="91">
        <v>35</v>
      </c>
      <c r="R15" s="3">
        <v>8818.68</v>
      </c>
      <c r="S15" s="91">
        <v>35</v>
      </c>
      <c r="T15" s="3">
        <v>8500</v>
      </c>
      <c r="U15" s="91">
        <v>6</v>
      </c>
      <c r="X15" s="91" t="s">
        <v>100</v>
      </c>
      <c r="Y15" s="91" t="s">
        <v>101</v>
      </c>
      <c r="Z15" s="91" t="s">
        <v>102</v>
      </c>
      <c r="AA15" s="91" t="s">
        <v>35</v>
      </c>
      <c r="AD15" s="95" t="s">
        <v>909</v>
      </c>
      <c r="AE15" s="95">
        <f t="shared" si="0"/>
        <v>1</v>
      </c>
    </row>
    <row r="16" spans="1:31" x14ac:dyDescent="0.25">
      <c r="A16" s="91" t="s">
        <v>103</v>
      </c>
      <c r="C16" s="91">
        <v>3</v>
      </c>
      <c r="D16" s="91" t="s">
        <v>104</v>
      </c>
      <c r="E16" s="91" t="s">
        <v>58</v>
      </c>
      <c r="F16" s="91" t="s">
        <v>87</v>
      </c>
      <c r="G16" s="3">
        <v>2075</v>
      </c>
      <c r="H16" s="2">
        <v>42380</v>
      </c>
      <c r="I16" s="2">
        <v>42380</v>
      </c>
      <c r="J16" s="2">
        <v>42380</v>
      </c>
      <c r="K16" s="2">
        <v>42387</v>
      </c>
      <c r="L16" s="91" t="s">
        <v>31</v>
      </c>
      <c r="M16" s="91">
        <v>0</v>
      </c>
      <c r="P16" s="91">
        <v>0</v>
      </c>
      <c r="Q16" s="91">
        <v>30</v>
      </c>
      <c r="R16" s="3">
        <v>2072.81</v>
      </c>
      <c r="S16" s="91">
        <v>0</v>
      </c>
      <c r="T16" s="91">
        <v>0</v>
      </c>
      <c r="U16" s="91">
        <v>0</v>
      </c>
      <c r="X16" s="91" t="s">
        <v>105</v>
      </c>
      <c r="Y16" s="91" t="s">
        <v>106</v>
      </c>
      <c r="Z16" s="91" t="s">
        <v>107</v>
      </c>
      <c r="AA16" s="91" t="s">
        <v>35</v>
      </c>
      <c r="AD16" s="95" t="s">
        <v>909</v>
      </c>
      <c r="AE16" s="95">
        <f t="shared" si="0"/>
        <v>1</v>
      </c>
    </row>
    <row r="17" spans="1:31" x14ac:dyDescent="0.25">
      <c r="A17" s="91" t="s">
        <v>108</v>
      </c>
      <c r="C17" s="91">
        <v>3</v>
      </c>
      <c r="D17" s="91" t="s">
        <v>109</v>
      </c>
      <c r="E17" s="91" t="s">
        <v>58</v>
      </c>
      <c r="F17" s="91" t="s">
        <v>30</v>
      </c>
      <c r="G17" s="3">
        <v>65535</v>
      </c>
      <c r="H17" s="2">
        <v>42381</v>
      </c>
      <c r="I17" s="2">
        <v>42383</v>
      </c>
      <c r="J17" s="2">
        <v>42391</v>
      </c>
      <c r="K17" s="2">
        <v>42430</v>
      </c>
      <c r="L17" s="91" t="s">
        <v>31</v>
      </c>
      <c r="M17" s="91">
        <v>25</v>
      </c>
      <c r="P17" s="91">
        <v>0</v>
      </c>
      <c r="Q17" s="91">
        <v>650</v>
      </c>
      <c r="R17" s="3">
        <v>65535.73</v>
      </c>
      <c r="S17" s="91">
        <v>0</v>
      </c>
      <c r="T17" s="91">
        <v>0</v>
      </c>
      <c r="U17" s="91">
        <v>0</v>
      </c>
      <c r="X17" s="91" t="s">
        <v>110</v>
      </c>
      <c r="Y17" s="91" t="s">
        <v>111</v>
      </c>
      <c r="Z17" s="91" t="s">
        <v>112</v>
      </c>
      <c r="AA17" s="91" t="s">
        <v>35</v>
      </c>
      <c r="AD17" s="95" t="s">
        <v>909</v>
      </c>
      <c r="AE17" s="95">
        <f t="shared" si="0"/>
        <v>1</v>
      </c>
    </row>
    <row r="18" spans="1:31" x14ac:dyDescent="0.25">
      <c r="A18" s="91" t="s">
        <v>113</v>
      </c>
      <c r="B18" s="91">
        <v>164209</v>
      </c>
      <c r="C18" s="91">
        <v>4</v>
      </c>
      <c r="D18" s="91" t="s">
        <v>114</v>
      </c>
      <c r="E18" s="91" t="s">
        <v>29</v>
      </c>
      <c r="F18" s="91" t="s">
        <v>38</v>
      </c>
      <c r="G18" s="3">
        <v>2680</v>
      </c>
      <c r="H18" s="2">
        <v>42381</v>
      </c>
      <c r="I18" s="2"/>
      <c r="J18" s="2">
        <v>42380</v>
      </c>
      <c r="L18" s="91" t="s">
        <v>31</v>
      </c>
      <c r="M18" s="91">
        <v>50</v>
      </c>
      <c r="N18" s="91">
        <v>164209</v>
      </c>
      <c r="P18" s="91">
        <v>0</v>
      </c>
      <c r="Q18" s="91">
        <v>28</v>
      </c>
      <c r="R18" s="3">
        <v>1340.1</v>
      </c>
      <c r="S18" s="91">
        <v>56</v>
      </c>
      <c r="T18" s="3">
        <v>2680</v>
      </c>
      <c r="U18" s="91">
        <v>26</v>
      </c>
      <c r="V18" s="2">
        <v>42397</v>
      </c>
      <c r="W18" s="2">
        <v>42397</v>
      </c>
      <c r="X18" s="91" t="s">
        <v>115</v>
      </c>
      <c r="Y18" s="91" t="s">
        <v>48</v>
      </c>
      <c r="Z18" s="91" t="s">
        <v>34</v>
      </c>
      <c r="AA18" s="91" t="s">
        <v>35</v>
      </c>
      <c r="AD18" s="95" t="s">
        <v>909</v>
      </c>
      <c r="AE18" s="95">
        <f t="shared" si="0"/>
        <v>1</v>
      </c>
    </row>
    <row r="19" spans="1:31" x14ac:dyDescent="0.25">
      <c r="A19" s="91" t="s">
        <v>116</v>
      </c>
      <c r="C19" s="91">
        <v>7</v>
      </c>
      <c r="D19" s="91" t="s">
        <v>117</v>
      </c>
      <c r="E19" s="91" t="s">
        <v>58</v>
      </c>
      <c r="F19" s="91" t="s">
        <v>59</v>
      </c>
      <c r="G19" s="3">
        <v>72800</v>
      </c>
      <c r="H19" s="2">
        <v>42381</v>
      </c>
      <c r="I19" s="2">
        <v>42384</v>
      </c>
      <c r="J19" s="2">
        <v>42383</v>
      </c>
      <c r="K19" s="2"/>
      <c r="L19" s="91" t="s">
        <v>31</v>
      </c>
      <c r="M19" s="91">
        <v>0</v>
      </c>
      <c r="P19" s="91">
        <v>0</v>
      </c>
      <c r="Q19" s="91">
        <v>0</v>
      </c>
      <c r="R19" s="3">
        <v>0</v>
      </c>
      <c r="S19" s="91">
        <v>0</v>
      </c>
      <c r="T19" s="91">
        <v>0</v>
      </c>
      <c r="U19" s="91">
        <v>0</v>
      </c>
      <c r="X19" s="91" t="s">
        <v>118</v>
      </c>
      <c r="Y19" s="91" t="s">
        <v>119</v>
      </c>
      <c r="Z19" s="91" t="s">
        <v>120</v>
      </c>
      <c r="AA19" s="91" t="s">
        <v>35</v>
      </c>
      <c r="AD19" s="95" t="s">
        <v>909</v>
      </c>
      <c r="AE19" s="95">
        <f t="shared" si="0"/>
        <v>1</v>
      </c>
    </row>
    <row r="20" spans="1:31" x14ac:dyDescent="0.25">
      <c r="A20" s="91" t="s">
        <v>121</v>
      </c>
      <c r="C20" s="91">
        <v>2</v>
      </c>
      <c r="D20" s="91" t="s">
        <v>122</v>
      </c>
      <c r="E20" s="91" t="s">
        <v>58</v>
      </c>
      <c r="F20" s="91" t="s">
        <v>87</v>
      </c>
      <c r="G20" s="3">
        <v>0</v>
      </c>
      <c r="H20" s="2">
        <v>42381</v>
      </c>
      <c r="I20" s="2">
        <v>42391</v>
      </c>
      <c r="J20" s="2"/>
      <c r="K20" s="2"/>
      <c r="L20" s="91" t="s">
        <v>31</v>
      </c>
      <c r="M20" s="91">
        <v>0</v>
      </c>
      <c r="P20" s="91">
        <v>0</v>
      </c>
      <c r="Q20" s="91">
        <v>0</v>
      </c>
      <c r="R20" s="3">
        <v>0</v>
      </c>
      <c r="S20" s="91">
        <v>0</v>
      </c>
      <c r="T20" s="3">
        <v>0</v>
      </c>
      <c r="U20" s="91">
        <v>0</v>
      </c>
      <c r="X20" s="91" t="s">
        <v>123</v>
      </c>
      <c r="Y20" s="91" t="s">
        <v>124</v>
      </c>
      <c r="Z20" s="91" t="s">
        <v>125</v>
      </c>
      <c r="AA20" s="91" t="s">
        <v>35</v>
      </c>
      <c r="AD20" s="95" t="s">
        <v>909</v>
      </c>
      <c r="AE20" s="95">
        <f t="shared" si="0"/>
        <v>1</v>
      </c>
    </row>
    <row r="21" spans="1:31" x14ac:dyDescent="0.25">
      <c r="A21" s="91" t="s">
        <v>126</v>
      </c>
      <c r="C21" s="91">
        <v>3</v>
      </c>
      <c r="D21" s="91" t="s">
        <v>127</v>
      </c>
      <c r="E21" s="91" t="s">
        <v>65</v>
      </c>
      <c r="F21" s="91" t="s">
        <v>66</v>
      </c>
      <c r="G21" s="3">
        <v>41580</v>
      </c>
      <c r="H21" s="2">
        <v>42381</v>
      </c>
      <c r="I21" s="2">
        <v>42389</v>
      </c>
      <c r="J21" s="2">
        <v>42390</v>
      </c>
      <c r="K21" s="2">
        <v>42460</v>
      </c>
      <c r="L21" s="91" t="s">
        <v>31</v>
      </c>
      <c r="M21" s="91">
        <v>20</v>
      </c>
      <c r="P21" s="91">
        <v>0</v>
      </c>
      <c r="Q21" s="91">
        <v>316</v>
      </c>
      <c r="R21" s="3">
        <v>41579.599999999999</v>
      </c>
      <c r="S21" s="91">
        <v>0</v>
      </c>
      <c r="T21" s="91">
        <v>0</v>
      </c>
      <c r="U21" s="91">
        <v>0</v>
      </c>
      <c r="V21" s="2"/>
      <c r="W21" s="2"/>
      <c r="X21" s="91" t="s">
        <v>67</v>
      </c>
      <c r="Y21" s="91" t="s">
        <v>128</v>
      </c>
      <c r="Z21" s="91" t="s">
        <v>129</v>
      </c>
      <c r="AA21" s="91" t="s">
        <v>35</v>
      </c>
      <c r="AD21" s="95" t="s">
        <v>909</v>
      </c>
      <c r="AE21" s="95">
        <f t="shared" si="0"/>
        <v>1</v>
      </c>
    </row>
    <row r="22" spans="1:31" x14ac:dyDescent="0.25">
      <c r="A22" s="91" t="s">
        <v>130</v>
      </c>
      <c r="B22" s="91">
        <v>160107</v>
      </c>
      <c r="C22" s="91">
        <v>4</v>
      </c>
      <c r="D22" s="91" t="s">
        <v>131</v>
      </c>
      <c r="E22" s="91" t="s">
        <v>51</v>
      </c>
      <c r="F22" s="91" t="s">
        <v>132</v>
      </c>
      <c r="G22" s="3">
        <v>1211</v>
      </c>
      <c r="H22" s="2">
        <v>42382</v>
      </c>
      <c r="I22" s="2">
        <v>42460</v>
      </c>
      <c r="J22" s="2">
        <v>42402</v>
      </c>
      <c r="K22" s="2">
        <v>42488</v>
      </c>
      <c r="L22" s="91" t="s">
        <v>31</v>
      </c>
      <c r="M22" s="91">
        <v>100</v>
      </c>
      <c r="N22" s="91">
        <v>160107</v>
      </c>
      <c r="P22" s="91">
        <v>0</v>
      </c>
      <c r="Q22" s="91">
        <v>12</v>
      </c>
      <c r="R22" s="3">
        <v>1209.49</v>
      </c>
      <c r="S22" s="91">
        <v>12</v>
      </c>
      <c r="T22" s="3">
        <v>1211</v>
      </c>
      <c r="U22" s="91">
        <v>0</v>
      </c>
      <c r="X22" s="91" t="s">
        <v>133</v>
      </c>
      <c r="Y22" s="91" t="s">
        <v>134</v>
      </c>
      <c r="Z22" s="91" t="s">
        <v>135</v>
      </c>
      <c r="AA22" s="91" t="s">
        <v>35</v>
      </c>
      <c r="AD22" s="95" t="s">
        <v>909</v>
      </c>
      <c r="AE22" s="95">
        <f t="shared" si="0"/>
        <v>1</v>
      </c>
    </row>
    <row r="23" spans="1:31" x14ac:dyDescent="0.25">
      <c r="A23" s="91" t="s">
        <v>136</v>
      </c>
      <c r="B23" s="91">
        <v>164016</v>
      </c>
      <c r="C23" s="91">
        <v>4</v>
      </c>
      <c r="D23" s="91" t="s">
        <v>137</v>
      </c>
      <c r="E23" s="91" t="s">
        <v>29</v>
      </c>
      <c r="F23" s="91" t="s">
        <v>138</v>
      </c>
      <c r="G23" s="3">
        <v>822</v>
      </c>
      <c r="H23" s="2">
        <v>42382</v>
      </c>
      <c r="I23" s="2">
        <v>42391</v>
      </c>
      <c r="J23" s="2">
        <v>42390</v>
      </c>
      <c r="K23" s="2">
        <v>42429</v>
      </c>
      <c r="L23" s="91" t="s">
        <v>31</v>
      </c>
      <c r="M23" s="91">
        <v>50</v>
      </c>
      <c r="N23" s="91">
        <v>164016</v>
      </c>
      <c r="P23" s="91">
        <v>0</v>
      </c>
      <c r="Q23" s="91">
        <v>0</v>
      </c>
      <c r="R23" s="3">
        <v>0</v>
      </c>
      <c r="S23" s="91">
        <v>1</v>
      </c>
      <c r="T23" s="91">
        <v>822</v>
      </c>
      <c r="U23" s="91">
        <v>8</v>
      </c>
      <c r="V23" s="2">
        <v>42437</v>
      </c>
      <c r="W23" s="2">
        <v>42437</v>
      </c>
      <c r="X23" s="91" t="s">
        <v>139</v>
      </c>
      <c r="Y23" s="91" t="s">
        <v>140</v>
      </c>
      <c r="Z23" s="91" t="s">
        <v>34</v>
      </c>
      <c r="AA23" s="91" t="s">
        <v>35</v>
      </c>
      <c r="AD23" s="95" t="s">
        <v>909</v>
      </c>
      <c r="AE23" s="95">
        <f t="shared" si="0"/>
        <v>1</v>
      </c>
    </row>
    <row r="24" spans="1:31" x14ac:dyDescent="0.25">
      <c r="A24" s="91" t="s">
        <v>141</v>
      </c>
      <c r="B24" s="91">
        <v>164018</v>
      </c>
      <c r="C24" s="91">
        <v>4</v>
      </c>
      <c r="D24" s="91" t="s">
        <v>142</v>
      </c>
      <c r="E24" s="91" t="s">
        <v>29</v>
      </c>
      <c r="F24" s="91" t="s">
        <v>138</v>
      </c>
      <c r="G24" s="3">
        <v>2495</v>
      </c>
      <c r="H24" s="2">
        <v>42382</v>
      </c>
      <c r="I24" s="2">
        <v>42391</v>
      </c>
      <c r="J24" s="2">
        <v>42391</v>
      </c>
      <c r="K24" s="2">
        <v>42430</v>
      </c>
      <c r="L24" s="91" t="s">
        <v>31</v>
      </c>
      <c r="M24" s="91">
        <v>50</v>
      </c>
      <c r="N24" s="91">
        <v>164018</v>
      </c>
      <c r="P24" s="91">
        <v>0</v>
      </c>
      <c r="Q24" s="91">
        <v>40</v>
      </c>
      <c r="R24" s="3">
        <v>2495.11</v>
      </c>
      <c r="S24" s="91">
        <v>40</v>
      </c>
      <c r="T24" s="3">
        <v>2495</v>
      </c>
      <c r="U24" s="91">
        <v>0</v>
      </c>
      <c r="X24" s="91" t="s">
        <v>139</v>
      </c>
      <c r="Y24" s="91" t="s">
        <v>140</v>
      </c>
      <c r="Z24" s="91" t="s">
        <v>34</v>
      </c>
      <c r="AA24" s="91" t="s">
        <v>35</v>
      </c>
      <c r="AD24" s="95" t="s">
        <v>909</v>
      </c>
      <c r="AE24" s="95">
        <f t="shared" si="0"/>
        <v>1</v>
      </c>
    </row>
    <row r="25" spans="1:31" x14ac:dyDescent="0.25">
      <c r="A25" s="91" t="s">
        <v>143</v>
      </c>
      <c r="C25" s="91">
        <v>3</v>
      </c>
      <c r="D25" s="91" t="s">
        <v>144</v>
      </c>
      <c r="E25" s="91" t="s">
        <v>29</v>
      </c>
      <c r="F25" s="91" t="s">
        <v>138</v>
      </c>
      <c r="G25" s="3">
        <v>10766</v>
      </c>
      <c r="H25" s="2">
        <v>42382</v>
      </c>
      <c r="I25" s="2">
        <v>42391</v>
      </c>
      <c r="J25" s="2">
        <v>42391</v>
      </c>
      <c r="K25" s="2">
        <v>42430</v>
      </c>
      <c r="L25" s="91" t="s">
        <v>31</v>
      </c>
      <c r="M25" s="91">
        <v>30</v>
      </c>
      <c r="P25" s="91">
        <v>0</v>
      </c>
      <c r="Q25" s="91">
        <v>143</v>
      </c>
      <c r="R25" s="3">
        <v>10798.98</v>
      </c>
      <c r="S25" s="91">
        <v>0</v>
      </c>
      <c r="T25" s="91">
        <v>0</v>
      </c>
      <c r="U25" s="91">
        <v>0</v>
      </c>
      <c r="V25" s="2"/>
      <c r="W25" s="2"/>
      <c r="X25" s="91" t="s">
        <v>139</v>
      </c>
      <c r="Y25" s="91" t="s">
        <v>140</v>
      </c>
      <c r="Z25" s="91" t="s">
        <v>34</v>
      </c>
      <c r="AA25" s="91" t="s">
        <v>35</v>
      </c>
      <c r="AD25" s="95" t="s">
        <v>909</v>
      </c>
      <c r="AE25" s="95">
        <f t="shared" si="0"/>
        <v>1</v>
      </c>
    </row>
    <row r="26" spans="1:31" x14ac:dyDescent="0.25">
      <c r="A26" s="91" t="s">
        <v>145</v>
      </c>
      <c r="B26" s="91">
        <v>164021</v>
      </c>
      <c r="C26" s="91">
        <v>4</v>
      </c>
      <c r="D26" s="91" t="s">
        <v>146</v>
      </c>
      <c r="E26" s="91" t="s">
        <v>29</v>
      </c>
      <c r="F26" s="91" t="s">
        <v>138</v>
      </c>
      <c r="G26" s="3">
        <v>780</v>
      </c>
      <c r="H26" s="2">
        <v>42382</v>
      </c>
      <c r="I26" s="2">
        <v>42394</v>
      </c>
      <c r="J26" s="2">
        <v>42394</v>
      </c>
      <c r="K26" s="2">
        <v>42430</v>
      </c>
      <c r="L26" s="91" t="s">
        <v>31</v>
      </c>
      <c r="M26" s="91">
        <v>50</v>
      </c>
      <c r="N26" s="91">
        <v>164021</v>
      </c>
      <c r="P26" s="91">
        <v>0</v>
      </c>
      <c r="Q26" s="91">
        <v>17</v>
      </c>
      <c r="R26" s="91">
        <v>778.89</v>
      </c>
      <c r="S26" s="91">
        <v>17</v>
      </c>
      <c r="T26" s="3">
        <v>780</v>
      </c>
      <c r="U26" s="91">
        <v>0</v>
      </c>
      <c r="X26" s="91" t="s">
        <v>139</v>
      </c>
      <c r="Y26" s="91" t="s">
        <v>140</v>
      </c>
      <c r="Z26" s="91" t="s">
        <v>34</v>
      </c>
      <c r="AA26" s="91" t="s">
        <v>35</v>
      </c>
      <c r="AD26" s="95" t="s">
        <v>909</v>
      </c>
      <c r="AE26" s="95">
        <f t="shared" si="0"/>
        <v>1</v>
      </c>
    </row>
    <row r="27" spans="1:31" x14ac:dyDescent="0.25">
      <c r="A27" s="91" t="s">
        <v>147</v>
      </c>
      <c r="B27" s="91">
        <v>164030</v>
      </c>
      <c r="C27" s="91">
        <v>4</v>
      </c>
      <c r="D27" s="91" t="s">
        <v>148</v>
      </c>
      <c r="E27" s="91" t="s">
        <v>29</v>
      </c>
      <c r="F27" s="91" t="s">
        <v>138</v>
      </c>
      <c r="G27" s="3">
        <v>875</v>
      </c>
      <c r="H27" s="2">
        <v>42382</v>
      </c>
      <c r="I27" s="2">
        <v>42396</v>
      </c>
      <c r="J27" s="2">
        <v>42396</v>
      </c>
      <c r="K27" s="2">
        <v>42429</v>
      </c>
      <c r="L27" s="91" t="s">
        <v>31</v>
      </c>
      <c r="M27" s="91">
        <v>50</v>
      </c>
      <c r="N27" s="91">
        <v>164030</v>
      </c>
      <c r="P27" s="91">
        <v>0</v>
      </c>
      <c r="Q27" s="91">
        <v>6</v>
      </c>
      <c r="R27" s="3">
        <v>888.88</v>
      </c>
      <c r="S27" s="91">
        <v>6</v>
      </c>
      <c r="T27" s="3">
        <v>875</v>
      </c>
      <c r="U27" s="91">
        <v>15.5</v>
      </c>
      <c r="V27" s="2">
        <v>42425</v>
      </c>
      <c r="W27" s="2">
        <v>42426</v>
      </c>
      <c r="X27" s="91" t="s">
        <v>139</v>
      </c>
      <c r="Y27" s="91" t="s">
        <v>149</v>
      </c>
      <c r="Z27" s="91" t="s">
        <v>34</v>
      </c>
      <c r="AA27" s="91" t="s">
        <v>35</v>
      </c>
      <c r="AD27" s="95" t="s">
        <v>909</v>
      </c>
      <c r="AE27" s="95">
        <f t="shared" si="0"/>
        <v>1</v>
      </c>
    </row>
    <row r="28" spans="1:31" x14ac:dyDescent="0.25">
      <c r="A28" s="91" t="s">
        <v>150</v>
      </c>
      <c r="B28" s="91">
        <v>164035</v>
      </c>
      <c r="C28" s="91">
        <v>4</v>
      </c>
      <c r="D28" s="91" t="s">
        <v>151</v>
      </c>
      <c r="E28" s="91" t="s">
        <v>29</v>
      </c>
      <c r="F28" s="91" t="s">
        <v>138</v>
      </c>
      <c r="G28" s="3">
        <v>1644</v>
      </c>
      <c r="H28" s="2">
        <v>42382</v>
      </c>
      <c r="I28" s="2">
        <v>42397</v>
      </c>
      <c r="J28" s="2">
        <v>42397</v>
      </c>
      <c r="K28" s="2">
        <v>42430</v>
      </c>
      <c r="L28" s="91" t="s">
        <v>31</v>
      </c>
      <c r="M28" s="91">
        <v>50</v>
      </c>
      <c r="N28" s="91">
        <v>164035</v>
      </c>
      <c r="P28" s="91">
        <v>0</v>
      </c>
      <c r="Q28" s="91">
        <v>0</v>
      </c>
      <c r="R28" s="3">
        <v>0</v>
      </c>
      <c r="S28" s="91">
        <v>1</v>
      </c>
      <c r="T28" s="3">
        <v>1644</v>
      </c>
      <c r="U28" s="91">
        <v>1</v>
      </c>
      <c r="X28" s="91" t="s">
        <v>139</v>
      </c>
      <c r="Y28" s="91" t="s">
        <v>140</v>
      </c>
      <c r="Z28" s="91" t="s">
        <v>34</v>
      </c>
      <c r="AA28" s="91" t="s">
        <v>35</v>
      </c>
      <c r="AD28" s="95" t="s">
        <v>909</v>
      </c>
      <c r="AE28" s="95">
        <f t="shared" si="0"/>
        <v>1</v>
      </c>
    </row>
    <row r="29" spans="1:31" x14ac:dyDescent="0.25">
      <c r="A29" s="91" t="s">
        <v>152</v>
      </c>
      <c r="B29" s="91">
        <v>164028</v>
      </c>
      <c r="C29" s="91">
        <v>4</v>
      </c>
      <c r="D29" s="91" t="s">
        <v>153</v>
      </c>
      <c r="E29" s="91" t="s">
        <v>29</v>
      </c>
      <c r="F29" s="91" t="s">
        <v>138</v>
      </c>
      <c r="G29" s="3">
        <v>4750</v>
      </c>
      <c r="H29" s="2">
        <v>42382</v>
      </c>
      <c r="I29" s="2">
        <v>42410</v>
      </c>
      <c r="J29" s="2">
        <v>42410</v>
      </c>
      <c r="K29" s="2">
        <v>42460</v>
      </c>
      <c r="L29" s="91" t="s">
        <v>31</v>
      </c>
      <c r="M29" s="91">
        <v>50</v>
      </c>
      <c r="N29" s="91">
        <v>164028</v>
      </c>
      <c r="P29" s="91">
        <v>0</v>
      </c>
      <c r="Q29" s="91">
        <v>1</v>
      </c>
      <c r="R29" s="3">
        <v>4756.51</v>
      </c>
      <c r="S29" s="91">
        <v>1</v>
      </c>
      <c r="T29" s="3">
        <v>4750</v>
      </c>
      <c r="U29" s="91">
        <v>1.5</v>
      </c>
      <c r="X29" s="91" t="s">
        <v>154</v>
      </c>
      <c r="Y29" s="91" t="s">
        <v>155</v>
      </c>
      <c r="Z29" s="91" t="s">
        <v>34</v>
      </c>
      <c r="AA29" s="91" t="s">
        <v>35</v>
      </c>
      <c r="AD29" s="95" t="s">
        <v>909</v>
      </c>
      <c r="AE29" s="95">
        <f t="shared" si="0"/>
        <v>1</v>
      </c>
    </row>
    <row r="30" spans="1:31" x14ac:dyDescent="0.25">
      <c r="A30" s="91" t="s">
        <v>156</v>
      </c>
      <c r="B30" s="91">
        <v>164027</v>
      </c>
      <c r="C30" s="91">
        <v>4</v>
      </c>
      <c r="D30" s="91" t="s">
        <v>157</v>
      </c>
      <c r="E30" s="91" t="s">
        <v>29</v>
      </c>
      <c r="F30" s="91" t="s">
        <v>138</v>
      </c>
      <c r="G30" s="3">
        <v>1835</v>
      </c>
      <c r="H30" s="2">
        <v>42382</v>
      </c>
      <c r="I30" s="2">
        <v>42402</v>
      </c>
      <c r="J30" s="2">
        <v>42402</v>
      </c>
      <c r="K30" s="2">
        <v>42430</v>
      </c>
      <c r="L30" s="91" t="s">
        <v>31</v>
      </c>
      <c r="M30" s="91">
        <v>50</v>
      </c>
      <c r="N30" s="91">
        <v>164027</v>
      </c>
      <c r="P30" s="91">
        <v>0</v>
      </c>
      <c r="Q30" s="91">
        <v>16</v>
      </c>
      <c r="R30" s="3">
        <v>1834.22</v>
      </c>
      <c r="S30" s="91">
        <v>16</v>
      </c>
      <c r="T30" s="3">
        <v>1835</v>
      </c>
      <c r="U30" s="91">
        <v>5</v>
      </c>
      <c r="X30" s="91" t="s">
        <v>139</v>
      </c>
      <c r="Y30" s="91" t="s">
        <v>140</v>
      </c>
      <c r="Z30" s="91" t="s">
        <v>34</v>
      </c>
      <c r="AA30" s="91" t="s">
        <v>35</v>
      </c>
      <c r="AD30" s="95" t="s">
        <v>909</v>
      </c>
      <c r="AE30" s="95">
        <f t="shared" si="0"/>
        <v>1</v>
      </c>
    </row>
    <row r="31" spans="1:31" x14ac:dyDescent="0.25">
      <c r="A31" s="91" t="s">
        <v>158</v>
      </c>
      <c r="C31" s="91">
        <v>3</v>
      </c>
      <c r="D31" s="91" t="s">
        <v>159</v>
      </c>
      <c r="E31" s="91" t="s">
        <v>29</v>
      </c>
      <c r="F31" s="91" t="s">
        <v>138</v>
      </c>
      <c r="G31" s="3">
        <v>3215</v>
      </c>
      <c r="H31" s="2">
        <v>42382</v>
      </c>
      <c r="I31" s="2">
        <v>42403</v>
      </c>
      <c r="J31" s="2">
        <v>42403</v>
      </c>
      <c r="K31" s="2">
        <v>42460</v>
      </c>
      <c r="L31" s="91" t="s">
        <v>31</v>
      </c>
      <c r="M31" s="91">
        <v>30</v>
      </c>
      <c r="P31" s="91">
        <v>0</v>
      </c>
      <c r="Q31" s="91">
        <v>56</v>
      </c>
      <c r="R31" s="3">
        <v>3216.38</v>
      </c>
      <c r="S31" s="91">
        <v>0</v>
      </c>
      <c r="T31" s="91">
        <v>0</v>
      </c>
      <c r="U31" s="91">
        <v>0</v>
      </c>
      <c r="X31" s="91" t="s">
        <v>139</v>
      </c>
      <c r="Y31" s="91" t="s">
        <v>140</v>
      </c>
      <c r="Z31" s="91" t="s">
        <v>34</v>
      </c>
      <c r="AA31" s="91" t="s">
        <v>35</v>
      </c>
      <c r="AD31" s="95" t="s">
        <v>909</v>
      </c>
      <c r="AE31" s="95">
        <f t="shared" si="0"/>
        <v>1</v>
      </c>
    </row>
    <row r="32" spans="1:31" x14ac:dyDescent="0.25">
      <c r="A32" s="91" t="s">
        <v>160</v>
      </c>
      <c r="C32" s="91">
        <v>5</v>
      </c>
      <c r="D32" s="91" t="s">
        <v>161</v>
      </c>
      <c r="E32" s="91" t="s">
        <v>29</v>
      </c>
      <c r="F32" s="91" t="s">
        <v>138</v>
      </c>
      <c r="G32" s="3">
        <v>9875</v>
      </c>
      <c r="H32" s="2">
        <v>42382</v>
      </c>
      <c r="I32" s="2">
        <v>42410</v>
      </c>
      <c r="J32" s="2">
        <v>42409</v>
      </c>
      <c r="K32" s="2">
        <v>42460</v>
      </c>
      <c r="L32" s="91" t="s">
        <v>31</v>
      </c>
      <c r="M32" s="91">
        <v>50</v>
      </c>
      <c r="P32" s="91">
        <v>0</v>
      </c>
      <c r="Q32" s="91">
        <v>160</v>
      </c>
      <c r="R32" s="3">
        <v>9865.4699999999993</v>
      </c>
      <c r="S32" s="91">
        <v>0</v>
      </c>
      <c r="T32" s="3">
        <v>0</v>
      </c>
      <c r="U32" s="91">
        <v>0</v>
      </c>
      <c r="V32" s="2"/>
      <c r="W32" s="2"/>
      <c r="X32" s="91" t="s">
        <v>162</v>
      </c>
      <c r="Y32" s="91" t="s">
        <v>163</v>
      </c>
      <c r="Z32" s="91" t="s">
        <v>34</v>
      </c>
      <c r="AA32" s="91" t="s">
        <v>35</v>
      </c>
      <c r="AD32" s="95" t="s">
        <v>909</v>
      </c>
      <c r="AE32" s="95">
        <f t="shared" si="0"/>
        <v>1</v>
      </c>
    </row>
    <row r="33" spans="1:31" x14ac:dyDescent="0.25">
      <c r="A33" s="91" t="s">
        <v>164</v>
      </c>
      <c r="C33" s="91">
        <v>5</v>
      </c>
      <c r="D33" s="91" t="s">
        <v>165</v>
      </c>
      <c r="E33" s="91" t="s">
        <v>29</v>
      </c>
      <c r="F33" s="91" t="s">
        <v>138</v>
      </c>
      <c r="G33" s="3">
        <v>7517.5</v>
      </c>
      <c r="H33" s="2">
        <v>42382</v>
      </c>
      <c r="I33" s="2">
        <v>42410</v>
      </c>
      <c r="J33" s="2">
        <v>42408</v>
      </c>
      <c r="K33" s="2">
        <v>42460</v>
      </c>
      <c r="L33" s="91" t="s">
        <v>31</v>
      </c>
      <c r="M33" s="91">
        <v>50</v>
      </c>
      <c r="P33" s="91">
        <v>0</v>
      </c>
      <c r="Q33" s="91">
        <v>80</v>
      </c>
      <c r="R33" s="3">
        <v>7443.24</v>
      </c>
      <c r="S33" s="91">
        <v>0</v>
      </c>
      <c r="T33" s="91">
        <v>0</v>
      </c>
      <c r="U33" s="91">
        <v>0</v>
      </c>
      <c r="X33" s="91" t="s">
        <v>139</v>
      </c>
      <c r="Y33" s="91" t="s">
        <v>166</v>
      </c>
      <c r="Z33" s="91" t="s">
        <v>34</v>
      </c>
      <c r="AA33" s="91" t="s">
        <v>35</v>
      </c>
      <c r="AD33" s="95" t="s">
        <v>909</v>
      </c>
      <c r="AE33" s="95">
        <f t="shared" si="0"/>
        <v>1</v>
      </c>
    </row>
    <row r="34" spans="1:31" x14ac:dyDescent="0.25">
      <c r="A34" s="91" t="s">
        <v>167</v>
      </c>
      <c r="B34" s="91">
        <v>164043</v>
      </c>
      <c r="C34" s="91">
        <v>4</v>
      </c>
      <c r="D34" s="91" t="s">
        <v>168</v>
      </c>
      <c r="E34" s="91" t="s">
        <v>29</v>
      </c>
      <c r="F34" s="91" t="s">
        <v>138</v>
      </c>
      <c r="G34" s="3">
        <v>2645</v>
      </c>
      <c r="H34" s="2">
        <v>42382</v>
      </c>
      <c r="I34" s="2">
        <v>42405</v>
      </c>
      <c r="J34" s="2">
        <v>42404</v>
      </c>
      <c r="K34" s="2">
        <v>42460</v>
      </c>
      <c r="L34" s="91" t="s">
        <v>31</v>
      </c>
      <c r="M34" s="91">
        <v>50</v>
      </c>
      <c r="N34" s="91">
        <v>164043</v>
      </c>
      <c r="P34" s="91">
        <v>0</v>
      </c>
      <c r="Q34" s="91">
        <v>48</v>
      </c>
      <c r="R34" s="3">
        <v>2645.62</v>
      </c>
      <c r="S34" s="91">
        <v>48</v>
      </c>
      <c r="T34" s="3">
        <v>2645</v>
      </c>
      <c r="U34" s="91">
        <v>19.25</v>
      </c>
      <c r="V34" s="2">
        <v>42443</v>
      </c>
      <c r="W34" s="2">
        <v>42461</v>
      </c>
      <c r="X34" s="91" t="s">
        <v>139</v>
      </c>
      <c r="Y34" s="91" t="s">
        <v>140</v>
      </c>
      <c r="Z34" s="91" t="s">
        <v>34</v>
      </c>
      <c r="AA34" s="91" t="s">
        <v>35</v>
      </c>
      <c r="AD34" s="95" t="s">
        <v>909</v>
      </c>
      <c r="AE34" s="95">
        <f t="shared" si="0"/>
        <v>1</v>
      </c>
    </row>
    <row r="35" spans="1:31" x14ac:dyDescent="0.25">
      <c r="A35" s="91" t="s">
        <v>169</v>
      </c>
      <c r="B35" s="91">
        <v>164029</v>
      </c>
      <c r="C35" s="91">
        <v>4</v>
      </c>
      <c r="D35" s="91" t="s">
        <v>170</v>
      </c>
      <c r="E35" s="91" t="s">
        <v>29</v>
      </c>
      <c r="F35" s="91" t="s">
        <v>138</v>
      </c>
      <c r="G35" s="3">
        <v>4360</v>
      </c>
      <c r="H35" s="2">
        <v>42382</v>
      </c>
      <c r="I35" s="2">
        <v>42411</v>
      </c>
      <c r="J35" s="2">
        <v>42411</v>
      </c>
      <c r="K35" s="2">
        <v>42460</v>
      </c>
      <c r="L35" s="91" t="s">
        <v>31</v>
      </c>
      <c r="M35" s="91">
        <v>50</v>
      </c>
      <c r="N35" s="91">
        <v>164029</v>
      </c>
      <c r="P35" s="91">
        <v>0</v>
      </c>
      <c r="Q35" s="91">
        <v>2</v>
      </c>
      <c r="R35" s="3">
        <v>4360.8999999999996</v>
      </c>
      <c r="S35" s="91">
        <v>2</v>
      </c>
      <c r="T35" s="3">
        <v>4360</v>
      </c>
      <c r="U35" s="91">
        <v>2.5</v>
      </c>
      <c r="X35" s="91" t="s">
        <v>171</v>
      </c>
      <c r="Y35" s="91" t="s">
        <v>155</v>
      </c>
      <c r="Z35" s="91" t="s">
        <v>34</v>
      </c>
      <c r="AA35" s="91" t="s">
        <v>35</v>
      </c>
      <c r="AD35" s="95" t="s">
        <v>909</v>
      </c>
      <c r="AE35" s="95">
        <f t="shared" si="0"/>
        <v>1</v>
      </c>
    </row>
    <row r="36" spans="1:31" x14ac:dyDescent="0.25">
      <c r="A36" s="91" t="s">
        <v>172</v>
      </c>
      <c r="B36" s="91">
        <v>164031</v>
      </c>
      <c r="C36" s="91">
        <v>4</v>
      </c>
      <c r="D36" s="91" t="s">
        <v>173</v>
      </c>
      <c r="E36" s="91" t="s">
        <v>29</v>
      </c>
      <c r="F36" s="91" t="s">
        <v>138</v>
      </c>
      <c r="G36" s="3">
        <v>485</v>
      </c>
      <c r="H36" s="2">
        <v>42382</v>
      </c>
      <c r="I36" s="2">
        <v>42408</v>
      </c>
      <c r="J36" s="2">
        <v>42408</v>
      </c>
      <c r="K36" s="2">
        <v>42460</v>
      </c>
      <c r="L36" s="91" t="s">
        <v>31</v>
      </c>
      <c r="M36" s="91">
        <v>50</v>
      </c>
      <c r="N36" s="91">
        <v>164031</v>
      </c>
      <c r="P36" s="91">
        <v>0</v>
      </c>
      <c r="Q36" s="91">
        <v>2</v>
      </c>
      <c r="R36" s="3">
        <v>483.85</v>
      </c>
      <c r="S36" s="91">
        <v>2</v>
      </c>
      <c r="T36" s="91">
        <v>485</v>
      </c>
      <c r="U36" s="91">
        <v>0.5</v>
      </c>
      <c r="X36" s="91" t="s">
        <v>139</v>
      </c>
      <c r="Y36" s="91" t="s">
        <v>149</v>
      </c>
      <c r="Z36" s="91" t="s">
        <v>34</v>
      </c>
      <c r="AA36" s="91" t="s">
        <v>35</v>
      </c>
      <c r="AD36" s="95" t="s">
        <v>909</v>
      </c>
      <c r="AE36" s="95">
        <f t="shared" si="0"/>
        <v>1</v>
      </c>
    </row>
    <row r="37" spans="1:31" x14ac:dyDescent="0.25">
      <c r="A37" s="91" t="s">
        <v>174</v>
      </c>
      <c r="B37" s="91">
        <v>164039</v>
      </c>
      <c r="C37" s="91">
        <v>4</v>
      </c>
      <c r="D37" s="91" t="s">
        <v>175</v>
      </c>
      <c r="E37" s="91" t="s">
        <v>29</v>
      </c>
      <c r="F37" s="91" t="s">
        <v>138</v>
      </c>
      <c r="G37" s="3">
        <v>2765</v>
      </c>
      <c r="H37" s="2">
        <v>42382</v>
      </c>
      <c r="I37" s="2">
        <v>42411</v>
      </c>
      <c r="J37" s="2">
        <v>42411</v>
      </c>
      <c r="K37" s="2">
        <v>42460</v>
      </c>
      <c r="L37" s="91" t="s">
        <v>31</v>
      </c>
      <c r="M37" s="91">
        <v>50</v>
      </c>
      <c r="N37" s="91">
        <v>164039</v>
      </c>
      <c r="P37" s="91">
        <v>0</v>
      </c>
      <c r="Q37" s="91">
        <v>50</v>
      </c>
      <c r="R37" s="3">
        <v>2764.47</v>
      </c>
      <c r="S37" s="91">
        <v>50</v>
      </c>
      <c r="T37" s="3">
        <v>2765</v>
      </c>
      <c r="U37" s="91">
        <v>35</v>
      </c>
      <c r="V37" s="2">
        <v>42430</v>
      </c>
      <c r="W37" s="2">
        <v>42433</v>
      </c>
      <c r="X37" s="91" t="s">
        <v>139</v>
      </c>
      <c r="Y37" s="91" t="s">
        <v>140</v>
      </c>
      <c r="Z37" s="91" t="s">
        <v>34</v>
      </c>
      <c r="AA37" s="91" t="s">
        <v>35</v>
      </c>
      <c r="AD37" s="95" t="s">
        <v>909</v>
      </c>
      <c r="AE37" s="95">
        <f t="shared" si="0"/>
        <v>1</v>
      </c>
    </row>
    <row r="38" spans="1:31" x14ac:dyDescent="0.25">
      <c r="A38" s="91" t="s">
        <v>176</v>
      </c>
      <c r="C38" s="91">
        <v>3</v>
      </c>
      <c r="D38" s="91" t="s">
        <v>177</v>
      </c>
      <c r="E38" s="91" t="s">
        <v>29</v>
      </c>
      <c r="F38" s="91" t="s">
        <v>138</v>
      </c>
      <c r="G38" s="3">
        <v>3980</v>
      </c>
      <c r="H38" s="2">
        <v>42382</v>
      </c>
      <c r="I38" s="2">
        <v>42411</v>
      </c>
      <c r="J38" s="2">
        <v>42411</v>
      </c>
      <c r="K38" s="2">
        <v>42460</v>
      </c>
      <c r="L38" s="91" t="s">
        <v>31</v>
      </c>
      <c r="M38" s="91">
        <v>50</v>
      </c>
      <c r="P38" s="91">
        <v>0</v>
      </c>
      <c r="Q38" s="91">
        <v>80</v>
      </c>
      <c r="R38" s="3">
        <v>3976.26</v>
      </c>
      <c r="S38" s="91">
        <v>0</v>
      </c>
      <c r="T38" s="91">
        <v>0</v>
      </c>
      <c r="U38" s="91">
        <v>0</v>
      </c>
      <c r="X38" s="91" t="s">
        <v>139</v>
      </c>
      <c r="Y38" s="91" t="s">
        <v>140</v>
      </c>
      <c r="Z38" s="91" t="s">
        <v>34</v>
      </c>
      <c r="AA38" s="91" t="s">
        <v>35</v>
      </c>
      <c r="AD38" s="95" t="s">
        <v>909</v>
      </c>
      <c r="AE38" s="95">
        <f t="shared" si="0"/>
        <v>1</v>
      </c>
    </row>
    <row r="39" spans="1:31" x14ac:dyDescent="0.25">
      <c r="A39" s="91" t="s">
        <v>178</v>
      </c>
      <c r="C39" s="91">
        <v>3</v>
      </c>
      <c r="D39" s="91" t="s">
        <v>179</v>
      </c>
      <c r="E39" s="91" t="s">
        <v>29</v>
      </c>
      <c r="F39" s="91" t="s">
        <v>138</v>
      </c>
      <c r="G39" s="3">
        <v>1405</v>
      </c>
      <c r="H39" s="2">
        <v>42382</v>
      </c>
      <c r="I39" s="2">
        <v>42412</v>
      </c>
      <c r="J39" s="2">
        <v>42412</v>
      </c>
      <c r="K39" s="2">
        <v>42460</v>
      </c>
      <c r="L39" s="91" t="s">
        <v>31</v>
      </c>
      <c r="M39" s="91">
        <v>50</v>
      </c>
      <c r="P39" s="91">
        <v>0</v>
      </c>
      <c r="Q39" s="91">
        <v>16</v>
      </c>
      <c r="R39" s="3">
        <v>1405.35</v>
      </c>
      <c r="S39" s="91">
        <v>0</v>
      </c>
      <c r="T39" s="91">
        <v>0</v>
      </c>
      <c r="U39" s="91">
        <v>0</v>
      </c>
      <c r="X39" s="91" t="s">
        <v>139</v>
      </c>
      <c r="Y39" s="91" t="s">
        <v>140</v>
      </c>
      <c r="Z39" s="91" t="s">
        <v>34</v>
      </c>
      <c r="AA39" s="91" t="s">
        <v>35</v>
      </c>
      <c r="AD39" s="95" t="s">
        <v>909</v>
      </c>
      <c r="AE39" s="95">
        <f t="shared" si="0"/>
        <v>1</v>
      </c>
    </row>
    <row r="40" spans="1:31" x14ac:dyDescent="0.25">
      <c r="A40" s="91" t="s">
        <v>180</v>
      </c>
      <c r="B40" s="91">
        <v>164038</v>
      </c>
      <c r="C40" s="91">
        <v>4</v>
      </c>
      <c r="D40" s="91" t="s">
        <v>181</v>
      </c>
      <c r="E40" s="91" t="s">
        <v>29</v>
      </c>
      <c r="F40" s="91" t="s">
        <v>138</v>
      </c>
      <c r="G40" s="3">
        <v>4370</v>
      </c>
      <c r="H40" s="2">
        <v>42382</v>
      </c>
      <c r="I40" s="2">
        <v>42412</v>
      </c>
      <c r="J40" s="2">
        <v>42412</v>
      </c>
      <c r="K40" s="2">
        <v>42460</v>
      </c>
      <c r="L40" s="91" t="s">
        <v>31</v>
      </c>
      <c r="M40" s="91">
        <v>50</v>
      </c>
      <c r="N40" s="91">
        <v>164038</v>
      </c>
      <c r="P40" s="91">
        <v>0</v>
      </c>
      <c r="Q40" s="91">
        <v>48</v>
      </c>
      <c r="R40" s="3">
        <v>2495.31</v>
      </c>
      <c r="S40" s="91">
        <v>1</v>
      </c>
      <c r="T40" s="3">
        <v>4370</v>
      </c>
      <c r="U40" s="91">
        <v>0</v>
      </c>
      <c r="X40" s="91" t="s">
        <v>139</v>
      </c>
      <c r="Y40" s="91" t="s">
        <v>140</v>
      </c>
      <c r="Z40" s="91" t="s">
        <v>34</v>
      </c>
      <c r="AA40" s="91" t="s">
        <v>35</v>
      </c>
      <c r="AD40" s="95" t="s">
        <v>909</v>
      </c>
      <c r="AE40" s="95">
        <f t="shared" si="0"/>
        <v>1</v>
      </c>
    </row>
    <row r="41" spans="1:31" x14ac:dyDescent="0.25">
      <c r="A41" s="91" t="s">
        <v>182</v>
      </c>
      <c r="C41" s="91">
        <v>5</v>
      </c>
      <c r="D41" s="91" t="s">
        <v>183</v>
      </c>
      <c r="E41" s="91" t="s">
        <v>29</v>
      </c>
      <c r="F41" s="91" t="s">
        <v>138</v>
      </c>
      <c r="G41" s="3">
        <v>3685</v>
      </c>
      <c r="H41" s="2">
        <v>42382</v>
      </c>
      <c r="I41" s="2">
        <v>42417</v>
      </c>
      <c r="J41" s="2">
        <v>42417</v>
      </c>
      <c r="K41" s="2">
        <v>42460</v>
      </c>
      <c r="L41" s="91" t="s">
        <v>31</v>
      </c>
      <c r="M41" s="91">
        <v>30</v>
      </c>
      <c r="P41" s="91">
        <v>0</v>
      </c>
      <c r="Q41" s="91">
        <v>25</v>
      </c>
      <c r="R41" s="3">
        <v>3695.85</v>
      </c>
      <c r="S41" s="91">
        <v>0</v>
      </c>
      <c r="T41" s="91">
        <v>0</v>
      </c>
      <c r="U41" s="91">
        <v>0</v>
      </c>
      <c r="X41" s="91" t="s">
        <v>139</v>
      </c>
      <c r="Y41" s="91" t="s">
        <v>140</v>
      </c>
      <c r="Z41" s="91" t="s">
        <v>34</v>
      </c>
      <c r="AA41" s="91" t="s">
        <v>35</v>
      </c>
      <c r="AD41" s="95" t="s">
        <v>909</v>
      </c>
      <c r="AE41" s="95">
        <f t="shared" si="0"/>
        <v>1</v>
      </c>
    </row>
    <row r="42" spans="1:31" x14ac:dyDescent="0.25">
      <c r="A42" s="91" t="s">
        <v>184</v>
      </c>
      <c r="B42" s="91">
        <v>164036</v>
      </c>
      <c r="C42" s="91">
        <v>4</v>
      </c>
      <c r="D42" s="91" t="s">
        <v>185</v>
      </c>
      <c r="E42" s="91" t="s">
        <v>29</v>
      </c>
      <c r="F42" s="91" t="s">
        <v>138</v>
      </c>
      <c r="G42" s="3">
        <v>1255</v>
      </c>
      <c r="H42" s="2">
        <v>42382</v>
      </c>
      <c r="I42" s="2">
        <v>42417</v>
      </c>
      <c r="J42" s="2">
        <v>42417</v>
      </c>
      <c r="K42" s="2">
        <v>42460</v>
      </c>
      <c r="L42" s="91" t="s">
        <v>31</v>
      </c>
      <c r="M42" s="91">
        <v>50</v>
      </c>
      <c r="N42" s="91">
        <v>164036</v>
      </c>
      <c r="P42" s="91">
        <v>0</v>
      </c>
      <c r="Q42" s="91">
        <v>20</v>
      </c>
      <c r="R42" s="3">
        <v>1257.83</v>
      </c>
      <c r="S42" s="91">
        <v>20</v>
      </c>
      <c r="T42" s="3">
        <v>1255</v>
      </c>
      <c r="U42" s="91">
        <v>16.5</v>
      </c>
      <c r="V42" s="2">
        <v>42429</v>
      </c>
      <c r="W42" s="2">
        <v>42429</v>
      </c>
      <c r="X42" s="91" t="s">
        <v>139</v>
      </c>
      <c r="Y42" s="91" t="s">
        <v>140</v>
      </c>
      <c r="Z42" s="91" t="s">
        <v>34</v>
      </c>
      <c r="AA42" s="91" t="s">
        <v>35</v>
      </c>
      <c r="AD42" s="95" t="s">
        <v>909</v>
      </c>
      <c r="AE42" s="95">
        <f t="shared" si="0"/>
        <v>1</v>
      </c>
    </row>
    <row r="43" spans="1:31" x14ac:dyDescent="0.25">
      <c r="A43" s="91" t="s">
        <v>186</v>
      </c>
      <c r="C43" s="91">
        <v>7</v>
      </c>
      <c r="D43" s="91" t="s">
        <v>187</v>
      </c>
      <c r="E43" s="91" t="s">
        <v>188</v>
      </c>
      <c r="F43" s="91" t="s">
        <v>189</v>
      </c>
      <c r="G43" s="91">
        <v>0</v>
      </c>
      <c r="H43" s="2">
        <v>42382</v>
      </c>
      <c r="I43" s="2">
        <v>42391</v>
      </c>
      <c r="K43" s="2">
        <v>42429</v>
      </c>
      <c r="L43" s="91" t="s">
        <v>31</v>
      </c>
      <c r="M43" s="91">
        <v>20</v>
      </c>
      <c r="P43" s="91">
        <v>0</v>
      </c>
      <c r="Q43" s="91">
        <v>0</v>
      </c>
      <c r="R43" s="91">
        <v>0</v>
      </c>
      <c r="S43" s="91">
        <v>0</v>
      </c>
      <c r="T43" s="91">
        <v>0</v>
      </c>
      <c r="U43" s="91">
        <v>0</v>
      </c>
      <c r="X43" s="91" t="s">
        <v>190</v>
      </c>
      <c r="Y43" s="91" t="s">
        <v>191</v>
      </c>
      <c r="Z43" s="91" t="s">
        <v>192</v>
      </c>
      <c r="AA43" s="91" t="s">
        <v>35</v>
      </c>
      <c r="AD43" s="95" t="s">
        <v>909</v>
      </c>
      <c r="AE43" s="95">
        <f t="shared" si="0"/>
        <v>1</v>
      </c>
    </row>
    <row r="44" spans="1:31" x14ac:dyDescent="0.25">
      <c r="A44" s="91" t="s">
        <v>193</v>
      </c>
      <c r="C44" s="91">
        <v>3</v>
      </c>
      <c r="D44" s="91" t="s">
        <v>194</v>
      </c>
      <c r="E44" s="91" t="s">
        <v>58</v>
      </c>
      <c r="F44" s="91" t="s">
        <v>59</v>
      </c>
      <c r="G44" s="3">
        <v>11720</v>
      </c>
      <c r="H44" s="2">
        <v>42382</v>
      </c>
      <c r="I44" s="2">
        <v>42384</v>
      </c>
      <c r="J44" s="2">
        <v>42388</v>
      </c>
      <c r="K44" s="2">
        <v>42522</v>
      </c>
      <c r="L44" s="91" t="s">
        <v>31</v>
      </c>
      <c r="M44" s="91">
        <v>50</v>
      </c>
      <c r="P44" s="91">
        <v>0</v>
      </c>
      <c r="Q44" s="91">
        <v>56</v>
      </c>
      <c r="R44" s="3">
        <v>11718.92</v>
      </c>
      <c r="S44" s="91">
        <v>0</v>
      </c>
      <c r="T44" s="91">
        <v>0</v>
      </c>
      <c r="U44" s="91">
        <v>0</v>
      </c>
      <c r="X44" s="91" t="s">
        <v>100</v>
      </c>
      <c r="Y44" s="91" t="s">
        <v>195</v>
      </c>
      <c r="Z44" s="91" t="s">
        <v>196</v>
      </c>
      <c r="AA44" s="91" t="s">
        <v>35</v>
      </c>
      <c r="AD44" s="95" t="s">
        <v>909</v>
      </c>
      <c r="AE44" s="95">
        <f t="shared" si="0"/>
        <v>1</v>
      </c>
    </row>
    <row r="45" spans="1:31" x14ac:dyDescent="0.25">
      <c r="A45" s="91" t="s">
        <v>197</v>
      </c>
      <c r="C45" s="91">
        <v>3</v>
      </c>
      <c r="D45" s="91" t="s">
        <v>198</v>
      </c>
      <c r="E45" s="91" t="s">
        <v>58</v>
      </c>
      <c r="F45" s="91" t="s">
        <v>59</v>
      </c>
      <c r="G45" s="3">
        <v>14032</v>
      </c>
      <c r="H45" s="2">
        <v>42382</v>
      </c>
      <c r="I45" s="2">
        <v>42384</v>
      </c>
      <c r="J45" s="2">
        <v>42389</v>
      </c>
      <c r="K45" s="2">
        <v>42522</v>
      </c>
      <c r="L45" s="91" t="s">
        <v>31</v>
      </c>
      <c r="M45" s="91">
        <v>50</v>
      </c>
      <c r="P45" s="91">
        <v>0</v>
      </c>
      <c r="Q45" s="91">
        <v>16</v>
      </c>
      <c r="R45" s="3">
        <v>1134.22</v>
      </c>
      <c r="S45" s="91">
        <v>0</v>
      </c>
      <c r="T45" s="91">
        <v>0</v>
      </c>
      <c r="U45" s="91">
        <v>0</v>
      </c>
      <c r="X45" s="91" t="s">
        <v>100</v>
      </c>
      <c r="Y45" s="91" t="s">
        <v>195</v>
      </c>
      <c r="Z45" s="91" t="s">
        <v>196</v>
      </c>
      <c r="AA45" s="91" t="s">
        <v>35</v>
      </c>
      <c r="AD45" s="95" t="s">
        <v>909</v>
      </c>
      <c r="AE45" s="95">
        <f t="shared" si="0"/>
        <v>1</v>
      </c>
    </row>
    <row r="46" spans="1:31" x14ac:dyDescent="0.25">
      <c r="A46" s="91" t="s">
        <v>199</v>
      </c>
      <c r="C46" s="91">
        <v>3</v>
      </c>
      <c r="D46" s="91" t="s">
        <v>200</v>
      </c>
      <c r="E46" s="91" t="s">
        <v>58</v>
      </c>
      <c r="F46" s="91" t="s">
        <v>59</v>
      </c>
      <c r="G46" s="3">
        <v>6655</v>
      </c>
      <c r="H46" s="2">
        <v>42382</v>
      </c>
      <c r="I46" s="2">
        <v>42398</v>
      </c>
      <c r="J46" s="2">
        <v>42423</v>
      </c>
      <c r="K46" s="2">
        <v>42407</v>
      </c>
      <c r="L46" s="91" t="s">
        <v>31</v>
      </c>
      <c r="M46" s="91">
        <v>60</v>
      </c>
      <c r="P46" s="91">
        <v>0</v>
      </c>
      <c r="Q46" s="91">
        <v>2</v>
      </c>
      <c r="R46" s="3">
        <v>6653.2</v>
      </c>
      <c r="S46" s="91">
        <v>0</v>
      </c>
      <c r="T46" s="91">
        <v>0</v>
      </c>
      <c r="U46" s="91">
        <v>0</v>
      </c>
      <c r="X46" s="91" t="s">
        <v>100</v>
      </c>
      <c r="Y46" s="91" t="s">
        <v>201</v>
      </c>
      <c r="Z46" s="91" t="s">
        <v>202</v>
      </c>
      <c r="AA46" s="91" t="s">
        <v>35</v>
      </c>
      <c r="AD46" s="95" t="s">
        <v>909</v>
      </c>
      <c r="AE46" s="95">
        <f t="shared" si="0"/>
        <v>1</v>
      </c>
    </row>
    <row r="47" spans="1:31" x14ac:dyDescent="0.25">
      <c r="A47" s="91" t="s">
        <v>203</v>
      </c>
      <c r="C47" s="91">
        <v>2</v>
      </c>
      <c r="D47" s="91" t="s">
        <v>204</v>
      </c>
      <c r="E47" s="91" t="s">
        <v>58</v>
      </c>
      <c r="F47" s="91" t="s">
        <v>87</v>
      </c>
      <c r="G47" s="3">
        <v>0</v>
      </c>
      <c r="H47" s="2">
        <v>42382</v>
      </c>
      <c r="I47" s="2">
        <v>42398</v>
      </c>
      <c r="J47" s="2"/>
      <c r="K47" s="2"/>
      <c r="L47" s="91" t="s">
        <v>31</v>
      </c>
      <c r="M47" s="91">
        <v>0</v>
      </c>
      <c r="P47" s="91">
        <v>0</v>
      </c>
      <c r="Q47" s="91">
        <v>0</v>
      </c>
      <c r="R47" s="3">
        <v>0</v>
      </c>
      <c r="S47" s="91">
        <v>0</v>
      </c>
      <c r="T47" s="3">
        <v>0</v>
      </c>
      <c r="U47" s="91">
        <v>0</v>
      </c>
      <c r="V47" s="2"/>
      <c r="W47" s="2"/>
      <c r="X47" s="91" t="s">
        <v>205</v>
      </c>
      <c r="Y47" s="91" t="s">
        <v>206</v>
      </c>
      <c r="Z47" s="91" t="s">
        <v>207</v>
      </c>
      <c r="AA47" s="91" t="s">
        <v>35</v>
      </c>
      <c r="AD47" s="95" t="s">
        <v>909</v>
      </c>
      <c r="AE47" s="95">
        <f t="shared" si="0"/>
        <v>1</v>
      </c>
    </row>
    <row r="48" spans="1:31" x14ac:dyDescent="0.25">
      <c r="A48" s="91" t="s">
        <v>208</v>
      </c>
      <c r="C48" s="91">
        <v>6</v>
      </c>
      <c r="D48" s="91" t="s">
        <v>209</v>
      </c>
      <c r="E48" s="91" t="s">
        <v>65</v>
      </c>
      <c r="F48" s="91" t="s">
        <v>30</v>
      </c>
      <c r="G48" s="3">
        <v>0</v>
      </c>
      <c r="H48" s="2">
        <v>42383</v>
      </c>
      <c r="I48" s="2">
        <v>42460</v>
      </c>
      <c r="J48" s="2"/>
      <c r="K48" s="2">
        <v>42401</v>
      </c>
      <c r="L48" s="91" t="s">
        <v>31</v>
      </c>
      <c r="M48" s="91">
        <v>30</v>
      </c>
      <c r="P48" s="91">
        <v>0</v>
      </c>
      <c r="Q48" s="91">
        <v>0</v>
      </c>
      <c r="R48" s="3">
        <v>0</v>
      </c>
      <c r="S48" s="91">
        <v>0</v>
      </c>
      <c r="T48" s="91">
        <v>0</v>
      </c>
      <c r="U48" s="91">
        <v>0</v>
      </c>
      <c r="X48" s="91" t="s">
        <v>32</v>
      </c>
      <c r="Y48" s="91" t="s">
        <v>210</v>
      </c>
      <c r="Z48" s="91" t="s">
        <v>211</v>
      </c>
      <c r="AA48" s="91" t="s">
        <v>35</v>
      </c>
      <c r="AD48" s="95" t="s">
        <v>909</v>
      </c>
      <c r="AE48" s="95">
        <f t="shared" si="0"/>
        <v>1</v>
      </c>
    </row>
    <row r="49" spans="1:31" x14ac:dyDescent="0.25">
      <c r="A49" s="91" t="s">
        <v>212</v>
      </c>
      <c r="C49" s="91">
        <v>7</v>
      </c>
      <c r="D49" s="91" t="s">
        <v>213</v>
      </c>
      <c r="E49" s="91" t="s">
        <v>65</v>
      </c>
      <c r="F49" s="91" t="s">
        <v>80</v>
      </c>
      <c r="G49" s="3">
        <v>80000</v>
      </c>
      <c r="H49" s="2">
        <v>42383</v>
      </c>
      <c r="I49" s="2"/>
      <c r="J49" s="2"/>
      <c r="K49" s="2"/>
      <c r="L49" s="91" t="s">
        <v>31</v>
      </c>
      <c r="M49" s="91">
        <v>25</v>
      </c>
      <c r="P49" s="91">
        <v>0</v>
      </c>
      <c r="Q49" s="91">
        <v>0</v>
      </c>
      <c r="R49" s="3">
        <v>0</v>
      </c>
      <c r="S49" s="91">
        <v>0</v>
      </c>
      <c r="T49" s="3">
        <v>0</v>
      </c>
      <c r="U49" s="91">
        <v>0</v>
      </c>
      <c r="V49" s="2"/>
      <c r="W49" s="2"/>
      <c r="X49" s="91" t="s">
        <v>214</v>
      </c>
      <c r="Y49" s="91" t="s">
        <v>215</v>
      </c>
      <c r="Z49" s="91" t="s">
        <v>216</v>
      </c>
      <c r="AA49" s="91" t="s">
        <v>35</v>
      </c>
      <c r="AD49" s="95" t="s">
        <v>909</v>
      </c>
      <c r="AE49" s="95">
        <f t="shared" si="0"/>
        <v>1</v>
      </c>
    </row>
    <row r="50" spans="1:31" x14ac:dyDescent="0.25">
      <c r="A50" s="91" t="s">
        <v>217</v>
      </c>
      <c r="C50" s="91">
        <v>3</v>
      </c>
      <c r="D50" s="91" t="s">
        <v>218</v>
      </c>
      <c r="E50" s="91" t="s">
        <v>65</v>
      </c>
      <c r="F50" s="91" t="s">
        <v>80</v>
      </c>
      <c r="G50" s="3">
        <v>77380</v>
      </c>
      <c r="H50" s="2">
        <v>42383</v>
      </c>
      <c r="I50" s="2">
        <v>42418</v>
      </c>
      <c r="J50" s="2">
        <v>42419</v>
      </c>
      <c r="K50" s="2">
        <v>42675</v>
      </c>
      <c r="L50" s="91" t="s">
        <v>31</v>
      </c>
      <c r="M50" s="91">
        <v>30</v>
      </c>
      <c r="P50" s="91">
        <v>0</v>
      </c>
      <c r="Q50" s="91">
        <v>272</v>
      </c>
      <c r="R50" s="3">
        <v>77362.83</v>
      </c>
      <c r="S50" s="91">
        <v>0</v>
      </c>
      <c r="T50" s="3">
        <v>0</v>
      </c>
      <c r="U50" s="91">
        <v>0</v>
      </c>
      <c r="V50" s="2"/>
      <c r="W50" s="2"/>
      <c r="X50" s="91" t="s">
        <v>81</v>
      </c>
      <c r="Y50" s="91" t="s">
        <v>219</v>
      </c>
      <c r="Z50" s="91" t="s">
        <v>216</v>
      </c>
      <c r="AA50" s="91" t="s">
        <v>35</v>
      </c>
      <c r="AD50" s="95" t="s">
        <v>909</v>
      </c>
      <c r="AE50" s="95">
        <f t="shared" si="0"/>
        <v>1</v>
      </c>
    </row>
    <row r="51" spans="1:31" x14ac:dyDescent="0.25">
      <c r="A51" s="91" t="s">
        <v>220</v>
      </c>
      <c r="C51" s="91">
        <v>2</v>
      </c>
      <c r="D51" s="91" t="s">
        <v>221</v>
      </c>
      <c r="E51" s="91" t="s">
        <v>58</v>
      </c>
      <c r="F51" s="91" t="s">
        <v>87</v>
      </c>
      <c r="G51" s="3">
        <v>0</v>
      </c>
      <c r="H51" s="2">
        <v>42383</v>
      </c>
      <c r="I51" s="2">
        <v>42409</v>
      </c>
      <c r="J51" s="2"/>
      <c r="K51" s="2"/>
      <c r="L51" s="91" t="s">
        <v>31</v>
      </c>
      <c r="M51" s="91">
        <v>0</v>
      </c>
      <c r="P51" s="91">
        <v>0</v>
      </c>
      <c r="Q51" s="3">
        <v>0</v>
      </c>
      <c r="R51" s="3">
        <v>0</v>
      </c>
      <c r="S51" s="91">
        <v>0</v>
      </c>
      <c r="T51" s="91">
        <v>0</v>
      </c>
      <c r="U51" s="91">
        <v>0</v>
      </c>
      <c r="X51" s="91" t="s">
        <v>222</v>
      </c>
      <c r="Y51" s="91" t="s">
        <v>223</v>
      </c>
      <c r="Z51" s="91" t="s">
        <v>224</v>
      </c>
      <c r="AA51" s="91" t="s">
        <v>35</v>
      </c>
      <c r="AD51" s="95" t="s">
        <v>909</v>
      </c>
      <c r="AE51" s="95">
        <f t="shared" si="0"/>
        <v>1</v>
      </c>
    </row>
    <row r="52" spans="1:31" x14ac:dyDescent="0.25">
      <c r="A52" s="91" t="s">
        <v>225</v>
      </c>
      <c r="B52" s="91">
        <v>160607</v>
      </c>
      <c r="C52" s="91">
        <v>4</v>
      </c>
      <c r="D52" s="91" t="s">
        <v>226</v>
      </c>
      <c r="E52" s="91" t="s">
        <v>58</v>
      </c>
      <c r="F52" s="91" t="s">
        <v>59</v>
      </c>
      <c r="G52" s="3">
        <v>2352</v>
      </c>
      <c r="H52" s="2">
        <v>42383</v>
      </c>
      <c r="I52" s="2">
        <v>42391</v>
      </c>
      <c r="J52" s="2">
        <v>42389</v>
      </c>
      <c r="K52" s="2">
        <v>42401</v>
      </c>
      <c r="L52" s="91" t="s">
        <v>31</v>
      </c>
      <c r="M52" s="91">
        <v>60</v>
      </c>
      <c r="N52" s="91">
        <v>160607</v>
      </c>
      <c r="P52" s="91">
        <v>0</v>
      </c>
      <c r="Q52" s="91">
        <v>24</v>
      </c>
      <c r="R52" s="3">
        <v>2351.5</v>
      </c>
      <c r="S52" s="91">
        <v>24</v>
      </c>
      <c r="T52" s="3">
        <v>2352</v>
      </c>
      <c r="U52" s="91">
        <v>37.5</v>
      </c>
      <c r="V52" s="2">
        <v>42397</v>
      </c>
      <c r="W52" s="2">
        <v>42397</v>
      </c>
      <c r="X52" s="91" t="s">
        <v>100</v>
      </c>
      <c r="Y52" s="91" t="s">
        <v>227</v>
      </c>
      <c r="Z52" s="91" t="s">
        <v>228</v>
      </c>
      <c r="AA52" s="91" t="s">
        <v>35</v>
      </c>
      <c r="AD52" s="95" t="s">
        <v>909</v>
      </c>
      <c r="AE52" s="95">
        <f t="shared" si="0"/>
        <v>1</v>
      </c>
    </row>
    <row r="53" spans="1:31" x14ac:dyDescent="0.25">
      <c r="A53" s="91" t="s">
        <v>229</v>
      </c>
      <c r="C53" s="91">
        <v>3</v>
      </c>
      <c r="D53" s="91" t="s">
        <v>230</v>
      </c>
      <c r="E53" s="91" t="s">
        <v>65</v>
      </c>
      <c r="F53" s="91" t="s">
        <v>66</v>
      </c>
      <c r="G53" s="3">
        <v>20660</v>
      </c>
      <c r="H53" s="2">
        <v>42383</v>
      </c>
      <c r="I53" s="2">
        <v>42387</v>
      </c>
      <c r="J53" s="2">
        <v>42388</v>
      </c>
      <c r="K53" s="2">
        <v>42394</v>
      </c>
      <c r="L53" s="91" t="s">
        <v>31</v>
      </c>
      <c r="M53" s="91">
        <v>20</v>
      </c>
      <c r="P53" s="91">
        <v>0</v>
      </c>
      <c r="Q53" s="91">
        <v>153</v>
      </c>
      <c r="R53" s="3">
        <v>20657.32</v>
      </c>
      <c r="S53" s="91">
        <v>0</v>
      </c>
      <c r="T53" s="3">
        <v>0</v>
      </c>
      <c r="U53" s="91">
        <v>0</v>
      </c>
      <c r="X53" s="91" t="s">
        <v>67</v>
      </c>
      <c r="Y53" s="91" t="s">
        <v>231</v>
      </c>
      <c r="Z53" s="91" t="s">
        <v>129</v>
      </c>
      <c r="AA53" s="91" t="s">
        <v>35</v>
      </c>
      <c r="AD53" s="95" t="s">
        <v>909</v>
      </c>
      <c r="AE53" s="95">
        <f t="shared" si="0"/>
        <v>1</v>
      </c>
    </row>
    <row r="54" spans="1:31" x14ac:dyDescent="0.25">
      <c r="A54" s="91" t="s">
        <v>232</v>
      </c>
      <c r="B54" s="91">
        <v>160010</v>
      </c>
      <c r="C54" s="91">
        <v>4</v>
      </c>
      <c r="D54" s="91" t="s">
        <v>233</v>
      </c>
      <c r="E54" s="91" t="s">
        <v>65</v>
      </c>
      <c r="F54" s="91" t="s">
        <v>66</v>
      </c>
      <c r="G54" s="3">
        <v>6955</v>
      </c>
      <c r="H54" s="2">
        <v>42383</v>
      </c>
      <c r="I54" s="2">
        <v>42398</v>
      </c>
      <c r="J54" s="2">
        <v>42398</v>
      </c>
      <c r="K54" s="2">
        <v>42429</v>
      </c>
      <c r="L54" s="91" t="s">
        <v>31</v>
      </c>
      <c r="M54" s="91">
        <v>50</v>
      </c>
      <c r="N54" s="91">
        <v>160010</v>
      </c>
      <c r="P54" s="91">
        <v>0</v>
      </c>
      <c r="Q54" s="91">
        <v>74</v>
      </c>
      <c r="R54" s="3">
        <v>15800.28</v>
      </c>
      <c r="S54" s="91">
        <v>3</v>
      </c>
      <c r="T54" s="3">
        <v>6955</v>
      </c>
      <c r="U54" s="91">
        <v>30</v>
      </c>
      <c r="V54" s="2">
        <v>42437</v>
      </c>
      <c r="W54" s="2">
        <v>42461</v>
      </c>
      <c r="X54" s="91" t="s">
        <v>67</v>
      </c>
      <c r="Y54" s="91" t="s">
        <v>234</v>
      </c>
      <c r="Z54" s="91" t="s">
        <v>235</v>
      </c>
      <c r="AA54" s="91" t="s">
        <v>35</v>
      </c>
      <c r="AD54" s="95" t="s">
        <v>909</v>
      </c>
      <c r="AE54" s="95">
        <f t="shared" si="0"/>
        <v>1</v>
      </c>
    </row>
    <row r="55" spans="1:31" x14ac:dyDescent="0.25">
      <c r="A55" s="91" t="s">
        <v>236</v>
      </c>
      <c r="B55" s="91">
        <v>160615</v>
      </c>
      <c r="C55" s="91">
        <v>4</v>
      </c>
      <c r="D55" s="91" t="s">
        <v>237</v>
      </c>
      <c r="E55" s="91" t="s">
        <v>58</v>
      </c>
      <c r="F55" s="91" t="s">
        <v>30</v>
      </c>
      <c r="G55" s="3">
        <v>1920</v>
      </c>
      <c r="H55" s="2">
        <v>42384</v>
      </c>
      <c r="I55" s="2">
        <v>42389</v>
      </c>
      <c r="J55" s="2">
        <v>42387</v>
      </c>
      <c r="K55" s="2">
        <v>42522</v>
      </c>
      <c r="L55" s="91" t="s">
        <v>31</v>
      </c>
      <c r="M55" s="91">
        <v>50</v>
      </c>
      <c r="N55" s="91">
        <v>160615</v>
      </c>
      <c r="P55" s="91">
        <v>0</v>
      </c>
      <c r="Q55" s="91">
        <v>20</v>
      </c>
      <c r="R55" s="3">
        <v>1921.5</v>
      </c>
      <c r="S55" s="91">
        <v>20</v>
      </c>
      <c r="T55" s="3">
        <v>1920</v>
      </c>
      <c r="U55" s="91">
        <v>5</v>
      </c>
      <c r="V55" s="2">
        <v>42429</v>
      </c>
      <c r="W55" s="2">
        <v>42429</v>
      </c>
      <c r="X55" s="91" t="s">
        <v>32</v>
      </c>
      <c r="Y55" s="91" t="s">
        <v>238</v>
      </c>
      <c r="Z55" s="91" t="s">
        <v>239</v>
      </c>
      <c r="AA55" s="91" t="s">
        <v>35</v>
      </c>
      <c r="AD55" s="95" t="s">
        <v>909</v>
      </c>
      <c r="AE55" s="95">
        <f t="shared" si="0"/>
        <v>1</v>
      </c>
    </row>
    <row r="56" spans="1:31" x14ac:dyDescent="0.25">
      <c r="A56" s="91" t="s">
        <v>240</v>
      </c>
      <c r="C56" s="91">
        <v>5</v>
      </c>
      <c r="D56" s="91" t="s">
        <v>241</v>
      </c>
      <c r="E56" s="91" t="s">
        <v>58</v>
      </c>
      <c r="F56" s="91" t="s">
        <v>87</v>
      </c>
      <c r="G56" s="3">
        <v>197850</v>
      </c>
      <c r="H56" s="2">
        <v>42384</v>
      </c>
      <c r="I56" s="2">
        <v>42430</v>
      </c>
      <c r="J56" s="2">
        <v>42430</v>
      </c>
      <c r="K56" s="2">
        <v>42482</v>
      </c>
      <c r="L56" s="91" t="s">
        <v>31</v>
      </c>
      <c r="M56" s="91">
        <v>30</v>
      </c>
      <c r="P56" s="91">
        <v>0</v>
      </c>
      <c r="Q56" s="3">
        <v>2342</v>
      </c>
      <c r="R56" s="3">
        <v>197844.45</v>
      </c>
      <c r="S56" s="91">
        <v>0</v>
      </c>
      <c r="T56" s="3">
        <v>0</v>
      </c>
      <c r="U56" s="91">
        <v>0</v>
      </c>
      <c r="X56" s="91" t="s">
        <v>242</v>
      </c>
      <c r="Y56" s="91" t="s">
        <v>243</v>
      </c>
      <c r="Z56" s="91" t="s">
        <v>244</v>
      </c>
      <c r="AA56" s="91" t="s">
        <v>35</v>
      </c>
      <c r="AD56" s="95" t="s">
        <v>909</v>
      </c>
      <c r="AE56" s="95">
        <f t="shared" si="0"/>
        <v>1</v>
      </c>
    </row>
    <row r="57" spans="1:31" x14ac:dyDescent="0.25">
      <c r="A57" s="91" t="s">
        <v>245</v>
      </c>
      <c r="C57" s="91">
        <v>3</v>
      </c>
      <c r="D57" s="91" t="s">
        <v>246</v>
      </c>
      <c r="E57" s="91" t="s">
        <v>29</v>
      </c>
      <c r="F57" s="91" t="s">
        <v>38</v>
      </c>
      <c r="G57" s="3">
        <v>4250</v>
      </c>
      <c r="H57" s="2">
        <v>42384</v>
      </c>
      <c r="I57" s="2"/>
      <c r="J57" s="2">
        <v>42384</v>
      </c>
      <c r="K57" s="2">
        <v>42460</v>
      </c>
      <c r="L57" s="91" t="s">
        <v>31</v>
      </c>
      <c r="M57" s="91">
        <v>50</v>
      </c>
      <c r="P57" s="91">
        <v>0</v>
      </c>
      <c r="Q57" s="91">
        <v>82</v>
      </c>
      <c r="R57" s="3">
        <v>4250.71</v>
      </c>
      <c r="S57" s="91">
        <v>0</v>
      </c>
      <c r="T57" s="91">
        <v>0</v>
      </c>
      <c r="U57" s="91">
        <v>0</v>
      </c>
      <c r="X57" s="91" t="s">
        <v>247</v>
      </c>
      <c r="Y57" s="91" t="s">
        <v>40</v>
      </c>
      <c r="Z57" s="91" t="s">
        <v>34</v>
      </c>
      <c r="AA57" s="91" t="s">
        <v>35</v>
      </c>
      <c r="AD57" s="95" t="s">
        <v>909</v>
      </c>
      <c r="AE57" s="95">
        <f t="shared" si="0"/>
        <v>1</v>
      </c>
    </row>
    <row r="58" spans="1:31" x14ac:dyDescent="0.25">
      <c r="A58" s="91" t="s">
        <v>248</v>
      </c>
      <c r="B58" s="91">
        <v>164211</v>
      </c>
      <c r="C58" s="91">
        <v>4</v>
      </c>
      <c r="D58" s="91" t="s">
        <v>249</v>
      </c>
      <c r="E58" s="91" t="s">
        <v>29</v>
      </c>
      <c r="F58" s="91" t="s">
        <v>38</v>
      </c>
      <c r="G58" s="3">
        <v>3250</v>
      </c>
      <c r="H58" s="2">
        <v>42384</v>
      </c>
      <c r="I58" s="2"/>
      <c r="J58" s="2">
        <v>42384</v>
      </c>
      <c r="K58" s="2"/>
      <c r="L58" s="91" t="s">
        <v>31</v>
      </c>
      <c r="M58" s="91">
        <v>50</v>
      </c>
      <c r="N58" s="91">
        <v>164211</v>
      </c>
      <c r="P58" s="91">
        <v>0</v>
      </c>
      <c r="Q58" s="91">
        <v>58</v>
      </c>
      <c r="R58" s="3">
        <v>3250.24</v>
      </c>
      <c r="S58" s="91">
        <v>58</v>
      </c>
      <c r="T58" s="3">
        <v>3250</v>
      </c>
      <c r="U58" s="91">
        <v>0.5</v>
      </c>
      <c r="V58" s="2"/>
      <c r="W58" s="2"/>
      <c r="X58" s="91" t="s">
        <v>250</v>
      </c>
      <c r="Y58" s="91" t="s">
        <v>163</v>
      </c>
      <c r="Z58" s="91" t="s">
        <v>34</v>
      </c>
      <c r="AA58" s="91" t="s">
        <v>35</v>
      </c>
      <c r="AD58" s="95" t="s">
        <v>909</v>
      </c>
      <c r="AE58" s="95">
        <f t="shared" si="0"/>
        <v>1</v>
      </c>
    </row>
    <row r="59" spans="1:31" x14ac:dyDescent="0.25">
      <c r="A59" s="91" t="s">
        <v>251</v>
      </c>
      <c r="C59" s="91">
        <v>3</v>
      </c>
      <c r="D59" s="91" t="s">
        <v>252</v>
      </c>
      <c r="E59" s="91" t="s">
        <v>58</v>
      </c>
      <c r="F59" s="91" t="s">
        <v>30</v>
      </c>
      <c r="G59" s="3">
        <v>43150</v>
      </c>
      <c r="H59" s="2">
        <v>42388</v>
      </c>
      <c r="I59" s="2">
        <v>42398</v>
      </c>
      <c r="J59" s="2">
        <v>42405</v>
      </c>
      <c r="K59" s="2">
        <v>42429</v>
      </c>
      <c r="L59" s="91" t="s">
        <v>31</v>
      </c>
      <c r="M59" s="91">
        <v>30</v>
      </c>
      <c r="P59" s="91">
        <v>0</v>
      </c>
      <c r="Q59" s="91">
        <v>278</v>
      </c>
      <c r="R59" s="3">
        <v>43149.05</v>
      </c>
      <c r="S59" s="91">
        <v>0</v>
      </c>
      <c r="T59" s="3">
        <v>0</v>
      </c>
      <c r="U59" s="91">
        <v>0</v>
      </c>
      <c r="X59" s="91" t="s">
        <v>253</v>
      </c>
      <c r="Y59" s="91" t="s">
        <v>254</v>
      </c>
      <c r="Z59" s="91" t="s">
        <v>255</v>
      </c>
      <c r="AA59" s="91" t="s">
        <v>35</v>
      </c>
      <c r="AD59" s="95" t="s">
        <v>909</v>
      </c>
      <c r="AE59" s="95">
        <f t="shared" si="0"/>
        <v>1</v>
      </c>
    </row>
    <row r="60" spans="1:31" x14ac:dyDescent="0.25">
      <c r="A60" s="91" t="s">
        <v>256</v>
      </c>
      <c r="C60" s="91">
        <v>3</v>
      </c>
      <c r="D60" s="91" t="s">
        <v>257</v>
      </c>
      <c r="E60" s="91" t="s">
        <v>29</v>
      </c>
      <c r="F60" s="91" t="s">
        <v>30</v>
      </c>
      <c r="G60" s="3">
        <v>3780</v>
      </c>
      <c r="H60" s="2">
        <v>42388</v>
      </c>
      <c r="I60" s="2">
        <v>42391</v>
      </c>
      <c r="J60" s="2">
        <v>42390</v>
      </c>
      <c r="K60" s="2">
        <v>42429</v>
      </c>
      <c r="L60" s="91" t="s">
        <v>31</v>
      </c>
      <c r="M60" s="91">
        <v>30</v>
      </c>
      <c r="P60" s="91">
        <v>0</v>
      </c>
      <c r="Q60" s="91">
        <v>33</v>
      </c>
      <c r="R60" s="3">
        <v>3781.45</v>
      </c>
      <c r="S60" s="91">
        <v>0</v>
      </c>
      <c r="T60" s="91">
        <v>0</v>
      </c>
      <c r="U60" s="91">
        <v>0</v>
      </c>
      <c r="X60" s="91" t="s">
        <v>32</v>
      </c>
      <c r="Y60" s="91" t="s">
        <v>258</v>
      </c>
      <c r="Z60" s="91" t="s">
        <v>34</v>
      </c>
      <c r="AA60" s="91" t="s">
        <v>35</v>
      </c>
      <c r="AD60" s="95" t="s">
        <v>909</v>
      </c>
      <c r="AE60" s="95">
        <f t="shared" si="0"/>
        <v>1</v>
      </c>
    </row>
    <row r="61" spans="1:31" x14ac:dyDescent="0.25">
      <c r="A61" s="91" t="s">
        <v>259</v>
      </c>
      <c r="B61" s="91">
        <v>160256</v>
      </c>
      <c r="C61" s="91">
        <v>4</v>
      </c>
      <c r="D61" s="91" t="s">
        <v>260</v>
      </c>
      <c r="E61" s="91" t="s">
        <v>29</v>
      </c>
      <c r="F61" s="91" t="s">
        <v>30</v>
      </c>
      <c r="G61" s="3">
        <v>1180</v>
      </c>
      <c r="H61" s="2">
        <v>42388</v>
      </c>
      <c r="I61" s="2">
        <v>42391</v>
      </c>
      <c r="J61" s="2">
        <v>42390</v>
      </c>
      <c r="K61" s="2">
        <v>42429</v>
      </c>
      <c r="L61" s="91" t="s">
        <v>31</v>
      </c>
      <c r="M61" s="91">
        <v>30</v>
      </c>
      <c r="N61" s="91">
        <v>160256</v>
      </c>
      <c r="P61" s="91">
        <v>0</v>
      </c>
      <c r="Q61" s="91">
        <v>16</v>
      </c>
      <c r="R61" s="3">
        <v>1179.3599999999999</v>
      </c>
      <c r="S61" s="91">
        <v>17</v>
      </c>
      <c r="T61" s="3">
        <v>2280</v>
      </c>
      <c r="U61" s="91">
        <v>0.5</v>
      </c>
      <c r="X61" s="91" t="s">
        <v>32</v>
      </c>
      <c r="Y61" s="91" t="s">
        <v>258</v>
      </c>
      <c r="Z61" s="91" t="s">
        <v>34</v>
      </c>
      <c r="AA61" s="91" t="s">
        <v>35</v>
      </c>
      <c r="AD61" s="95" t="s">
        <v>909</v>
      </c>
      <c r="AE61" s="95">
        <f t="shared" si="0"/>
        <v>1</v>
      </c>
    </row>
    <row r="62" spans="1:31" x14ac:dyDescent="0.25">
      <c r="A62" s="91" t="s">
        <v>261</v>
      </c>
      <c r="C62" s="91">
        <v>3</v>
      </c>
      <c r="D62" s="91" t="s">
        <v>262</v>
      </c>
      <c r="E62" s="91" t="s">
        <v>29</v>
      </c>
      <c r="F62" s="91" t="s">
        <v>30</v>
      </c>
      <c r="G62" s="3">
        <v>10835</v>
      </c>
      <c r="H62" s="2">
        <v>42388</v>
      </c>
      <c r="I62" s="2">
        <v>42464</v>
      </c>
      <c r="J62" s="2">
        <v>42395</v>
      </c>
      <c r="K62" s="2">
        <v>42478</v>
      </c>
      <c r="L62" s="91" t="s">
        <v>31</v>
      </c>
      <c r="M62" s="91">
        <v>30</v>
      </c>
      <c r="P62" s="91">
        <v>0</v>
      </c>
      <c r="Q62" s="91">
        <v>231</v>
      </c>
      <c r="R62" s="3">
        <v>15533.2</v>
      </c>
      <c r="S62" s="91">
        <v>0</v>
      </c>
      <c r="T62" s="91">
        <v>0</v>
      </c>
      <c r="U62" s="91">
        <v>0</v>
      </c>
      <c r="X62" s="91" t="s">
        <v>32</v>
      </c>
      <c r="Y62" s="91" t="s">
        <v>258</v>
      </c>
      <c r="Z62" s="91" t="s">
        <v>34</v>
      </c>
      <c r="AA62" s="91" t="s">
        <v>35</v>
      </c>
      <c r="AD62" s="95" t="s">
        <v>909</v>
      </c>
      <c r="AE62" s="95">
        <f t="shared" si="0"/>
        <v>1</v>
      </c>
    </row>
    <row r="63" spans="1:31" x14ac:dyDescent="0.25">
      <c r="A63" s="91" t="s">
        <v>263</v>
      </c>
      <c r="C63" s="91">
        <v>3</v>
      </c>
      <c r="D63" s="91" t="s">
        <v>264</v>
      </c>
      <c r="E63" s="91" t="s">
        <v>65</v>
      </c>
      <c r="F63" s="91" t="s">
        <v>30</v>
      </c>
      <c r="G63" s="3">
        <v>2460</v>
      </c>
      <c r="H63" s="2">
        <v>42388</v>
      </c>
      <c r="I63" s="2">
        <v>42391</v>
      </c>
      <c r="J63" s="2">
        <v>42388</v>
      </c>
      <c r="K63" s="2">
        <v>42491</v>
      </c>
      <c r="L63" s="91" t="s">
        <v>31</v>
      </c>
      <c r="M63" s="91">
        <v>30</v>
      </c>
      <c r="P63" s="91">
        <v>0</v>
      </c>
      <c r="Q63" s="91">
        <v>32</v>
      </c>
      <c r="R63" s="3">
        <v>2456.0300000000002</v>
      </c>
      <c r="S63" s="91">
        <v>0</v>
      </c>
      <c r="T63" s="91">
        <v>0</v>
      </c>
      <c r="U63" s="91">
        <v>0</v>
      </c>
      <c r="X63" s="91" t="s">
        <v>32</v>
      </c>
      <c r="Y63" s="91" t="s">
        <v>265</v>
      </c>
      <c r="Z63" s="91" t="s">
        <v>266</v>
      </c>
      <c r="AA63" s="91" t="s">
        <v>35</v>
      </c>
      <c r="AD63" s="95" t="s">
        <v>909</v>
      </c>
      <c r="AE63" s="95">
        <f t="shared" si="0"/>
        <v>1</v>
      </c>
    </row>
    <row r="64" spans="1:31" x14ac:dyDescent="0.25">
      <c r="A64" s="91" t="s">
        <v>267</v>
      </c>
      <c r="B64" s="91">
        <v>160003</v>
      </c>
      <c r="C64" s="91">
        <v>4</v>
      </c>
      <c r="D64" s="91" t="s">
        <v>268</v>
      </c>
      <c r="E64" s="91" t="s">
        <v>65</v>
      </c>
      <c r="F64" s="91" t="s">
        <v>30</v>
      </c>
      <c r="G64" s="3">
        <v>1740</v>
      </c>
      <c r="H64" s="2">
        <v>42388</v>
      </c>
      <c r="I64" s="2">
        <v>42391</v>
      </c>
      <c r="J64" s="2">
        <v>42388</v>
      </c>
      <c r="K64" s="2">
        <v>42401</v>
      </c>
      <c r="L64" s="91" t="s">
        <v>31</v>
      </c>
      <c r="M64" s="91">
        <v>30</v>
      </c>
      <c r="N64" s="91">
        <v>160003</v>
      </c>
      <c r="P64" s="91">
        <v>0</v>
      </c>
      <c r="Q64" s="3">
        <v>16</v>
      </c>
      <c r="R64" s="3">
        <v>1736.32</v>
      </c>
      <c r="S64" s="3">
        <v>16</v>
      </c>
      <c r="T64" s="3">
        <v>1740</v>
      </c>
      <c r="U64" s="91">
        <v>18</v>
      </c>
      <c r="V64" s="2">
        <v>42438</v>
      </c>
      <c r="W64" s="2">
        <v>42439</v>
      </c>
      <c r="X64" s="91" t="s">
        <v>32</v>
      </c>
      <c r="Y64" s="91" t="s">
        <v>265</v>
      </c>
      <c r="Z64" s="91" t="s">
        <v>266</v>
      </c>
      <c r="AA64" s="91" t="s">
        <v>35</v>
      </c>
      <c r="AD64" s="95" t="s">
        <v>909</v>
      </c>
      <c r="AE64" s="95">
        <f t="shared" si="0"/>
        <v>1</v>
      </c>
    </row>
    <row r="65" spans="1:31" x14ac:dyDescent="0.25">
      <c r="A65" s="91" t="s">
        <v>269</v>
      </c>
      <c r="B65" s="91">
        <v>164212</v>
      </c>
      <c r="C65" s="91">
        <v>4</v>
      </c>
      <c r="D65" s="91" t="s">
        <v>270</v>
      </c>
      <c r="E65" s="91" t="s">
        <v>29</v>
      </c>
      <c r="F65" s="91" t="s">
        <v>38</v>
      </c>
      <c r="G65" s="3">
        <v>1250</v>
      </c>
      <c r="H65" s="2">
        <v>42388</v>
      </c>
      <c r="J65" s="2">
        <v>42384</v>
      </c>
      <c r="K65" s="2">
        <v>42460</v>
      </c>
      <c r="L65" s="91" t="s">
        <v>31</v>
      </c>
      <c r="M65" s="91">
        <v>50</v>
      </c>
      <c r="N65" s="91">
        <v>164212</v>
      </c>
      <c r="P65" s="91">
        <v>0</v>
      </c>
      <c r="Q65" s="91">
        <v>26</v>
      </c>
      <c r="R65" s="3">
        <v>1251</v>
      </c>
      <c r="S65" s="91">
        <v>26</v>
      </c>
      <c r="T65" s="3">
        <v>1250</v>
      </c>
      <c r="U65" s="91">
        <v>0</v>
      </c>
      <c r="V65" s="2"/>
      <c r="W65" s="2"/>
      <c r="X65" s="91" t="s">
        <v>271</v>
      </c>
      <c r="Y65" s="91" t="s">
        <v>272</v>
      </c>
      <c r="Z65" s="91" t="s">
        <v>34</v>
      </c>
      <c r="AA65" s="91" t="s">
        <v>35</v>
      </c>
      <c r="AD65" s="95" t="s">
        <v>909</v>
      </c>
      <c r="AE65" s="95">
        <f t="shared" si="0"/>
        <v>1</v>
      </c>
    </row>
    <row r="66" spans="1:31" x14ac:dyDescent="0.25">
      <c r="A66" s="91" t="s">
        <v>273</v>
      </c>
      <c r="C66" s="91">
        <v>2</v>
      </c>
      <c r="D66" s="91" t="s">
        <v>274</v>
      </c>
      <c r="E66" s="91" t="s">
        <v>58</v>
      </c>
      <c r="F66" s="91" t="s">
        <v>87</v>
      </c>
      <c r="G66" s="3">
        <v>0</v>
      </c>
      <c r="H66" s="2">
        <v>42388</v>
      </c>
      <c r="I66" s="2">
        <v>42410</v>
      </c>
      <c r="J66" s="2"/>
      <c r="K66" s="2"/>
      <c r="L66" s="91" t="s">
        <v>31</v>
      </c>
      <c r="M66" s="91">
        <v>0</v>
      </c>
      <c r="P66" s="91">
        <v>0</v>
      </c>
      <c r="Q66" s="91">
        <v>0</v>
      </c>
      <c r="R66" s="3">
        <v>0</v>
      </c>
      <c r="S66" s="91">
        <v>0</v>
      </c>
      <c r="T66" s="91">
        <v>0</v>
      </c>
      <c r="U66" s="91">
        <v>0</v>
      </c>
      <c r="X66" s="91" t="s">
        <v>275</v>
      </c>
      <c r="Y66" s="91" t="s">
        <v>276</v>
      </c>
      <c r="Z66" s="91" t="s">
        <v>277</v>
      </c>
      <c r="AA66" s="91" t="s">
        <v>35</v>
      </c>
      <c r="AD66" s="95" t="s">
        <v>909</v>
      </c>
      <c r="AE66" s="95">
        <f t="shared" si="0"/>
        <v>1</v>
      </c>
    </row>
    <row r="67" spans="1:31" x14ac:dyDescent="0.25">
      <c r="A67" s="91" t="s">
        <v>278</v>
      </c>
      <c r="C67" s="91">
        <v>2</v>
      </c>
      <c r="D67" s="91" t="s">
        <v>279</v>
      </c>
      <c r="E67" s="91" t="s">
        <v>58</v>
      </c>
      <c r="F67" s="91" t="s">
        <v>87</v>
      </c>
      <c r="G67" s="3">
        <v>0</v>
      </c>
      <c r="H67" s="2">
        <v>42389</v>
      </c>
      <c r="I67" s="2">
        <v>42408</v>
      </c>
      <c r="K67" s="2"/>
      <c r="L67" s="91" t="s">
        <v>31</v>
      </c>
      <c r="M67" s="91">
        <v>0</v>
      </c>
      <c r="P67" s="91">
        <v>0</v>
      </c>
      <c r="Q67" s="91">
        <v>0</v>
      </c>
      <c r="R67" s="91">
        <v>0</v>
      </c>
      <c r="S67" s="91">
        <v>0</v>
      </c>
      <c r="T67" s="91">
        <v>0</v>
      </c>
      <c r="U67" s="91">
        <v>0</v>
      </c>
      <c r="X67" s="91" t="s">
        <v>280</v>
      </c>
      <c r="Y67" s="91" t="s">
        <v>281</v>
      </c>
      <c r="Z67" s="91" t="s">
        <v>207</v>
      </c>
      <c r="AA67" s="91" t="s">
        <v>35</v>
      </c>
      <c r="AD67" s="95" t="s">
        <v>909</v>
      </c>
      <c r="AE67" s="95">
        <f t="shared" ref="AE67:AE130" si="1">MONTH(H67)</f>
        <v>1</v>
      </c>
    </row>
    <row r="68" spans="1:31" x14ac:dyDescent="0.25">
      <c r="A68" s="91" t="s">
        <v>282</v>
      </c>
      <c r="C68" s="91">
        <v>3</v>
      </c>
      <c r="D68" s="91" t="s">
        <v>283</v>
      </c>
      <c r="E68" s="91" t="s">
        <v>65</v>
      </c>
      <c r="F68" s="91" t="s">
        <v>80</v>
      </c>
      <c r="G68" s="3">
        <v>42820</v>
      </c>
      <c r="H68" s="2">
        <v>42389</v>
      </c>
      <c r="I68" s="2">
        <v>42396</v>
      </c>
      <c r="J68" s="2">
        <v>42402</v>
      </c>
      <c r="K68" s="2">
        <v>42461</v>
      </c>
      <c r="L68" s="91" t="s">
        <v>31</v>
      </c>
      <c r="M68" s="91">
        <v>30</v>
      </c>
      <c r="P68" s="91">
        <v>0</v>
      </c>
      <c r="Q68" s="91">
        <v>306</v>
      </c>
      <c r="R68" s="3">
        <v>96492.46</v>
      </c>
      <c r="S68" s="91">
        <v>0</v>
      </c>
      <c r="T68" s="91">
        <v>0</v>
      </c>
      <c r="U68" s="91">
        <v>0</v>
      </c>
      <c r="X68" s="91" t="s">
        <v>284</v>
      </c>
      <c r="Y68" s="91" t="s">
        <v>285</v>
      </c>
      <c r="Z68" s="91" t="s">
        <v>286</v>
      </c>
      <c r="AA68" s="91" t="s">
        <v>35</v>
      </c>
      <c r="AD68" s="95" t="s">
        <v>909</v>
      </c>
      <c r="AE68" s="95">
        <f t="shared" si="1"/>
        <v>1</v>
      </c>
    </row>
    <row r="69" spans="1:31" x14ac:dyDescent="0.25">
      <c r="A69" s="91" t="s">
        <v>287</v>
      </c>
      <c r="C69" s="91">
        <v>3</v>
      </c>
      <c r="D69" s="91" t="s">
        <v>288</v>
      </c>
      <c r="E69" s="91" t="s">
        <v>29</v>
      </c>
      <c r="F69" s="91" t="s">
        <v>38</v>
      </c>
      <c r="G69" s="3">
        <v>29820</v>
      </c>
      <c r="H69" s="2">
        <v>42390</v>
      </c>
      <c r="I69" s="2"/>
      <c r="J69" s="2">
        <v>42390</v>
      </c>
      <c r="K69" s="2">
        <v>42735</v>
      </c>
      <c r="L69" s="91" t="s">
        <v>31</v>
      </c>
      <c r="M69" s="91">
        <v>50</v>
      </c>
      <c r="P69" s="91">
        <v>0</v>
      </c>
      <c r="Q69" s="3">
        <v>164</v>
      </c>
      <c r="R69" s="3">
        <v>29599.15</v>
      </c>
      <c r="S69" s="91">
        <v>0</v>
      </c>
      <c r="T69" s="91">
        <v>0</v>
      </c>
      <c r="U69" s="91">
        <v>0</v>
      </c>
      <c r="X69" s="91" t="s">
        <v>289</v>
      </c>
      <c r="Y69" s="91" t="s">
        <v>290</v>
      </c>
      <c r="Z69" s="91" t="s">
        <v>34</v>
      </c>
      <c r="AA69" s="91" t="s">
        <v>35</v>
      </c>
      <c r="AD69" s="95" t="s">
        <v>909</v>
      </c>
      <c r="AE69" s="95">
        <f t="shared" si="1"/>
        <v>1</v>
      </c>
    </row>
    <row r="70" spans="1:31" x14ac:dyDescent="0.25">
      <c r="A70" s="91" t="s">
        <v>291</v>
      </c>
      <c r="B70" s="91">
        <v>160616</v>
      </c>
      <c r="C70" s="91">
        <v>4</v>
      </c>
      <c r="D70" s="91" t="s">
        <v>292</v>
      </c>
      <c r="E70" s="91" t="s">
        <v>58</v>
      </c>
      <c r="F70" s="91" t="s">
        <v>66</v>
      </c>
      <c r="G70" s="3">
        <v>528000</v>
      </c>
      <c r="H70" s="2">
        <v>42390</v>
      </c>
      <c r="I70" s="2">
        <v>42419</v>
      </c>
      <c r="J70" s="2">
        <v>42419</v>
      </c>
      <c r="K70" s="2">
        <v>42522</v>
      </c>
      <c r="L70" s="91" t="s">
        <v>31</v>
      </c>
      <c r="M70" s="91">
        <v>25</v>
      </c>
      <c r="N70" s="91">
        <v>160616</v>
      </c>
      <c r="P70" s="91">
        <v>0</v>
      </c>
      <c r="Q70" s="3">
        <v>2054</v>
      </c>
      <c r="R70" s="3">
        <v>260428.34</v>
      </c>
      <c r="S70" s="3">
        <v>3968</v>
      </c>
      <c r="T70" s="3">
        <v>528000</v>
      </c>
      <c r="U70" s="91">
        <v>422.5</v>
      </c>
      <c r="V70" s="2">
        <v>42464</v>
      </c>
      <c r="W70" s="2">
        <v>42475</v>
      </c>
      <c r="X70" s="91">
        <v>6000461300</v>
      </c>
      <c r="Y70" s="91" t="s">
        <v>293</v>
      </c>
      <c r="Z70" s="91" t="s">
        <v>294</v>
      </c>
      <c r="AA70" s="91" t="s">
        <v>35</v>
      </c>
      <c r="AD70" s="95" t="s">
        <v>909</v>
      </c>
      <c r="AE70" s="95">
        <f t="shared" si="1"/>
        <v>1</v>
      </c>
    </row>
    <row r="71" spans="1:31" x14ac:dyDescent="0.25">
      <c r="A71" s="91" t="s">
        <v>295</v>
      </c>
      <c r="B71" s="91">
        <v>164215</v>
      </c>
      <c r="C71" s="91">
        <v>4</v>
      </c>
      <c r="D71" s="91" t="s">
        <v>296</v>
      </c>
      <c r="E71" s="91" t="s">
        <v>29</v>
      </c>
      <c r="F71" s="91" t="s">
        <v>38</v>
      </c>
      <c r="G71" s="3">
        <v>7250</v>
      </c>
      <c r="H71" s="2">
        <v>42390</v>
      </c>
      <c r="J71" s="2">
        <v>42390</v>
      </c>
      <c r="K71" s="2">
        <v>42429</v>
      </c>
      <c r="L71" s="91" t="s">
        <v>31</v>
      </c>
      <c r="M71" s="91">
        <v>50</v>
      </c>
      <c r="N71" s="91">
        <v>164215</v>
      </c>
      <c r="P71" s="91">
        <v>0</v>
      </c>
      <c r="Q71" s="91">
        <v>3</v>
      </c>
      <c r="R71" s="3">
        <v>144.97999999999999</v>
      </c>
      <c r="S71" s="91">
        <v>150</v>
      </c>
      <c r="T71" s="3">
        <v>7250</v>
      </c>
      <c r="U71" s="91">
        <v>115</v>
      </c>
      <c r="V71" s="2">
        <v>42397</v>
      </c>
      <c r="W71" s="2">
        <v>42471</v>
      </c>
      <c r="X71" s="91" t="s">
        <v>297</v>
      </c>
      <c r="Y71" s="91" t="s">
        <v>163</v>
      </c>
      <c r="Z71" s="91" t="s">
        <v>34</v>
      </c>
      <c r="AA71" s="91" t="s">
        <v>35</v>
      </c>
      <c r="AD71" s="95" t="s">
        <v>909</v>
      </c>
      <c r="AE71" s="95">
        <f t="shared" si="1"/>
        <v>1</v>
      </c>
    </row>
    <row r="72" spans="1:31" x14ac:dyDescent="0.25">
      <c r="A72" s="91" t="s">
        <v>298</v>
      </c>
      <c r="C72" s="91">
        <v>3</v>
      </c>
      <c r="D72" s="91" t="s">
        <v>299</v>
      </c>
      <c r="E72" s="91" t="s">
        <v>58</v>
      </c>
      <c r="F72" s="91" t="s">
        <v>59</v>
      </c>
      <c r="G72" s="3">
        <v>78510</v>
      </c>
      <c r="H72" s="2">
        <v>42390</v>
      </c>
      <c r="I72" s="2">
        <v>42423</v>
      </c>
      <c r="J72" s="2">
        <v>42419</v>
      </c>
      <c r="K72" s="2">
        <v>42735</v>
      </c>
      <c r="L72" s="91" t="s">
        <v>31</v>
      </c>
      <c r="M72" s="91">
        <v>50</v>
      </c>
      <c r="P72" s="91">
        <v>0</v>
      </c>
      <c r="Q72" s="91">
        <v>290</v>
      </c>
      <c r="R72" s="3">
        <v>77697.16</v>
      </c>
      <c r="S72" s="91">
        <v>0</v>
      </c>
      <c r="T72" s="91">
        <v>0</v>
      </c>
      <c r="U72" s="91">
        <v>0</v>
      </c>
      <c r="X72" s="91" t="s">
        <v>300</v>
      </c>
      <c r="Y72" s="91" t="s">
        <v>301</v>
      </c>
      <c r="Z72" s="91" t="s">
        <v>302</v>
      </c>
      <c r="AA72" s="91" t="s">
        <v>35</v>
      </c>
      <c r="AD72" s="95" t="s">
        <v>909</v>
      </c>
      <c r="AE72" s="95">
        <f t="shared" si="1"/>
        <v>1</v>
      </c>
    </row>
    <row r="73" spans="1:31" x14ac:dyDescent="0.25">
      <c r="A73" s="91" t="s">
        <v>303</v>
      </c>
      <c r="C73" s="91">
        <v>1</v>
      </c>
      <c r="D73" s="91" t="s">
        <v>304</v>
      </c>
      <c r="E73" s="91" t="s">
        <v>58</v>
      </c>
      <c r="F73" s="91" t="s">
        <v>87</v>
      </c>
      <c r="G73" s="3">
        <v>5000</v>
      </c>
      <c r="H73" s="2">
        <v>42390</v>
      </c>
      <c r="I73" s="2">
        <v>42460</v>
      </c>
      <c r="K73" s="2">
        <v>42735</v>
      </c>
      <c r="L73" s="91" t="s">
        <v>907</v>
      </c>
      <c r="M73" s="91">
        <v>50</v>
      </c>
      <c r="P73" s="91">
        <v>0</v>
      </c>
      <c r="Q73" s="91">
        <v>0</v>
      </c>
      <c r="R73" s="91">
        <v>0</v>
      </c>
      <c r="S73" s="91">
        <v>0</v>
      </c>
      <c r="T73" s="91">
        <v>0</v>
      </c>
      <c r="U73" s="91">
        <v>0</v>
      </c>
      <c r="Y73" s="91" t="s">
        <v>195</v>
      </c>
      <c r="Z73" s="91" t="s">
        <v>196</v>
      </c>
      <c r="AA73" s="91" t="s">
        <v>35</v>
      </c>
      <c r="AD73" s="95" t="s">
        <v>909</v>
      </c>
      <c r="AE73" s="95">
        <f t="shared" si="1"/>
        <v>1</v>
      </c>
    </row>
    <row r="74" spans="1:31" x14ac:dyDescent="0.25">
      <c r="A74" s="91" t="s">
        <v>306</v>
      </c>
      <c r="C74" s="91">
        <v>2</v>
      </c>
      <c r="D74" s="91" t="s">
        <v>307</v>
      </c>
      <c r="E74" s="91" t="s">
        <v>29</v>
      </c>
      <c r="F74" s="91" t="s">
        <v>308</v>
      </c>
      <c r="G74" s="91">
        <v>0</v>
      </c>
      <c r="H74" s="2">
        <v>42390</v>
      </c>
      <c r="I74" s="2"/>
      <c r="L74" s="91" t="s">
        <v>31</v>
      </c>
      <c r="M74" s="91">
        <v>0</v>
      </c>
      <c r="P74" s="91">
        <v>0</v>
      </c>
      <c r="Q74" s="91">
        <v>0</v>
      </c>
      <c r="R74" s="91">
        <v>0</v>
      </c>
      <c r="S74" s="91">
        <v>0</v>
      </c>
      <c r="T74" s="91">
        <v>0</v>
      </c>
      <c r="U74" s="91">
        <v>0</v>
      </c>
      <c r="X74" s="91" t="s">
        <v>300</v>
      </c>
      <c r="Y74" s="91" t="s">
        <v>309</v>
      </c>
      <c r="Z74" s="91" t="s">
        <v>310</v>
      </c>
      <c r="AA74" s="91" t="s">
        <v>35</v>
      </c>
      <c r="AD74" s="95" t="s">
        <v>909</v>
      </c>
      <c r="AE74" s="95">
        <f t="shared" si="1"/>
        <v>1</v>
      </c>
    </row>
    <row r="75" spans="1:31" x14ac:dyDescent="0.25">
      <c r="A75" s="91" t="s">
        <v>311</v>
      </c>
      <c r="C75" s="91">
        <v>3</v>
      </c>
      <c r="D75" s="91" t="s">
        <v>312</v>
      </c>
      <c r="E75" s="91" t="s">
        <v>65</v>
      </c>
      <c r="F75" s="91" t="s">
        <v>80</v>
      </c>
      <c r="G75" s="3">
        <v>114870</v>
      </c>
      <c r="H75" s="2">
        <v>42391</v>
      </c>
      <c r="I75" s="2">
        <v>42436</v>
      </c>
      <c r="J75" s="2">
        <v>42433</v>
      </c>
      <c r="K75" s="2">
        <v>42460</v>
      </c>
      <c r="L75" s="91" t="s">
        <v>31</v>
      </c>
      <c r="M75" s="91">
        <v>50</v>
      </c>
      <c r="P75" s="91">
        <v>0</v>
      </c>
      <c r="Q75" s="3">
        <v>1934.5</v>
      </c>
      <c r="R75" s="3">
        <v>112874.15</v>
      </c>
      <c r="S75" s="91">
        <v>0</v>
      </c>
      <c r="T75" s="3">
        <v>0</v>
      </c>
      <c r="U75" s="91">
        <v>0</v>
      </c>
      <c r="V75" s="2"/>
      <c r="W75" s="2"/>
      <c r="X75" s="91" t="s">
        <v>81</v>
      </c>
      <c r="Y75" s="91" t="s">
        <v>313</v>
      </c>
      <c r="Z75" s="91" t="s">
        <v>235</v>
      </c>
      <c r="AA75" s="91" t="s">
        <v>35</v>
      </c>
      <c r="AD75" s="95" t="s">
        <v>909</v>
      </c>
      <c r="AE75" s="95">
        <f t="shared" si="1"/>
        <v>1</v>
      </c>
    </row>
    <row r="76" spans="1:31" x14ac:dyDescent="0.25">
      <c r="A76" s="91" t="s">
        <v>314</v>
      </c>
      <c r="C76" s="91">
        <v>3</v>
      </c>
      <c r="D76" s="91" t="s">
        <v>315</v>
      </c>
      <c r="E76" s="91" t="s">
        <v>29</v>
      </c>
      <c r="F76" s="91" t="s">
        <v>308</v>
      </c>
      <c r="G76" s="3">
        <v>121400</v>
      </c>
      <c r="H76" s="2">
        <v>42394</v>
      </c>
      <c r="I76" s="2">
        <v>42444</v>
      </c>
      <c r="J76" s="2">
        <v>42444</v>
      </c>
      <c r="K76" s="2">
        <v>42582</v>
      </c>
      <c r="L76" s="91" t="s">
        <v>31</v>
      </c>
      <c r="M76" s="91">
        <v>90</v>
      </c>
      <c r="P76" s="91">
        <v>0</v>
      </c>
      <c r="Q76" s="91">
        <v>0</v>
      </c>
      <c r="R76" s="3">
        <v>0</v>
      </c>
      <c r="S76" s="91">
        <v>0</v>
      </c>
      <c r="T76" s="3">
        <v>0</v>
      </c>
      <c r="U76" s="91">
        <v>0</v>
      </c>
      <c r="X76" s="91" t="s">
        <v>316</v>
      </c>
      <c r="Y76" s="91" t="s">
        <v>93</v>
      </c>
      <c r="Z76" s="91" t="s">
        <v>34</v>
      </c>
      <c r="AA76" s="91" t="s">
        <v>35</v>
      </c>
      <c r="AD76" s="95" t="s">
        <v>909</v>
      </c>
      <c r="AE76" s="95">
        <f t="shared" si="1"/>
        <v>1</v>
      </c>
    </row>
    <row r="77" spans="1:31" x14ac:dyDescent="0.25">
      <c r="A77" s="91" t="s">
        <v>317</v>
      </c>
      <c r="C77" s="91">
        <v>3</v>
      </c>
      <c r="D77" s="91" t="s">
        <v>318</v>
      </c>
      <c r="E77" s="91" t="s">
        <v>29</v>
      </c>
      <c r="F77" s="91" t="s">
        <v>38</v>
      </c>
      <c r="G77" s="3">
        <v>6500</v>
      </c>
      <c r="H77" s="2">
        <v>42395</v>
      </c>
      <c r="J77" s="2">
        <v>42392</v>
      </c>
      <c r="L77" s="91" t="s">
        <v>31</v>
      </c>
      <c r="M77" s="91">
        <v>50</v>
      </c>
      <c r="P77" s="91">
        <v>0</v>
      </c>
      <c r="Q77" s="91">
        <v>80</v>
      </c>
      <c r="R77" s="3">
        <v>6500.2</v>
      </c>
      <c r="S77" s="91">
        <v>0</v>
      </c>
      <c r="T77" s="91">
        <v>0</v>
      </c>
      <c r="U77" s="91">
        <v>0</v>
      </c>
      <c r="X77" s="91" t="s">
        <v>319</v>
      </c>
      <c r="Y77" s="91" t="s">
        <v>258</v>
      </c>
      <c r="Z77" s="91" t="s">
        <v>34</v>
      </c>
      <c r="AA77" s="91" t="s">
        <v>35</v>
      </c>
      <c r="AD77" s="95" t="s">
        <v>909</v>
      </c>
      <c r="AE77" s="95">
        <f t="shared" si="1"/>
        <v>1</v>
      </c>
    </row>
    <row r="78" spans="1:31" x14ac:dyDescent="0.25">
      <c r="A78" s="91" t="s">
        <v>320</v>
      </c>
      <c r="B78" s="91">
        <v>164217</v>
      </c>
      <c r="C78" s="91">
        <v>4</v>
      </c>
      <c r="D78" s="91" t="s">
        <v>321</v>
      </c>
      <c r="E78" s="91" t="s">
        <v>29</v>
      </c>
      <c r="F78" s="91" t="s">
        <v>38</v>
      </c>
      <c r="G78" s="3">
        <v>880</v>
      </c>
      <c r="H78" s="2">
        <v>42395</v>
      </c>
      <c r="I78" s="2"/>
      <c r="J78" s="2">
        <v>42392</v>
      </c>
      <c r="K78" s="2"/>
      <c r="L78" s="91" t="s">
        <v>31</v>
      </c>
      <c r="M78" s="91">
        <v>50</v>
      </c>
      <c r="N78" s="91">
        <v>164217</v>
      </c>
      <c r="P78" s="91">
        <v>0</v>
      </c>
      <c r="Q78" s="91">
        <v>18</v>
      </c>
      <c r="R78" s="3">
        <v>880.03</v>
      </c>
      <c r="S78" s="91">
        <v>18</v>
      </c>
      <c r="T78" s="3">
        <v>880</v>
      </c>
      <c r="U78" s="91">
        <v>0</v>
      </c>
      <c r="V78" s="2"/>
      <c r="W78" s="2"/>
      <c r="X78" s="91" t="s">
        <v>322</v>
      </c>
      <c r="Y78" s="91" t="s">
        <v>258</v>
      </c>
      <c r="Z78" s="91" t="s">
        <v>34</v>
      </c>
      <c r="AA78" s="91" t="s">
        <v>35</v>
      </c>
      <c r="AD78" s="95" t="s">
        <v>909</v>
      </c>
      <c r="AE78" s="95">
        <f t="shared" si="1"/>
        <v>1</v>
      </c>
    </row>
    <row r="79" spans="1:31" x14ac:dyDescent="0.25">
      <c r="A79" s="91" t="s">
        <v>323</v>
      </c>
      <c r="C79" s="91">
        <v>2</v>
      </c>
      <c r="D79" s="91" t="s">
        <v>324</v>
      </c>
      <c r="E79" s="91" t="s">
        <v>58</v>
      </c>
      <c r="F79" s="91" t="s">
        <v>87</v>
      </c>
      <c r="G79" s="3">
        <v>0</v>
      </c>
      <c r="H79" s="2">
        <v>42395</v>
      </c>
      <c r="I79" s="2">
        <v>42422</v>
      </c>
      <c r="J79" s="2"/>
      <c r="K79" s="2"/>
      <c r="L79" s="91" t="s">
        <v>31</v>
      </c>
      <c r="M79" s="91">
        <v>0</v>
      </c>
      <c r="P79" s="91">
        <v>0</v>
      </c>
      <c r="Q79" s="91">
        <v>0</v>
      </c>
      <c r="R79" s="3">
        <v>0</v>
      </c>
      <c r="S79" s="91">
        <v>0</v>
      </c>
      <c r="T79" s="3">
        <v>0</v>
      </c>
      <c r="U79" s="91">
        <v>0</v>
      </c>
      <c r="X79" s="91" t="s">
        <v>325</v>
      </c>
      <c r="Y79" s="91" t="s">
        <v>326</v>
      </c>
      <c r="Z79" s="91" t="s">
        <v>327</v>
      </c>
      <c r="AA79" s="91" t="s">
        <v>35</v>
      </c>
      <c r="AD79" s="95" t="s">
        <v>909</v>
      </c>
      <c r="AE79" s="95">
        <f t="shared" si="1"/>
        <v>1</v>
      </c>
    </row>
    <row r="80" spans="1:31" x14ac:dyDescent="0.25">
      <c r="A80" s="91" t="s">
        <v>328</v>
      </c>
      <c r="C80" s="91">
        <v>2</v>
      </c>
      <c r="D80" s="91" t="s">
        <v>329</v>
      </c>
      <c r="E80" s="91" t="s">
        <v>58</v>
      </c>
      <c r="F80" s="91" t="s">
        <v>87</v>
      </c>
      <c r="G80" s="91">
        <v>0</v>
      </c>
      <c r="H80" s="2">
        <v>42395</v>
      </c>
      <c r="I80" s="2">
        <v>42405</v>
      </c>
      <c r="L80" s="91" t="s">
        <v>31</v>
      </c>
      <c r="M80" s="91">
        <v>0</v>
      </c>
      <c r="P80" s="91">
        <v>0</v>
      </c>
      <c r="Q80" s="91">
        <v>0</v>
      </c>
      <c r="R80" s="91">
        <v>0</v>
      </c>
      <c r="S80" s="91">
        <v>0</v>
      </c>
      <c r="T80" s="91">
        <v>0</v>
      </c>
      <c r="U80" s="91">
        <v>0</v>
      </c>
      <c r="X80" s="91" t="s">
        <v>330</v>
      </c>
      <c r="Y80" s="91" t="s">
        <v>276</v>
      </c>
      <c r="Z80" s="91" t="s">
        <v>277</v>
      </c>
      <c r="AA80" s="91" t="s">
        <v>35</v>
      </c>
      <c r="AD80" s="95" t="s">
        <v>909</v>
      </c>
      <c r="AE80" s="95">
        <f t="shared" si="1"/>
        <v>1</v>
      </c>
    </row>
    <row r="81" spans="1:31" x14ac:dyDescent="0.25">
      <c r="A81" s="91" t="s">
        <v>331</v>
      </c>
      <c r="B81" s="91">
        <v>160009</v>
      </c>
      <c r="C81" s="91">
        <v>4</v>
      </c>
      <c r="D81" s="91" t="s">
        <v>332</v>
      </c>
      <c r="E81" s="91" t="s">
        <v>65</v>
      </c>
      <c r="F81" s="91" t="s">
        <v>66</v>
      </c>
      <c r="G81" s="3">
        <v>9980</v>
      </c>
      <c r="H81" s="2">
        <v>42395</v>
      </c>
      <c r="I81" s="2">
        <v>42403</v>
      </c>
      <c r="J81" s="2">
        <v>42402</v>
      </c>
      <c r="K81" s="2">
        <v>42430</v>
      </c>
      <c r="L81" s="91" t="s">
        <v>31</v>
      </c>
      <c r="M81" s="91">
        <v>50</v>
      </c>
      <c r="N81" s="91">
        <v>160009</v>
      </c>
      <c r="P81" s="91">
        <v>0</v>
      </c>
      <c r="Q81" s="91">
        <v>106</v>
      </c>
      <c r="R81" s="3">
        <v>9976.43</v>
      </c>
      <c r="S81" s="91">
        <v>106</v>
      </c>
      <c r="T81" s="3">
        <v>9980</v>
      </c>
      <c r="U81" s="91">
        <v>83.5</v>
      </c>
      <c r="V81" s="2">
        <v>42423</v>
      </c>
      <c r="W81" s="2">
        <v>42435</v>
      </c>
      <c r="X81" s="91" t="s">
        <v>67</v>
      </c>
      <c r="Y81" s="91" t="s">
        <v>333</v>
      </c>
      <c r="Z81" s="91" t="s">
        <v>334</v>
      </c>
      <c r="AA81" s="91" t="s">
        <v>35</v>
      </c>
      <c r="AD81" s="95" t="s">
        <v>909</v>
      </c>
      <c r="AE81" s="95">
        <f t="shared" si="1"/>
        <v>1</v>
      </c>
    </row>
    <row r="82" spans="1:31" x14ac:dyDescent="0.25">
      <c r="A82" s="91" t="s">
        <v>335</v>
      </c>
      <c r="B82" s="91">
        <v>160612</v>
      </c>
      <c r="C82" s="91">
        <v>4</v>
      </c>
      <c r="D82" s="91" t="s">
        <v>336</v>
      </c>
      <c r="E82" s="91" t="s">
        <v>58</v>
      </c>
      <c r="F82" s="91" t="s">
        <v>59</v>
      </c>
      <c r="G82" s="3">
        <v>7597</v>
      </c>
      <c r="H82" s="2">
        <v>42396</v>
      </c>
      <c r="I82" s="2">
        <v>42410</v>
      </c>
      <c r="J82" s="2">
        <v>42410</v>
      </c>
      <c r="K82" s="2">
        <v>42614</v>
      </c>
      <c r="L82" s="91" t="s">
        <v>31</v>
      </c>
      <c r="M82" s="91">
        <v>50</v>
      </c>
      <c r="N82" s="91">
        <v>160612</v>
      </c>
      <c r="P82" s="91">
        <v>0</v>
      </c>
      <c r="Q82" s="91">
        <v>132.5</v>
      </c>
      <c r="R82" s="3">
        <v>7596.1</v>
      </c>
      <c r="S82" s="91">
        <v>132.5</v>
      </c>
      <c r="T82" s="3">
        <v>7597</v>
      </c>
      <c r="U82" s="91">
        <v>0</v>
      </c>
      <c r="X82" s="91">
        <v>6000463359</v>
      </c>
      <c r="Y82" s="91" t="s">
        <v>337</v>
      </c>
      <c r="Z82" s="91" t="s">
        <v>202</v>
      </c>
      <c r="AA82" s="91" t="s">
        <v>35</v>
      </c>
      <c r="AD82" s="95" t="s">
        <v>909</v>
      </c>
      <c r="AE82" s="95">
        <f t="shared" si="1"/>
        <v>1</v>
      </c>
    </row>
    <row r="83" spans="1:31" x14ac:dyDescent="0.25">
      <c r="A83" s="91" t="s">
        <v>338</v>
      </c>
      <c r="C83" s="91">
        <v>5</v>
      </c>
      <c r="D83" s="91" t="s">
        <v>339</v>
      </c>
      <c r="E83" s="91" t="s">
        <v>29</v>
      </c>
      <c r="F83" s="91" t="s">
        <v>38</v>
      </c>
      <c r="G83" s="3">
        <v>18600</v>
      </c>
      <c r="H83" s="2">
        <v>42396</v>
      </c>
      <c r="I83" s="2"/>
      <c r="J83" s="2">
        <v>42397</v>
      </c>
      <c r="K83" s="2"/>
      <c r="L83" s="91" t="s">
        <v>31</v>
      </c>
      <c r="M83" s="91">
        <v>50</v>
      </c>
      <c r="P83" s="91">
        <v>0</v>
      </c>
      <c r="Q83" s="91">
        <v>320</v>
      </c>
      <c r="R83" s="3">
        <v>18600.78</v>
      </c>
      <c r="S83" s="91">
        <v>0</v>
      </c>
      <c r="T83" s="3">
        <v>0</v>
      </c>
      <c r="U83" s="91">
        <v>0</v>
      </c>
      <c r="X83" s="91" t="s">
        <v>340</v>
      </c>
      <c r="Y83" s="91" t="s">
        <v>163</v>
      </c>
      <c r="Z83" s="91" t="s">
        <v>34</v>
      </c>
      <c r="AA83" s="91" t="s">
        <v>35</v>
      </c>
      <c r="AD83" s="95" t="s">
        <v>909</v>
      </c>
      <c r="AE83" s="95">
        <f t="shared" si="1"/>
        <v>1</v>
      </c>
    </row>
    <row r="84" spans="1:31" x14ac:dyDescent="0.25">
      <c r="A84" s="91" t="s">
        <v>341</v>
      </c>
      <c r="B84" s="91">
        <v>160609</v>
      </c>
      <c r="C84" s="91">
        <v>4</v>
      </c>
      <c r="D84" s="91" t="s">
        <v>342</v>
      </c>
      <c r="E84" s="91" t="s">
        <v>58</v>
      </c>
      <c r="F84" s="91" t="s">
        <v>59</v>
      </c>
      <c r="G84" s="3">
        <v>2280</v>
      </c>
      <c r="H84" s="2">
        <v>42397</v>
      </c>
      <c r="I84" s="2">
        <v>42401</v>
      </c>
      <c r="J84" s="2">
        <v>42401</v>
      </c>
      <c r="K84" s="2">
        <v>42408</v>
      </c>
      <c r="L84" s="91" t="s">
        <v>31</v>
      </c>
      <c r="M84" s="91">
        <v>60</v>
      </c>
      <c r="N84" s="91">
        <v>160609</v>
      </c>
      <c r="P84" s="91">
        <v>0</v>
      </c>
      <c r="Q84" s="91">
        <v>32</v>
      </c>
      <c r="R84" s="3">
        <v>2269.4</v>
      </c>
      <c r="S84" s="91">
        <v>32</v>
      </c>
      <c r="T84" s="3">
        <v>2280</v>
      </c>
      <c r="U84" s="91">
        <v>45</v>
      </c>
      <c r="V84" s="2">
        <v>42408</v>
      </c>
      <c r="W84" s="2">
        <v>42409</v>
      </c>
      <c r="X84" s="91" t="s">
        <v>100</v>
      </c>
      <c r="Y84" s="91" t="s">
        <v>343</v>
      </c>
      <c r="Z84" s="91" t="s">
        <v>344</v>
      </c>
      <c r="AA84" s="91" t="s">
        <v>35</v>
      </c>
      <c r="AD84" s="95" t="s">
        <v>909</v>
      </c>
      <c r="AE84" s="95">
        <f t="shared" si="1"/>
        <v>1</v>
      </c>
    </row>
    <row r="85" spans="1:31" x14ac:dyDescent="0.25">
      <c r="A85" s="91" t="s">
        <v>345</v>
      </c>
      <c r="B85" s="91">
        <v>160619</v>
      </c>
      <c r="C85" s="91">
        <v>4</v>
      </c>
      <c r="D85" s="91" t="s">
        <v>346</v>
      </c>
      <c r="E85" s="91" t="s">
        <v>58</v>
      </c>
      <c r="F85" s="91" t="s">
        <v>59</v>
      </c>
      <c r="G85" s="3">
        <v>3922</v>
      </c>
      <c r="H85" s="2">
        <v>42397</v>
      </c>
      <c r="I85" s="2">
        <v>42419</v>
      </c>
      <c r="J85" s="2">
        <v>42415</v>
      </c>
      <c r="K85" s="2">
        <v>42475</v>
      </c>
      <c r="L85" s="91" t="s">
        <v>31</v>
      </c>
      <c r="M85" s="91">
        <v>0</v>
      </c>
      <c r="N85" s="91">
        <v>160619</v>
      </c>
      <c r="P85" s="91">
        <v>0</v>
      </c>
      <c r="Q85" s="91">
        <v>64</v>
      </c>
      <c r="R85" s="3">
        <v>3920.26</v>
      </c>
      <c r="S85" s="91">
        <v>64</v>
      </c>
      <c r="T85" s="3">
        <v>3922</v>
      </c>
      <c r="U85" s="91">
        <v>21</v>
      </c>
      <c r="V85" s="2">
        <v>42472</v>
      </c>
      <c r="W85" s="2">
        <v>42475</v>
      </c>
      <c r="X85" s="91">
        <v>6000462522</v>
      </c>
      <c r="Y85" s="91" t="s">
        <v>347</v>
      </c>
      <c r="Z85" s="91" t="s">
        <v>239</v>
      </c>
      <c r="AA85" s="91" t="s">
        <v>35</v>
      </c>
      <c r="AD85" s="95" t="s">
        <v>909</v>
      </c>
      <c r="AE85" s="95">
        <f t="shared" si="1"/>
        <v>1</v>
      </c>
    </row>
    <row r="86" spans="1:31" x14ac:dyDescent="0.25">
      <c r="A86" s="91" t="s">
        <v>348</v>
      </c>
      <c r="C86" s="91">
        <v>2</v>
      </c>
      <c r="D86" s="91" t="s">
        <v>349</v>
      </c>
      <c r="E86" s="91" t="s">
        <v>58</v>
      </c>
      <c r="F86" s="91" t="s">
        <v>87</v>
      </c>
      <c r="G86" s="3">
        <v>0</v>
      </c>
      <c r="H86" s="2">
        <v>42397</v>
      </c>
      <c r="I86" s="2">
        <v>42411</v>
      </c>
      <c r="J86" s="2"/>
      <c r="K86" s="2"/>
      <c r="L86" s="91" t="s">
        <v>31</v>
      </c>
      <c r="M86" s="91">
        <v>0</v>
      </c>
      <c r="P86" s="91">
        <v>0</v>
      </c>
      <c r="Q86" s="91">
        <v>0</v>
      </c>
      <c r="R86" s="3">
        <v>0</v>
      </c>
      <c r="S86" s="91">
        <v>0</v>
      </c>
      <c r="T86" s="91">
        <v>0</v>
      </c>
      <c r="U86" s="91">
        <v>0</v>
      </c>
      <c r="X86" s="91" t="s">
        <v>350</v>
      </c>
      <c r="Y86" s="91" t="s">
        <v>124</v>
      </c>
      <c r="Z86" s="91" t="s">
        <v>125</v>
      </c>
      <c r="AA86" s="91" t="s">
        <v>35</v>
      </c>
      <c r="AD86" s="95" t="s">
        <v>909</v>
      </c>
      <c r="AE86" s="95">
        <f t="shared" si="1"/>
        <v>1</v>
      </c>
    </row>
    <row r="87" spans="1:31" x14ac:dyDescent="0.25">
      <c r="A87" s="91" t="s">
        <v>351</v>
      </c>
      <c r="C87" s="91">
        <v>5</v>
      </c>
      <c r="D87" s="91" t="s">
        <v>352</v>
      </c>
      <c r="E87" s="91" t="s">
        <v>51</v>
      </c>
      <c r="F87" s="91" t="s">
        <v>52</v>
      </c>
      <c r="G87" s="3">
        <v>69810</v>
      </c>
      <c r="H87" s="2">
        <v>42397</v>
      </c>
      <c r="I87" s="2">
        <v>42398</v>
      </c>
      <c r="J87" s="2">
        <v>42397</v>
      </c>
      <c r="K87" s="2">
        <v>42673</v>
      </c>
      <c r="L87" s="91" t="s">
        <v>31</v>
      </c>
      <c r="M87" s="91">
        <v>15</v>
      </c>
      <c r="P87" s="91">
        <v>0</v>
      </c>
      <c r="Q87" s="91">
        <v>446</v>
      </c>
      <c r="R87" s="3">
        <v>35815.51</v>
      </c>
      <c r="S87" s="91">
        <v>0</v>
      </c>
      <c r="T87" s="91">
        <v>0</v>
      </c>
      <c r="U87" s="91">
        <v>0</v>
      </c>
      <c r="X87" s="91" t="s">
        <v>353</v>
      </c>
      <c r="Y87" s="91" t="s">
        <v>354</v>
      </c>
      <c r="Z87" s="91" t="s">
        <v>55</v>
      </c>
      <c r="AA87" s="91" t="s">
        <v>35</v>
      </c>
      <c r="AD87" s="95" t="s">
        <v>909</v>
      </c>
      <c r="AE87" s="95">
        <f t="shared" si="1"/>
        <v>1</v>
      </c>
    </row>
    <row r="88" spans="1:31" x14ac:dyDescent="0.25">
      <c r="A88" s="91" t="s">
        <v>355</v>
      </c>
      <c r="C88" s="91">
        <v>3</v>
      </c>
      <c r="D88" s="91" t="s">
        <v>356</v>
      </c>
      <c r="E88" s="91" t="s">
        <v>65</v>
      </c>
      <c r="F88" s="91" t="s">
        <v>30</v>
      </c>
      <c r="G88" s="3">
        <v>34700</v>
      </c>
      <c r="H88" s="2">
        <v>42398</v>
      </c>
      <c r="I88" s="2">
        <v>42417</v>
      </c>
      <c r="J88" s="2">
        <v>42417</v>
      </c>
      <c r="K88" s="2">
        <v>42475</v>
      </c>
      <c r="L88" s="91" t="s">
        <v>31</v>
      </c>
      <c r="M88" s="91">
        <v>30</v>
      </c>
      <c r="P88" s="91">
        <v>0</v>
      </c>
      <c r="Q88" s="91">
        <v>160</v>
      </c>
      <c r="R88" s="3">
        <v>34700.06</v>
      </c>
      <c r="S88" s="91">
        <v>0</v>
      </c>
      <c r="T88" s="91">
        <v>0</v>
      </c>
      <c r="U88" s="91">
        <v>0</v>
      </c>
      <c r="X88" s="91" t="s">
        <v>357</v>
      </c>
      <c r="Y88" s="91" t="s">
        <v>358</v>
      </c>
      <c r="Z88" s="91" t="s">
        <v>83</v>
      </c>
      <c r="AA88" s="91" t="s">
        <v>35</v>
      </c>
      <c r="AD88" s="95" t="s">
        <v>909</v>
      </c>
      <c r="AE88" s="95">
        <f t="shared" si="1"/>
        <v>1</v>
      </c>
    </row>
    <row r="89" spans="1:31" x14ac:dyDescent="0.25">
      <c r="A89" s="91" t="s">
        <v>359</v>
      </c>
      <c r="B89" s="91">
        <v>160263</v>
      </c>
      <c r="C89" s="91">
        <v>4</v>
      </c>
      <c r="D89" s="91" t="s">
        <v>360</v>
      </c>
      <c r="E89" s="91" t="s">
        <v>29</v>
      </c>
      <c r="F89" s="91" t="s">
        <v>308</v>
      </c>
      <c r="G89" s="3">
        <v>2400</v>
      </c>
      <c r="H89" s="2">
        <v>42398</v>
      </c>
      <c r="I89" s="2">
        <v>42403</v>
      </c>
      <c r="J89" s="2">
        <v>42402</v>
      </c>
      <c r="K89" s="2">
        <v>42410</v>
      </c>
      <c r="L89" s="91" t="s">
        <v>907</v>
      </c>
      <c r="M89" s="91">
        <v>99</v>
      </c>
      <c r="N89" s="91">
        <v>160263</v>
      </c>
      <c r="P89" s="91">
        <v>0</v>
      </c>
      <c r="Q89" s="91">
        <v>0</v>
      </c>
      <c r="R89" s="3">
        <v>0</v>
      </c>
      <c r="S89" s="91">
        <v>1</v>
      </c>
      <c r="T89" s="3">
        <v>2400</v>
      </c>
      <c r="U89" s="91">
        <v>3</v>
      </c>
      <c r="V89" s="2"/>
      <c r="W89" s="2"/>
      <c r="X89" s="91" t="s">
        <v>361</v>
      </c>
      <c r="Y89" s="91" t="s">
        <v>33</v>
      </c>
      <c r="Z89" s="91" t="s">
        <v>34</v>
      </c>
      <c r="AA89" s="91" t="s">
        <v>35</v>
      </c>
      <c r="AD89" s="95" t="s">
        <v>909</v>
      </c>
      <c r="AE89" s="95">
        <f t="shared" si="1"/>
        <v>1</v>
      </c>
    </row>
    <row r="90" spans="1:31" x14ac:dyDescent="0.25">
      <c r="A90" s="91" t="s">
        <v>362</v>
      </c>
      <c r="C90" s="91">
        <v>3</v>
      </c>
      <c r="D90" s="91" t="s">
        <v>363</v>
      </c>
      <c r="E90" s="91" t="s">
        <v>29</v>
      </c>
      <c r="F90" s="91" t="s">
        <v>364</v>
      </c>
      <c r="G90" s="91">
        <v>0</v>
      </c>
      <c r="H90" s="2">
        <v>42401</v>
      </c>
      <c r="I90" s="2">
        <v>42402</v>
      </c>
      <c r="J90" s="2">
        <v>42401</v>
      </c>
      <c r="K90" s="2">
        <v>42429</v>
      </c>
      <c r="L90" s="91" t="s">
        <v>907</v>
      </c>
      <c r="M90" s="91">
        <v>80</v>
      </c>
      <c r="P90" s="91">
        <v>0</v>
      </c>
      <c r="Q90" s="91">
        <v>0</v>
      </c>
      <c r="R90" s="91">
        <v>0</v>
      </c>
      <c r="S90" s="91">
        <v>0</v>
      </c>
      <c r="T90" s="91">
        <v>0</v>
      </c>
      <c r="U90" s="91">
        <v>0</v>
      </c>
      <c r="X90" s="91" t="s">
        <v>365</v>
      </c>
      <c r="Y90" s="91" t="s">
        <v>366</v>
      </c>
      <c r="Z90" s="91" t="s">
        <v>367</v>
      </c>
      <c r="AA90" s="91" t="s">
        <v>35</v>
      </c>
      <c r="AD90" s="95" t="s">
        <v>909</v>
      </c>
      <c r="AE90" s="95">
        <f t="shared" si="1"/>
        <v>2</v>
      </c>
    </row>
    <row r="91" spans="1:31" x14ac:dyDescent="0.25">
      <c r="A91" s="91" t="s">
        <v>368</v>
      </c>
      <c r="C91" s="91">
        <v>3</v>
      </c>
      <c r="D91" s="91" t="s">
        <v>369</v>
      </c>
      <c r="E91" s="91" t="s">
        <v>29</v>
      </c>
      <c r="F91" s="91" t="s">
        <v>364</v>
      </c>
      <c r="G91" s="3">
        <v>3355</v>
      </c>
      <c r="H91" s="2">
        <v>42401</v>
      </c>
      <c r="I91" s="2">
        <v>42402</v>
      </c>
      <c r="J91" s="2">
        <v>42403</v>
      </c>
      <c r="K91" s="2">
        <v>42429</v>
      </c>
      <c r="L91" s="91" t="s">
        <v>31</v>
      </c>
      <c r="M91" s="91">
        <v>50</v>
      </c>
      <c r="P91" s="91">
        <v>0</v>
      </c>
      <c r="Q91" s="91">
        <v>0</v>
      </c>
      <c r="R91" s="3">
        <v>0</v>
      </c>
      <c r="S91" s="91">
        <v>0</v>
      </c>
      <c r="T91" s="91">
        <v>0</v>
      </c>
      <c r="U91" s="91">
        <v>0</v>
      </c>
      <c r="X91" s="91" t="s">
        <v>365</v>
      </c>
      <c r="Y91" s="91" t="s">
        <v>366</v>
      </c>
      <c r="Z91" s="91" t="s">
        <v>367</v>
      </c>
      <c r="AA91" s="91" t="s">
        <v>35</v>
      </c>
      <c r="AD91" s="95" t="s">
        <v>909</v>
      </c>
      <c r="AE91" s="95">
        <f t="shared" si="1"/>
        <v>2</v>
      </c>
    </row>
    <row r="92" spans="1:31" x14ac:dyDescent="0.25">
      <c r="A92" s="91" t="s">
        <v>370</v>
      </c>
      <c r="C92" s="91">
        <v>3</v>
      </c>
      <c r="D92" s="91" t="s">
        <v>371</v>
      </c>
      <c r="E92" s="91" t="s">
        <v>58</v>
      </c>
      <c r="F92" s="91" t="s">
        <v>59</v>
      </c>
      <c r="G92" s="3">
        <v>3180</v>
      </c>
      <c r="H92" s="2">
        <v>42402</v>
      </c>
      <c r="I92" s="2">
        <v>42418</v>
      </c>
      <c r="J92" s="2">
        <v>42423</v>
      </c>
      <c r="K92" s="2">
        <v>42430</v>
      </c>
      <c r="L92" s="91" t="s">
        <v>31</v>
      </c>
      <c r="M92" s="91">
        <v>60</v>
      </c>
      <c r="P92" s="91">
        <v>0</v>
      </c>
      <c r="Q92" s="91">
        <v>24</v>
      </c>
      <c r="R92" s="3">
        <v>3338.93</v>
      </c>
      <c r="S92" s="91">
        <v>0</v>
      </c>
      <c r="T92" s="3">
        <v>0</v>
      </c>
      <c r="U92" s="91">
        <v>0</v>
      </c>
      <c r="V92" s="2"/>
      <c r="W92" s="2"/>
      <c r="X92" s="91" t="s">
        <v>100</v>
      </c>
      <c r="Y92" s="91" t="s">
        <v>201</v>
      </c>
      <c r="Z92" s="91" t="s">
        <v>202</v>
      </c>
      <c r="AA92" s="91" t="s">
        <v>35</v>
      </c>
      <c r="AD92" s="95" t="s">
        <v>909</v>
      </c>
      <c r="AE92" s="95">
        <f t="shared" si="1"/>
        <v>2</v>
      </c>
    </row>
    <row r="93" spans="1:31" x14ac:dyDescent="0.25">
      <c r="A93" s="91" t="s">
        <v>372</v>
      </c>
      <c r="C93" s="91">
        <v>3</v>
      </c>
      <c r="D93" s="91" t="s">
        <v>373</v>
      </c>
      <c r="E93" s="91" t="s">
        <v>58</v>
      </c>
      <c r="F93" s="91" t="s">
        <v>30</v>
      </c>
      <c r="G93" s="3">
        <v>3110</v>
      </c>
      <c r="H93" s="2">
        <v>42402</v>
      </c>
      <c r="I93" s="2">
        <v>42405</v>
      </c>
      <c r="J93" s="2">
        <v>42408</v>
      </c>
      <c r="K93" s="2">
        <v>42415</v>
      </c>
      <c r="L93" s="91" t="s">
        <v>31</v>
      </c>
      <c r="M93" s="91">
        <v>30</v>
      </c>
      <c r="P93" s="91">
        <v>0</v>
      </c>
      <c r="Q93" s="91">
        <v>48</v>
      </c>
      <c r="R93" s="3">
        <v>3112.4</v>
      </c>
      <c r="S93" s="91">
        <v>0</v>
      </c>
      <c r="T93" s="3">
        <v>0</v>
      </c>
      <c r="U93" s="91">
        <v>0</v>
      </c>
      <c r="X93" s="91" t="s">
        <v>32</v>
      </c>
      <c r="Y93" s="91" t="s">
        <v>374</v>
      </c>
      <c r="Z93" s="91" t="s">
        <v>375</v>
      </c>
      <c r="AA93" s="91" t="s">
        <v>35</v>
      </c>
      <c r="AD93" s="95" t="s">
        <v>909</v>
      </c>
      <c r="AE93" s="95">
        <f t="shared" si="1"/>
        <v>2</v>
      </c>
    </row>
    <row r="94" spans="1:31" x14ac:dyDescent="0.25">
      <c r="A94" s="91" t="s">
        <v>376</v>
      </c>
      <c r="C94" s="91">
        <v>1</v>
      </c>
      <c r="D94" s="91" t="s">
        <v>377</v>
      </c>
      <c r="E94" s="91" t="s">
        <v>29</v>
      </c>
      <c r="F94" s="91" t="s">
        <v>30</v>
      </c>
      <c r="G94" s="3">
        <v>25000</v>
      </c>
      <c r="H94" s="2">
        <v>42402</v>
      </c>
      <c r="I94" s="2">
        <v>42521</v>
      </c>
      <c r="J94" s="2"/>
      <c r="K94" s="2">
        <v>42582</v>
      </c>
      <c r="L94" s="91" t="s">
        <v>31</v>
      </c>
      <c r="M94" s="91">
        <v>30</v>
      </c>
      <c r="P94" s="91">
        <v>0</v>
      </c>
      <c r="Q94" s="91">
        <v>0</v>
      </c>
      <c r="R94" s="3">
        <v>0</v>
      </c>
      <c r="S94" s="91">
        <v>0</v>
      </c>
      <c r="T94" s="91">
        <v>0</v>
      </c>
      <c r="U94" s="91">
        <v>0</v>
      </c>
      <c r="X94" s="91" t="s">
        <v>32</v>
      </c>
      <c r="Y94" s="91" t="s">
        <v>378</v>
      </c>
      <c r="Z94" s="91" t="s">
        <v>34</v>
      </c>
      <c r="AA94" s="91" t="s">
        <v>35</v>
      </c>
      <c r="AD94" s="95" t="s">
        <v>909</v>
      </c>
      <c r="AE94" s="95">
        <f t="shared" si="1"/>
        <v>2</v>
      </c>
    </row>
    <row r="95" spans="1:31" x14ac:dyDescent="0.25">
      <c r="A95" s="91" t="s">
        <v>379</v>
      </c>
      <c r="B95" s="91">
        <v>160007</v>
      </c>
      <c r="C95" s="91">
        <v>4</v>
      </c>
      <c r="D95" s="91" t="s">
        <v>380</v>
      </c>
      <c r="E95" s="91" t="s">
        <v>65</v>
      </c>
      <c r="F95" s="91" t="s">
        <v>80</v>
      </c>
      <c r="G95" s="3">
        <v>3985</v>
      </c>
      <c r="H95" s="2">
        <v>42402</v>
      </c>
      <c r="I95" s="2">
        <v>42403</v>
      </c>
      <c r="J95" s="2">
        <v>42404</v>
      </c>
      <c r="K95" s="2">
        <v>42415</v>
      </c>
      <c r="L95" s="91" t="s">
        <v>31</v>
      </c>
      <c r="M95" s="91">
        <v>60</v>
      </c>
      <c r="N95" s="91">
        <v>160007</v>
      </c>
      <c r="P95" s="91">
        <v>0</v>
      </c>
      <c r="Q95" s="91">
        <v>38</v>
      </c>
      <c r="R95" s="3">
        <v>4002.53</v>
      </c>
      <c r="S95" s="91">
        <v>38</v>
      </c>
      <c r="T95" s="3">
        <v>3985</v>
      </c>
      <c r="U95" s="91">
        <v>42.5</v>
      </c>
      <c r="V95" s="2">
        <v>42417</v>
      </c>
      <c r="W95" s="2">
        <v>42418</v>
      </c>
      <c r="X95" s="91" t="s">
        <v>81</v>
      </c>
      <c r="Y95" s="91" t="s">
        <v>381</v>
      </c>
      <c r="Z95" s="91" t="s">
        <v>382</v>
      </c>
      <c r="AA95" s="91" t="s">
        <v>35</v>
      </c>
      <c r="AD95" s="95" t="s">
        <v>909</v>
      </c>
      <c r="AE95" s="95">
        <f t="shared" si="1"/>
        <v>2</v>
      </c>
    </row>
    <row r="96" spans="1:31" x14ac:dyDescent="0.25">
      <c r="A96" s="91" t="s">
        <v>383</v>
      </c>
      <c r="B96" s="91">
        <v>160620</v>
      </c>
      <c r="C96" s="91">
        <v>4</v>
      </c>
      <c r="D96" s="91" t="s">
        <v>384</v>
      </c>
      <c r="E96" s="91" t="s">
        <v>58</v>
      </c>
      <c r="F96" s="91" t="s">
        <v>59</v>
      </c>
      <c r="G96" s="3">
        <v>14500</v>
      </c>
      <c r="H96" s="2">
        <v>42402</v>
      </c>
      <c r="I96" s="2">
        <v>42419</v>
      </c>
      <c r="J96" s="2">
        <v>42417</v>
      </c>
      <c r="K96" s="2">
        <v>42475</v>
      </c>
      <c r="L96" s="91" t="s">
        <v>31</v>
      </c>
      <c r="M96" s="91">
        <v>0</v>
      </c>
      <c r="N96" s="91">
        <v>160620</v>
      </c>
      <c r="P96" s="91">
        <v>0</v>
      </c>
      <c r="Q96" s="91">
        <v>182</v>
      </c>
      <c r="R96" s="3">
        <v>14294.51</v>
      </c>
      <c r="S96" s="91">
        <v>182</v>
      </c>
      <c r="T96" s="3">
        <v>14500</v>
      </c>
      <c r="U96" s="91">
        <v>13</v>
      </c>
      <c r="X96" s="91">
        <v>6000462865</v>
      </c>
      <c r="Y96" s="91" t="s">
        <v>385</v>
      </c>
      <c r="Z96" s="91" t="s">
        <v>386</v>
      </c>
      <c r="AA96" s="91" t="s">
        <v>35</v>
      </c>
      <c r="AD96" s="95" t="s">
        <v>909</v>
      </c>
      <c r="AE96" s="95">
        <f t="shared" si="1"/>
        <v>2</v>
      </c>
    </row>
    <row r="97" spans="1:31" x14ac:dyDescent="0.25">
      <c r="A97" s="91" t="s">
        <v>387</v>
      </c>
      <c r="C97" s="91">
        <v>3</v>
      </c>
      <c r="D97" s="91" t="s">
        <v>388</v>
      </c>
      <c r="E97" s="91" t="s">
        <v>58</v>
      </c>
      <c r="F97" s="91" t="s">
        <v>87</v>
      </c>
      <c r="G97" s="3">
        <v>0</v>
      </c>
      <c r="H97" s="2">
        <v>42402</v>
      </c>
      <c r="I97" s="2">
        <v>42423</v>
      </c>
      <c r="J97" s="2">
        <v>42426</v>
      </c>
      <c r="L97" s="91" t="s">
        <v>31</v>
      </c>
      <c r="M97" s="91">
        <v>0</v>
      </c>
      <c r="P97" s="91">
        <v>0</v>
      </c>
      <c r="Q97" s="91">
        <v>0</v>
      </c>
      <c r="R97" s="3">
        <v>0</v>
      </c>
      <c r="S97" s="91">
        <v>0</v>
      </c>
      <c r="T97" s="91">
        <v>0</v>
      </c>
      <c r="U97" s="91">
        <v>0</v>
      </c>
      <c r="X97" s="91" t="s">
        <v>389</v>
      </c>
      <c r="Y97" s="91" t="s">
        <v>390</v>
      </c>
      <c r="Z97" s="91" t="s">
        <v>391</v>
      </c>
      <c r="AA97" s="91" t="s">
        <v>35</v>
      </c>
      <c r="AD97" s="95" t="s">
        <v>909</v>
      </c>
      <c r="AE97" s="95">
        <f t="shared" si="1"/>
        <v>2</v>
      </c>
    </row>
    <row r="98" spans="1:31" x14ac:dyDescent="0.25">
      <c r="A98" s="91" t="s">
        <v>392</v>
      </c>
      <c r="C98" s="91">
        <v>3</v>
      </c>
      <c r="D98" s="91" t="s">
        <v>393</v>
      </c>
      <c r="E98" s="91" t="s">
        <v>58</v>
      </c>
      <c r="F98" s="91" t="s">
        <v>30</v>
      </c>
      <c r="G98" s="3">
        <v>1175</v>
      </c>
      <c r="H98" s="2">
        <v>42403</v>
      </c>
      <c r="I98" s="2">
        <v>42405</v>
      </c>
      <c r="J98" s="2">
        <v>42404</v>
      </c>
      <c r="K98" s="2">
        <v>42415</v>
      </c>
      <c r="L98" s="91" t="s">
        <v>31</v>
      </c>
      <c r="M98" s="91">
        <v>30</v>
      </c>
      <c r="P98" s="91">
        <v>0</v>
      </c>
      <c r="Q98" s="91">
        <v>20</v>
      </c>
      <c r="R98" s="3">
        <v>1175.0999999999999</v>
      </c>
      <c r="S98" s="91">
        <v>0</v>
      </c>
      <c r="T98" s="91">
        <v>0</v>
      </c>
      <c r="U98" s="91">
        <v>0</v>
      </c>
      <c r="X98" s="91" t="s">
        <v>32</v>
      </c>
      <c r="Y98" s="91" t="s">
        <v>394</v>
      </c>
      <c r="Z98" s="91" t="s">
        <v>395</v>
      </c>
      <c r="AA98" s="91" t="s">
        <v>35</v>
      </c>
      <c r="AD98" s="95" t="s">
        <v>909</v>
      </c>
      <c r="AE98" s="95">
        <f t="shared" si="1"/>
        <v>2</v>
      </c>
    </row>
    <row r="99" spans="1:31" x14ac:dyDescent="0.25">
      <c r="A99" s="91" t="s">
        <v>396</v>
      </c>
      <c r="B99" s="91">
        <v>160614</v>
      </c>
      <c r="C99" s="91">
        <v>4</v>
      </c>
      <c r="D99" s="91" t="s">
        <v>397</v>
      </c>
      <c r="E99" s="91" t="s">
        <v>58</v>
      </c>
      <c r="F99" s="91" t="s">
        <v>30</v>
      </c>
      <c r="G99" s="3">
        <v>3150</v>
      </c>
      <c r="H99" s="2">
        <v>42403</v>
      </c>
      <c r="I99" s="2">
        <v>42402</v>
      </c>
      <c r="J99" s="2">
        <v>42403</v>
      </c>
      <c r="K99" s="2">
        <v>42415</v>
      </c>
      <c r="L99" s="91" t="s">
        <v>31</v>
      </c>
      <c r="M99" s="91">
        <v>30</v>
      </c>
      <c r="N99" s="91">
        <v>160614</v>
      </c>
      <c r="P99" s="91">
        <v>0</v>
      </c>
      <c r="Q99" s="91">
        <v>32</v>
      </c>
      <c r="R99" s="3">
        <v>2565.0300000000002</v>
      </c>
      <c r="S99" s="91">
        <v>32</v>
      </c>
      <c r="T99" s="3">
        <v>3150</v>
      </c>
      <c r="U99" s="91">
        <v>29.5</v>
      </c>
      <c r="V99" s="2">
        <v>42419</v>
      </c>
      <c r="W99" s="2">
        <v>42423</v>
      </c>
      <c r="X99" s="91" t="s">
        <v>32</v>
      </c>
      <c r="Y99" s="91" t="s">
        <v>398</v>
      </c>
      <c r="Z99" s="91" t="s">
        <v>399</v>
      </c>
      <c r="AA99" s="91" t="s">
        <v>35</v>
      </c>
      <c r="AD99" s="95" t="s">
        <v>909</v>
      </c>
      <c r="AE99" s="95">
        <f t="shared" si="1"/>
        <v>2</v>
      </c>
    </row>
    <row r="100" spans="1:31" x14ac:dyDescent="0.25">
      <c r="A100" s="91" t="s">
        <v>400</v>
      </c>
      <c r="B100" s="91">
        <v>160617</v>
      </c>
      <c r="C100" s="91">
        <v>4</v>
      </c>
      <c r="D100" s="91" t="s">
        <v>401</v>
      </c>
      <c r="E100" s="91" t="s">
        <v>58</v>
      </c>
      <c r="F100" s="91" t="s">
        <v>59</v>
      </c>
      <c r="G100" s="3">
        <v>11090</v>
      </c>
      <c r="H100" s="2">
        <v>42404</v>
      </c>
      <c r="I100" s="2">
        <v>42412</v>
      </c>
      <c r="J100" s="2">
        <v>42417</v>
      </c>
      <c r="K100" s="2">
        <v>42430</v>
      </c>
      <c r="L100" s="91" t="s">
        <v>31</v>
      </c>
      <c r="M100" s="91">
        <v>80</v>
      </c>
      <c r="N100" s="91">
        <v>160617</v>
      </c>
      <c r="P100" s="91">
        <v>0</v>
      </c>
      <c r="Q100" s="91">
        <v>48</v>
      </c>
      <c r="R100" s="3">
        <v>4476.0600000000004</v>
      </c>
      <c r="S100" s="91">
        <v>98</v>
      </c>
      <c r="T100" s="3">
        <v>11090</v>
      </c>
      <c r="U100" s="91">
        <v>2.5</v>
      </c>
      <c r="X100" s="91" t="s">
        <v>100</v>
      </c>
      <c r="Y100" s="91" t="s">
        <v>402</v>
      </c>
      <c r="Z100" s="91" t="s">
        <v>202</v>
      </c>
      <c r="AA100" s="91" t="s">
        <v>35</v>
      </c>
      <c r="AD100" s="95" t="s">
        <v>909</v>
      </c>
      <c r="AE100" s="95">
        <f t="shared" si="1"/>
        <v>2</v>
      </c>
    </row>
    <row r="101" spans="1:31" x14ac:dyDescent="0.25">
      <c r="A101" s="91" t="s">
        <v>403</v>
      </c>
      <c r="C101" s="91">
        <v>5</v>
      </c>
      <c r="D101" s="91" t="s">
        <v>404</v>
      </c>
      <c r="E101" s="91" t="s">
        <v>58</v>
      </c>
      <c r="F101" s="91" t="s">
        <v>87</v>
      </c>
      <c r="G101" s="3">
        <v>6665</v>
      </c>
      <c r="H101" s="2">
        <v>42404</v>
      </c>
      <c r="I101" s="2">
        <v>42405</v>
      </c>
      <c r="J101" s="2">
        <v>42405</v>
      </c>
      <c r="K101" s="2"/>
      <c r="L101" s="91" t="s">
        <v>31</v>
      </c>
      <c r="M101" s="91">
        <v>50</v>
      </c>
      <c r="P101" s="91">
        <v>0</v>
      </c>
      <c r="Q101" s="91">
        <v>200</v>
      </c>
      <c r="R101" s="3">
        <v>278189.12</v>
      </c>
      <c r="S101" s="91">
        <v>0</v>
      </c>
      <c r="T101" s="91">
        <v>0</v>
      </c>
      <c r="U101" s="91">
        <v>0</v>
      </c>
      <c r="X101" s="91" t="s">
        <v>405</v>
      </c>
      <c r="Y101" s="91" t="s">
        <v>406</v>
      </c>
      <c r="Z101" s="91" t="s">
        <v>407</v>
      </c>
      <c r="AA101" s="91" t="s">
        <v>35</v>
      </c>
      <c r="AD101" s="95" t="s">
        <v>909</v>
      </c>
      <c r="AE101" s="95">
        <f t="shared" si="1"/>
        <v>2</v>
      </c>
    </row>
    <row r="102" spans="1:31" x14ac:dyDescent="0.25">
      <c r="A102" s="91" t="s">
        <v>408</v>
      </c>
      <c r="C102" s="91">
        <v>3</v>
      </c>
      <c r="D102" s="91" t="s">
        <v>409</v>
      </c>
      <c r="E102" s="91" t="s">
        <v>58</v>
      </c>
      <c r="F102" s="91" t="s">
        <v>59</v>
      </c>
      <c r="G102" s="3">
        <v>7602</v>
      </c>
      <c r="H102" s="2">
        <v>42404</v>
      </c>
      <c r="I102" s="2">
        <v>42412</v>
      </c>
      <c r="J102" s="2">
        <v>42416</v>
      </c>
      <c r="K102" s="2">
        <v>42430</v>
      </c>
      <c r="L102" s="91" t="s">
        <v>31</v>
      </c>
      <c r="M102" s="91">
        <v>50</v>
      </c>
      <c r="P102" s="91">
        <v>0</v>
      </c>
      <c r="Q102" s="91">
        <v>66</v>
      </c>
      <c r="R102" s="3">
        <v>7602.13</v>
      </c>
      <c r="S102" s="91">
        <v>0</v>
      </c>
      <c r="T102" s="91">
        <v>0</v>
      </c>
      <c r="U102" s="91">
        <v>0</v>
      </c>
      <c r="X102" s="91" t="s">
        <v>100</v>
      </c>
      <c r="Y102" s="91" t="s">
        <v>410</v>
      </c>
      <c r="Z102" s="91" t="s">
        <v>411</v>
      </c>
      <c r="AA102" s="91" t="s">
        <v>35</v>
      </c>
      <c r="AD102" s="95" t="s">
        <v>909</v>
      </c>
      <c r="AE102" s="95">
        <f t="shared" si="1"/>
        <v>2</v>
      </c>
    </row>
    <row r="103" spans="1:31" x14ac:dyDescent="0.25">
      <c r="A103" s="91" t="s">
        <v>412</v>
      </c>
      <c r="B103" s="91">
        <v>160108</v>
      </c>
      <c r="C103" s="91">
        <v>4</v>
      </c>
      <c r="D103" s="91" t="s">
        <v>413</v>
      </c>
      <c r="E103" s="91" t="s">
        <v>51</v>
      </c>
      <c r="F103" s="91" t="s">
        <v>52</v>
      </c>
      <c r="G103" s="3">
        <v>1915</v>
      </c>
      <c r="H103" s="2">
        <v>42404</v>
      </c>
      <c r="I103" s="2">
        <v>42398</v>
      </c>
      <c r="J103" s="2">
        <v>42394</v>
      </c>
      <c r="K103" s="2">
        <v>42415</v>
      </c>
      <c r="L103" s="91" t="s">
        <v>31</v>
      </c>
      <c r="M103" s="91">
        <v>50</v>
      </c>
      <c r="N103" s="91">
        <v>160108</v>
      </c>
      <c r="P103" s="91">
        <v>0</v>
      </c>
      <c r="Q103" s="91">
        <v>23.25</v>
      </c>
      <c r="R103" s="3">
        <v>1912.93</v>
      </c>
      <c r="S103" s="91">
        <v>23.25</v>
      </c>
      <c r="T103" s="3">
        <v>1915</v>
      </c>
      <c r="U103" s="91">
        <v>0</v>
      </c>
      <c r="X103" s="91" t="s">
        <v>316</v>
      </c>
      <c r="Y103" s="91" t="s">
        <v>414</v>
      </c>
      <c r="Z103" s="91" t="s">
        <v>55</v>
      </c>
      <c r="AA103" s="91" t="s">
        <v>35</v>
      </c>
      <c r="AD103" s="95" t="s">
        <v>909</v>
      </c>
      <c r="AE103" s="95">
        <f t="shared" si="1"/>
        <v>2</v>
      </c>
    </row>
    <row r="104" spans="1:31" x14ac:dyDescent="0.25">
      <c r="A104" s="91" t="s">
        <v>415</v>
      </c>
      <c r="C104" s="91">
        <v>3</v>
      </c>
      <c r="D104" s="91" t="s">
        <v>416</v>
      </c>
      <c r="E104" s="91" t="s">
        <v>29</v>
      </c>
      <c r="F104" s="91" t="s">
        <v>38</v>
      </c>
      <c r="G104" s="3">
        <v>4750</v>
      </c>
      <c r="H104" s="2">
        <v>42404</v>
      </c>
      <c r="J104" s="2">
        <v>42404</v>
      </c>
      <c r="L104" s="91" t="s">
        <v>31</v>
      </c>
      <c r="M104" s="91">
        <v>50</v>
      </c>
      <c r="P104" s="91">
        <v>0</v>
      </c>
      <c r="Q104" s="91">
        <v>50</v>
      </c>
      <c r="R104" s="3">
        <v>4749.8500000000004</v>
      </c>
      <c r="S104" s="91">
        <v>0</v>
      </c>
      <c r="T104" s="91">
        <v>0</v>
      </c>
      <c r="U104" s="91">
        <v>0</v>
      </c>
      <c r="X104" s="91" t="s">
        <v>417</v>
      </c>
      <c r="Y104" s="91" t="s">
        <v>93</v>
      </c>
      <c r="Z104" s="91" t="s">
        <v>34</v>
      </c>
      <c r="AA104" s="91" t="s">
        <v>35</v>
      </c>
      <c r="AD104" s="95" t="s">
        <v>909</v>
      </c>
      <c r="AE104" s="95">
        <f t="shared" si="1"/>
        <v>2</v>
      </c>
    </row>
    <row r="105" spans="1:31" x14ac:dyDescent="0.25">
      <c r="A105" s="91" t="s">
        <v>418</v>
      </c>
      <c r="C105" s="91">
        <v>5</v>
      </c>
      <c r="D105" s="91" t="s">
        <v>419</v>
      </c>
      <c r="E105" s="91" t="s">
        <v>29</v>
      </c>
      <c r="F105" s="91" t="s">
        <v>30</v>
      </c>
      <c r="G105" s="3">
        <v>9545</v>
      </c>
      <c r="H105" s="2">
        <v>42409</v>
      </c>
      <c r="I105" s="2">
        <v>42405</v>
      </c>
      <c r="J105" s="2">
        <v>42415</v>
      </c>
      <c r="L105" s="91" t="s">
        <v>31</v>
      </c>
      <c r="M105" s="91">
        <v>0</v>
      </c>
      <c r="P105" s="91">
        <v>0</v>
      </c>
      <c r="Q105" s="91">
        <v>64</v>
      </c>
      <c r="R105" s="3">
        <v>9544.56</v>
      </c>
      <c r="S105" s="91">
        <v>0</v>
      </c>
      <c r="T105" s="91">
        <v>0</v>
      </c>
      <c r="U105" s="91">
        <v>0</v>
      </c>
      <c r="X105" s="91" t="s">
        <v>420</v>
      </c>
      <c r="Y105" s="91" t="s">
        <v>163</v>
      </c>
      <c r="Z105" s="91" t="s">
        <v>34</v>
      </c>
      <c r="AA105" s="91" t="s">
        <v>35</v>
      </c>
      <c r="AD105" s="95" t="s">
        <v>909</v>
      </c>
      <c r="AE105" s="95">
        <f t="shared" si="1"/>
        <v>2</v>
      </c>
    </row>
    <row r="106" spans="1:31" x14ac:dyDescent="0.25">
      <c r="A106" s="91" t="s">
        <v>421</v>
      </c>
      <c r="B106" s="91">
        <v>164032</v>
      </c>
      <c r="C106" s="91">
        <v>4</v>
      </c>
      <c r="D106" s="91" t="s">
        <v>422</v>
      </c>
      <c r="E106" s="91" t="s">
        <v>29</v>
      </c>
      <c r="F106" s="91" t="s">
        <v>138</v>
      </c>
      <c r="G106" s="3">
        <v>965</v>
      </c>
      <c r="H106" s="2">
        <v>42409</v>
      </c>
      <c r="I106" s="2">
        <v>42416</v>
      </c>
      <c r="J106" s="2">
        <v>42416</v>
      </c>
      <c r="K106" s="2">
        <v>42460</v>
      </c>
      <c r="L106" s="91" t="s">
        <v>31</v>
      </c>
      <c r="M106" s="91">
        <v>50</v>
      </c>
      <c r="N106" s="91">
        <v>164032</v>
      </c>
      <c r="P106" s="91">
        <v>0</v>
      </c>
      <c r="Q106" s="91">
        <v>18</v>
      </c>
      <c r="R106" s="91">
        <v>967.21</v>
      </c>
      <c r="S106" s="91">
        <v>18</v>
      </c>
      <c r="T106" s="3">
        <v>965</v>
      </c>
      <c r="U106" s="91">
        <v>9.5</v>
      </c>
      <c r="V106" s="2">
        <v>42430</v>
      </c>
      <c r="W106" s="2">
        <v>42430</v>
      </c>
      <c r="X106" s="91" t="s">
        <v>139</v>
      </c>
      <c r="Y106" s="91" t="s">
        <v>166</v>
      </c>
      <c r="Z106" s="91" t="s">
        <v>34</v>
      </c>
      <c r="AA106" s="91" t="s">
        <v>35</v>
      </c>
      <c r="AD106" s="95" t="s">
        <v>909</v>
      </c>
      <c r="AE106" s="95">
        <f t="shared" si="1"/>
        <v>2</v>
      </c>
    </row>
    <row r="107" spans="1:31" x14ac:dyDescent="0.25">
      <c r="A107" s="91" t="s">
        <v>423</v>
      </c>
      <c r="B107" s="91">
        <v>164061</v>
      </c>
      <c r="C107" s="91">
        <v>4</v>
      </c>
      <c r="D107" s="91" t="s">
        <v>424</v>
      </c>
      <c r="E107" s="91" t="s">
        <v>29</v>
      </c>
      <c r="F107" s="91" t="s">
        <v>138</v>
      </c>
      <c r="G107" s="3">
        <v>2900</v>
      </c>
      <c r="H107" s="2">
        <v>42409</v>
      </c>
      <c r="I107" s="2">
        <v>42418</v>
      </c>
      <c r="J107" s="2">
        <v>42418</v>
      </c>
      <c r="K107" s="2">
        <v>42460</v>
      </c>
      <c r="L107" s="91" t="s">
        <v>31</v>
      </c>
      <c r="M107" s="91">
        <v>30</v>
      </c>
      <c r="N107" s="91">
        <v>164061</v>
      </c>
      <c r="P107" s="91">
        <v>0</v>
      </c>
      <c r="Q107" s="91">
        <v>2</v>
      </c>
      <c r="R107" s="3">
        <v>2993.34</v>
      </c>
      <c r="S107" s="91">
        <v>2</v>
      </c>
      <c r="T107" s="3">
        <v>2900</v>
      </c>
      <c r="U107" s="91">
        <v>0</v>
      </c>
      <c r="V107" s="2"/>
      <c r="W107" s="2"/>
      <c r="X107" s="91" t="s">
        <v>353</v>
      </c>
      <c r="Y107" s="91" t="s">
        <v>149</v>
      </c>
      <c r="Z107" s="91" t="s">
        <v>34</v>
      </c>
      <c r="AA107" s="91" t="s">
        <v>35</v>
      </c>
      <c r="AD107" s="95" t="s">
        <v>909</v>
      </c>
      <c r="AE107" s="95">
        <f t="shared" si="1"/>
        <v>2</v>
      </c>
    </row>
    <row r="108" spans="1:31" x14ac:dyDescent="0.25">
      <c r="A108" s="91" t="s">
        <v>425</v>
      </c>
      <c r="C108" s="91">
        <v>3</v>
      </c>
      <c r="D108" s="91" t="s">
        <v>426</v>
      </c>
      <c r="E108" s="91" t="s">
        <v>29</v>
      </c>
      <c r="F108" s="91" t="s">
        <v>138</v>
      </c>
      <c r="G108" s="3">
        <v>4995</v>
      </c>
      <c r="H108" s="2">
        <v>42409</v>
      </c>
      <c r="I108" s="2">
        <v>42418</v>
      </c>
      <c r="J108" s="2">
        <v>42418</v>
      </c>
      <c r="K108" s="2">
        <v>42460</v>
      </c>
      <c r="L108" s="91" t="s">
        <v>31</v>
      </c>
      <c r="M108" s="91">
        <v>30</v>
      </c>
      <c r="P108" s="91">
        <v>0</v>
      </c>
      <c r="Q108" s="91">
        <v>2</v>
      </c>
      <c r="R108" s="3">
        <v>4995.29</v>
      </c>
      <c r="S108" s="91">
        <v>0</v>
      </c>
      <c r="T108" s="91">
        <v>0</v>
      </c>
      <c r="U108" s="91">
        <v>0</v>
      </c>
      <c r="X108" s="91" t="s">
        <v>353</v>
      </c>
      <c r="Y108" s="91" t="s">
        <v>149</v>
      </c>
      <c r="Z108" s="91" t="s">
        <v>34</v>
      </c>
      <c r="AA108" s="91" t="s">
        <v>35</v>
      </c>
      <c r="AD108" s="95" t="s">
        <v>909</v>
      </c>
      <c r="AE108" s="95">
        <f t="shared" si="1"/>
        <v>2</v>
      </c>
    </row>
    <row r="109" spans="1:31" x14ac:dyDescent="0.25">
      <c r="A109" s="91" t="s">
        <v>427</v>
      </c>
      <c r="C109" s="91">
        <v>5</v>
      </c>
      <c r="D109" s="91" t="s">
        <v>428</v>
      </c>
      <c r="E109" s="91" t="s">
        <v>29</v>
      </c>
      <c r="F109" s="91" t="s">
        <v>138</v>
      </c>
      <c r="G109" s="3">
        <v>5500</v>
      </c>
      <c r="H109" s="2">
        <v>42409</v>
      </c>
      <c r="I109" s="2">
        <v>42424</v>
      </c>
      <c r="J109" s="2">
        <v>42424</v>
      </c>
      <c r="K109" s="2">
        <v>42460</v>
      </c>
      <c r="L109" s="91" t="s">
        <v>31</v>
      </c>
      <c r="M109" s="91">
        <v>25</v>
      </c>
      <c r="P109" s="91">
        <v>0</v>
      </c>
      <c r="Q109" s="91">
        <v>108</v>
      </c>
      <c r="R109" s="3">
        <v>5507.32</v>
      </c>
      <c r="S109" s="91">
        <v>0</v>
      </c>
      <c r="T109" s="3">
        <v>0</v>
      </c>
      <c r="U109" s="91">
        <v>0</v>
      </c>
      <c r="X109" s="91" t="s">
        <v>429</v>
      </c>
      <c r="Y109" s="91" t="s">
        <v>430</v>
      </c>
      <c r="Z109" s="91" t="s">
        <v>34</v>
      </c>
      <c r="AA109" s="91" t="s">
        <v>35</v>
      </c>
      <c r="AD109" s="95" t="s">
        <v>909</v>
      </c>
      <c r="AE109" s="95">
        <f t="shared" si="1"/>
        <v>2</v>
      </c>
    </row>
    <row r="110" spans="1:31" x14ac:dyDescent="0.25">
      <c r="A110" s="91" t="s">
        <v>431</v>
      </c>
      <c r="C110" s="91">
        <v>3</v>
      </c>
      <c r="D110" s="91" t="s">
        <v>432</v>
      </c>
      <c r="E110" s="91" t="s">
        <v>29</v>
      </c>
      <c r="F110" s="91" t="s">
        <v>138</v>
      </c>
      <c r="G110" s="3">
        <v>775</v>
      </c>
      <c r="H110" s="2">
        <v>42409</v>
      </c>
      <c r="I110" s="2">
        <v>42425</v>
      </c>
      <c r="J110" s="2">
        <v>42425</v>
      </c>
      <c r="K110" s="2">
        <v>42460</v>
      </c>
      <c r="L110" s="91" t="s">
        <v>31</v>
      </c>
      <c r="M110" s="91">
        <v>50</v>
      </c>
      <c r="P110" s="91">
        <v>0</v>
      </c>
      <c r="Q110" s="91">
        <v>12</v>
      </c>
      <c r="R110" s="91">
        <v>775.98</v>
      </c>
      <c r="S110" s="91">
        <v>0</v>
      </c>
      <c r="T110" s="3">
        <v>0</v>
      </c>
      <c r="U110" s="91">
        <v>0</v>
      </c>
      <c r="X110" s="91" t="s">
        <v>353</v>
      </c>
      <c r="Y110" s="91" t="s">
        <v>140</v>
      </c>
      <c r="Z110" s="91" t="s">
        <v>34</v>
      </c>
      <c r="AA110" s="91" t="s">
        <v>35</v>
      </c>
      <c r="AD110" s="95" t="s">
        <v>909</v>
      </c>
      <c r="AE110" s="95">
        <f t="shared" si="1"/>
        <v>2</v>
      </c>
    </row>
    <row r="111" spans="1:31" x14ac:dyDescent="0.25">
      <c r="A111" s="91" t="s">
        <v>433</v>
      </c>
      <c r="C111" s="91">
        <v>3</v>
      </c>
      <c r="D111" s="91" t="s">
        <v>434</v>
      </c>
      <c r="E111" s="91" t="s">
        <v>29</v>
      </c>
      <c r="F111" s="91" t="s">
        <v>138</v>
      </c>
      <c r="G111" s="3">
        <v>7590</v>
      </c>
      <c r="H111" s="2">
        <v>42409</v>
      </c>
      <c r="I111" s="2"/>
      <c r="J111" s="2">
        <v>42436</v>
      </c>
      <c r="K111" s="2"/>
      <c r="L111" s="91" t="s">
        <v>31</v>
      </c>
      <c r="M111" s="91">
        <v>50</v>
      </c>
      <c r="P111" s="91">
        <v>0</v>
      </c>
      <c r="Q111" s="91">
        <v>64</v>
      </c>
      <c r="R111" s="3">
        <v>7585.11</v>
      </c>
      <c r="S111" s="91">
        <v>0</v>
      </c>
      <c r="T111" s="91">
        <v>0</v>
      </c>
      <c r="U111" s="91">
        <v>0</v>
      </c>
      <c r="X111" s="91" t="s">
        <v>353</v>
      </c>
      <c r="Y111" s="91" t="s">
        <v>140</v>
      </c>
      <c r="Z111" s="91" t="s">
        <v>34</v>
      </c>
      <c r="AA111" s="91" t="s">
        <v>35</v>
      </c>
      <c r="AD111" s="95" t="s">
        <v>909</v>
      </c>
      <c r="AE111" s="95">
        <f t="shared" si="1"/>
        <v>2</v>
      </c>
    </row>
    <row r="112" spans="1:31" x14ac:dyDescent="0.25">
      <c r="A112" s="91" t="s">
        <v>435</v>
      </c>
      <c r="B112" s="91">
        <v>164042</v>
      </c>
      <c r="C112" s="91">
        <v>4</v>
      </c>
      <c r="D112" s="91" t="s">
        <v>436</v>
      </c>
      <c r="E112" s="91" t="s">
        <v>29</v>
      </c>
      <c r="F112" s="91" t="s">
        <v>138</v>
      </c>
      <c r="G112" s="3">
        <v>795</v>
      </c>
      <c r="H112" s="2">
        <v>42409</v>
      </c>
      <c r="I112" s="2">
        <v>42425</v>
      </c>
      <c r="J112" s="2">
        <v>42425</v>
      </c>
      <c r="L112" s="91" t="s">
        <v>31</v>
      </c>
      <c r="M112" s="91">
        <v>50</v>
      </c>
      <c r="N112" s="91">
        <v>164042</v>
      </c>
      <c r="P112" s="91">
        <v>0</v>
      </c>
      <c r="Q112" s="91">
        <v>1</v>
      </c>
      <c r="R112" s="3">
        <v>798.6</v>
      </c>
      <c r="S112" s="91">
        <v>1</v>
      </c>
      <c r="T112" s="91">
        <v>795</v>
      </c>
      <c r="U112" s="91">
        <v>0.5</v>
      </c>
      <c r="X112" s="91" t="s">
        <v>353</v>
      </c>
      <c r="Y112" s="91" t="s">
        <v>140</v>
      </c>
      <c r="Z112" s="91" t="s">
        <v>34</v>
      </c>
      <c r="AA112" s="91" t="s">
        <v>35</v>
      </c>
      <c r="AD112" s="95" t="s">
        <v>909</v>
      </c>
      <c r="AE112" s="95">
        <f t="shared" si="1"/>
        <v>2</v>
      </c>
    </row>
    <row r="113" spans="1:31" x14ac:dyDescent="0.25">
      <c r="A113" s="91" t="s">
        <v>437</v>
      </c>
      <c r="B113" s="91">
        <v>164055</v>
      </c>
      <c r="C113" s="91">
        <v>4</v>
      </c>
      <c r="D113" s="91" t="s">
        <v>438</v>
      </c>
      <c r="E113" s="91" t="s">
        <v>29</v>
      </c>
      <c r="F113" s="91" t="s">
        <v>138</v>
      </c>
      <c r="G113" s="3">
        <v>1032</v>
      </c>
      <c r="H113" s="2">
        <v>42409</v>
      </c>
      <c r="I113" s="2">
        <v>42426</v>
      </c>
      <c r="J113" s="2">
        <v>42426</v>
      </c>
      <c r="K113" s="2">
        <v>42460</v>
      </c>
      <c r="L113" s="91" t="s">
        <v>31</v>
      </c>
      <c r="M113" s="91">
        <v>50</v>
      </c>
      <c r="N113" s="91">
        <v>164055</v>
      </c>
      <c r="P113" s="91">
        <v>0</v>
      </c>
      <c r="Q113" s="91">
        <v>0</v>
      </c>
      <c r="R113" s="3">
        <v>0</v>
      </c>
      <c r="S113" s="91">
        <v>1</v>
      </c>
      <c r="T113" s="3">
        <v>1032</v>
      </c>
      <c r="U113" s="91">
        <v>0</v>
      </c>
      <c r="X113" s="91" t="s">
        <v>353</v>
      </c>
      <c r="Y113" s="91" t="s">
        <v>149</v>
      </c>
      <c r="Z113" s="91" t="s">
        <v>34</v>
      </c>
      <c r="AA113" s="91" t="s">
        <v>35</v>
      </c>
      <c r="AD113" s="95" t="s">
        <v>909</v>
      </c>
      <c r="AE113" s="95">
        <f t="shared" si="1"/>
        <v>2</v>
      </c>
    </row>
    <row r="114" spans="1:31" x14ac:dyDescent="0.25">
      <c r="A114" s="91" t="s">
        <v>439</v>
      </c>
      <c r="B114" s="91">
        <v>164056</v>
      </c>
      <c r="C114" s="91">
        <v>4</v>
      </c>
      <c r="D114" s="91" t="s">
        <v>440</v>
      </c>
      <c r="E114" s="91" t="s">
        <v>29</v>
      </c>
      <c r="F114" s="91" t="s">
        <v>138</v>
      </c>
      <c r="G114" s="3">
        <v>1290</v>
      </c>
      <c r="H114" s="2">
        <v>42409</v>
      </c>
      <c r="I114" s="2">
        <v>42433</v>
      </c>
      <c r="J114" s="2">
        <v>42433</v>
      </c>
      <c r="K114" s="2">
        <v>42460</v>
      </c>
      <c r="L114" s="91" t="s">
        <v>31</v>
      </c>
      <c r="M114" s="91">
        <v>50</v>
      </c>
      <c r="N114" s="91">
        <v>164056</v>
      </c>
      <c r="P114" s="91">
        <v>0</v>
      </c>
      <c r="Q114" s="91">
        <v>18</v>
      </c>
      <c r="R114" s="3">
        <v>1263.8599999999999</v>
      </c>
      <c r="S114" s="91">
        <v>19</v>
      </c>
      <c r="T114" s="3">
        <v>1500</v>
      </c>
      <c r="U114" s="91">
        <v>17</v>
      </c>
      <c r="V114" s="2">
        <v>42442</v>
      </c>
      <c r="W114" s="2">
        <v>42442</v>
      </c>
      <c r="X114" s="91" t="s">
        <v>353</v>
      </c>
      <c r="Y114" s="91" t="s">
        <v>430</v>
      </c>
      <c r="Z114" s="91" t="s">
        <v>34</v>
      </c>
      <c r="AA114" s="91" t="s">
        <v>35</v>
      </c>
      <c r="AD114" s="95" t="s">
        <v>909</v>
      </c>
      <c r="AE114" s="95">
        <f t="shared" si="1"/>
        <v>2</v>
      </c>
    </row>
    <row r="115" spans="1:31" x14ac:dyDescent="0.25">
      <c r="A115" s="91" t="s">
        <v>441</v>
      </c>
      <c r="C115" s="91">
        <v>3</v>
      </c>
      <c r="D115" s="91" t="s">
        <v>442</v>
      </c>
      <c r="E115" s="91" t="s">
        <v>29</v>
      </c>
      <c r="F115" s="91" t="s">
        <v>138</v>
      </c>
      <c r="G115" s="3">
        <v>11650</v>
      </c>
      <c r="H115" s="2">
        <v>42409</v>
      </c>
      <c r="I115" s="2">
        <v>42440</v>
      </c>
      <c r="J115" s="2">
        <v>42437</v>
      </c>
      <c r="K115" s="2">
        <v>42490</v>
      </c>
      <c r="L115" s="91" t="s">
        <v>31</v>
      </c>
      <c r="M115" s="91">
        <v>30</v>
      </c>
      <c r="P115" s="91">
        <v>0</v>
      </c>
      <c r="Q115" s="91">
        <v>192</v>
      </c>
      <c r="R115" s="3">
        <v>11647.94</v>
      </c>
      <c r="S115" s="91">
        <v>0</v>
      </c>
      <c r="T115" s="91">
        <v>0</v>
      </c>
      <c r="U115" s="91">
        <v>0</v>
      </c>
      <c r="X115" s="91" t="s">
        <v>443</v>
      </c>
      <c r="Y115" s="91" t="s">
        <v>163</v>
      </c>
      <c r="Z115" s="91" t="s">
        <v>34</v>
      </c>
      <c r="AA115" s="91" t="s">
        <v>35</v>
      </c>
      <c r="AD115" s="95" t="s">
        <v>909</v>
      </c>
      <c r="AE115" s="95">
        <f t="shared" si="1"/>
        <v>2</v>
      </c>
    </row>
    <row r="116" spans="1:31" x14ac:dyDescent="0.25">
      <c r="A116" s="91" t="s">
        <v>444</v>
      </c>
      <c r="B116" s="91">
        <v>164059</v>
      </c>
      <c r="C116" s="91">
        <v>4</v>
      </c>
      <c r="D116" s="91" t="s">
        <v>445</v>
      </c>
      <c r="E116" s="91" t="s">
        <v>29</v>
      </c>
      <c r="F116" s="91" t="s">
        <v>138</v>
      </c>
      <c r="G116" s="3">
        <v>1375</v>
      </c>
      <c r="H116" s="2">
        <v>42409</v>
      </c>
      <c r="I116" s="2">
        <v>42440</v>
      </c>
      <c r="J116" s="2">
        <v>42440</v>
      </c>
      <c r="K116" s="2">
        <v>42490</v>
      </c>
      <c r="L116" s="91" t="s">
        <v>31</v>
      </c>
      <c r="M116" s="91">
        <v>30</v>
      </c>
      <c r="N116" s="91">
        <v>164059</v>
      </c>
      <c r="P116" s="91">
        <v>0</v>
      </c>
      <c r="Q116" s="91">
        <v>16</v>
      </c>
      <c r="R116" s="3">
        <v>1375.82</v>
      </c>
      <c r="S116" s="91">
        <v>16</v>
      </c>
      <c r="T116" s="3">
        <v>1375</v>
      </c>
      <c r="U116" s="91">
        <v>2</v>
      </c>
      <c r="X116" s="91" t="s">
        <v>353</v>
      </c>
      <c r="Y116" s="91" t="s">
        <v>140</v>
      </c>
      <c r="Z116" s="91" t="s">
        <v>34</v>
      </c>
      <c r="AA116" s="91" t="s">
        <v>35</v>
      </c>
      <c r="AD116" s="95" t="s">
        <v>909</v>
      </c>
      <c r="AE116" s="95">
        <f t="shared" si="1"/>
        <v>2</v>
      </c>
    </row>
    <row r="117" spans="1:31" x14ac:dyDescent="0.25">
      <c r="A117" s="91" t="s">
        <v>446</v>
      </c>
      <c r="B117" s="91">
        <v>164057</v>
      </c>
      <c r="C117" s="91">
        <v>4</v>
      </c>
      <c r="D117" s="91" t="s">
        <v>447</v>
      </c>
      <c r="E117" s="91" t="s">
        <v>29</v>
      </c>
      <c r="F117" s="91" t="s">
        <v>138</v>
      </c>
      <c r="G117" s="3">
        <v>3560</v>
      </c>
      <c r="H117" s="2">
        <v>42409</v>
      </c>
      <c r="I117" s="2">
        <v>42439</v>
      </c>
      <c r="J117" s="2">
        <v>42439</v>
      </c>
      <c r="K117" s="2">
        <v>42460</v>
      </c>
      <c r="L117" s="2" t="s">
        <v>31</v>
      </c>
      <c r="M117" s="91">
        <v>50</v>
      </c>
      <c r="N117" s="91">
        <v>164057</v>
      </c>
      <c r="P117" s="91">
        <v>0</v>
      </c>
      <c r="Q117" s="91">
        <v>0</v>
      </c>
      <c r="R117" s="91">
        <v>0</v>
      </c>
      <c r="S117" s="91">
        <v>1</v>
      </c>
      <c r="T117" s="3">
        <v>3560</v>
      </c>
      <c r="U117" s="91">
        <v>42</v>
      </c>
      <c r="V117" s="2">
        <v>42451</v>
      </c>
      <c r="W117" s="2">
        <v>42452</v>
      </c>
      <c r="X117" s="91" t="s">
        <v>353</v>
      </c>
      <c r="Y117" s="91" t="s">
        <v>140</v>
      </c>
      <c r="Z117" s="91" t="s">
        <v>34</v>
      </c>
      <c r="AA117" s="91" t="s">
        <v>35</v>
      </c>
      <c r="AD117" s="95" t="s">
        <v>909</v>
      </c>
      <c r="AE117" s="95">
        <f t="shared" si="1"/>
        <v>2</v>
      </c>
    </row>
    <row r="118" spans="1:31" x14ac:dyDescent="0.25">
      <c r="A118" s="91" t="s">
        <v>448</v>
      </c>
      <c r="B118" s="91">
        <v>164047</v>
      </c>
      <c r="C118" s="91">
        <v>4</v>
      </c>
      <c r="D118" s="91" t="s">
        <v>449</v>
      </c>
      <c r="E118" s="91" t="s">
        <v>29</v>
      </c>
      <c r="F118" s="91" t="s">
        <v>138</v>
      </c>
      <c r="G118" s="3">
        <v>1196</v>
      </c>
      <c r="H118" s="2">
        <v>42409</v>
      </c>
      <c r="I118" s="2">
        <v>42443</v>
      </c>
      <c r="J118" s="2">
        <v>42443</v>
      </c>
      <c r="K118" s="2">
        <v>42460</v>
      </c>
      <c r="L118" s="91" t="s">
        <v>31</v>
      </c>
      <c r="M118" s="91">
        <v>50</v>
      </c>
      <c r="N118" s="91">
        <v>164047</v>
      </c>
      <c r="P118" s="91">
        <v>0</v>
      </c>
      <c r="Q118" s="91">
        <v>0</v>
      </c>
      <c r="R118" s="3">
        <v>0</v>
      </c>
      <c r="S118" s="91">
        <v>1</v>
      </c>
      <c r="T118" s="3">
        <v>1196</v>
      </c>
      <c r="U118" s="91">
        <v>16</v>
      </c>
      <c r="V118" s="2">
        <v>42471</v>
      </c>
      <c r="W118" s="2">
        <v>42475</v>
      </c>
      <c r="X118" s="91" t="s">
        <v>353</v>
      </c>
      <c r="Y118" s="91" t="s">
        <v>140</v>
      </c>
      <c r="Z118" s="91" t="s">
        <v>34</v>
      </c>
      <c r="AA118" s="91" t="s">
        <v>35</v>
      </c>
      <c r="AD118" s="95" t="s">
        <v>909</v>
      </c>
      <c r="AE118" s="95">
        <f t="shared" si="1"/>
        <v>2</v>
      </c>
    </row>
    <row r="119" spans="1:31" x14ac:dyDescent="0.25">
      <c r="A119" s="91" t="s">
        <v>450</v>
      </c>
      <c r="C119" s="91">
        <v>3</v>
      </c>
      <c r="D119" s="91" t="s">
        <v>451</v>
      </c>
      <c r="E119" s="91" t="s">
        <v>29</v>
      </c>
      <c r="F119" s="91" t="s">
        <v>138</v>
      </c>
      <c r="G119" s="3">
        <v>1196</v>
      </c>
      <c r="H119" s="2">
        <v>42409</v>
      </c>
      <c r="I119" s="2">
        <v>42443</v>
      </c>
      <c r="J119" s="2">
        <v>42443</v>
      </c>
      <c r="K119" s="2">
        <v>42551</v>
      </c>
      <c r="L119" s="91" t="s">
        <v>31</v>
      </c>
      <c r="M119" s="91">
        <v>30</v>
      </c>
      <c r="P119" s="91">
        <v>0</v>
      </c>
      <c r="Q119" s="91">
        <v>0</v>
      </c>
      <c r="R119" s="3">
        <v>0</v>
      </c>
      <c r="S119" s="91">
        <v>0</v>
      </c>
      <c r="T119" s="91">
        <v>0</v>
      </c>
      <c r="U119" s="91">
        <v>0</v>
      </c>
      <c r="X119" s="91" t="s">
        <v>353</v>
      </c>
      <c r="Y119" s="91" t="s">
        <v>140</v>
      </c>
      <c r="Z119" s="91" t="s">
        <v>34</v>
      </c>
      <c r="AA119" s="91" t="s">
        <v>35</v>
      </c>
      <c r="AD119" s="95" t="s">
        <v>909</v>
      </c>
      <c r="AE119" s="95">
        <f t="shared" si="1"/>
        <v>2</v>
      </c>
    </row>
    <row r="120" spans="1:31" x14ac:dyDescent="0.25">
      <c r="A120" s="91" t="s">
        <v>452</v>
      </c>
      <c r="C120" s="91">
        <v>3</v>
      </c>
      <c r="D120" s="91" t="s">
        <v>453</v>
      </c>
      <c r="E120" s="91" t="s">
        <v>29</v>
      </c>
      <c r="F120" s="91" t="s">
        <v>138</v>
      </c>
      <c r="G120" s="3">
        <v>1995</v>
      </c>
      <c r="H120" s="2">
        <v>42409</v>
      </c>
      <c r="J120" s="2">
        <v>42447</v>
      </c>
      <c r="L120" s="91" t="s">
        <v>31</v>
      </c>
      <c r="M120" s="91">
        <v>50</v>
      </c>
      <c r="P120" s="91">
        <v>0</v>
      </c>
      <c r="Q120" s="91">
        <v>32</v>
      </c>
      <c r="R120" s="3">
        <v>1998.8</v>
      </c>
      <c r="S120" s="91">
        <v>0</v>
      </c>
      <c r="T120" s="91">
        <v>0</v>
      </c>
      <c r="U120" s="91">
        <v>0</v>
      </c>
      <c r="X120" s="91" t="s">
        <v>353</v>
      </c>
      <c r="Y120" s="91" t="s">
        <v>140</v>
      </c>
      <c r="Z120" s="91" t="s">
        <v>34</v>
      </c>
      <c r="AA120" s="91" t="s">
        <v>35</v>
      </c>
      <c r="AD120" s="95" t="s">
        <v>909</v>
      </c>
      <c r="AE120" s="95">
        <f t="shared" si="1"/>
        <v>2</v>
      </c>
    </row>
    <row r="121" spans="1:31" x14ac:dyDescent="0.25">
      <c r="A121" s="91" t="s">
        <v>454</v>
      </c>
      <c r="C121" s="91">
        <v>3</v>
      </c>
      <c r="D121" s="91" t="s">
        <v>455</v>
      </c>
      <c r="E121" s="91" t="s">
        <v>29</v>
      </c>
      <c r="F121" s="91" t="s">
        <v>138</v>
      </c>
      <c r="G121" s="3">
        <v>12490</v>
      </c>
      <c r="H121" s="2">
        <v>42409</v>
      </c>
      <c r="I121" s="2">
        <v>42450</v>
      </c>
      <c r="J121" s="2">
        <v>42450</v>
      </c>
      <c r="K121" s="2">
        <v>42551</v>
      </c>
      <c r="L121" s="91" t="s">
        <v>31</v>
      </c>
      <c r="M121" s="91">
        <v>50</v>
      </c>
      <c r="P121" s="91">
        <v>0</v>
      </c>
      <c r="Q121" s="91">
        <v>2</v>
      </c>
      <c r="R121" s="3">
        <v>12485.26</v>
      </c>
      <c r="S121" s="91">
        <v>0</v>
      </c>
      <c r="T121" s="91">
        <v>0</v>
      </c>
      <c r="U121" s="91">
        <v>0</v>
      </c>
      <c r="X121" s="91" t="s">
        <v>353</v>
      </c>
      <c r="Y121" s="91" t="s">
        <v>456</v>
      </c>
      <c r="Z121" s="91" t="s">
        <v>34</v>
      </c>
      <c r="AA121" s="91" t="s">
        <v>35</v>
      </c>
      <c r="AD121" s="95" t="s">
        <v>909</v>
      </c>
      <c r="AE121" s="95">
        <f t="shared" si="1"/>
        <v>2</v>
      </c>
    </row>
    <row r="122" spans="1:31" x14ac:dyDescent="0.25">
      <c r="A122" s="91" t="s">
        <v>457</v>
      </c>
      <c r="B122" s="91">
        <v>164060</v>
      </c>
      <c r="C122" s="91">
        <v>4</v>
      </c>
      <c r="D122" s="91" t="s">
        <v>458</v>
      </c>
      <c r="E122" s="91" t="s">
        <v>29</v>
      </c>
      <c r="F122" s="91" t="s">
        <v>138</v>
      </c>
      <c r="G122" s="3">
        <v>4418</v>
      </c>
      <c r="H122" s="2">
        <v>42409</v>
      </c>
      <c r="I122" s="2">
        <v>42452</v>
      </c>
      <c r="J122" s="2">
        <v>42452</v>
      </c>
      <c r="K122" s="2">
        <v>42490</v>
      </c>
      <c r="L122" s="91" t="s">
        <v>31</v>
      </c>
      <c r="M122" s="91">
        <v>30</v>
      </c>
      <c r="N122" s="91">
        <v>164060</v>
      </c>
      <c r="P122" s="91">
        <v>0</v>
      </c>
      <c r="Q122" s="91">
        <v>0</v>
      </c>
      <c r="R122" s="91">
        <v>0</v>
      </c>
      <c r="S122" s="91">
        <v>1</v>
      </c>
      <c r="T122" s="3">
        <v>4418</v>
      </c>
      <c r="U122" s="91">
        <v>57.5</v>
      </c>
      <c r="V122" s="2">
        <v>42459</v>
      </c>
      <c r="W122" s="2">
        <v>42460</v>
      </c>
      <c r="X122" s="91" t="s">
        <v>353</v>
      </c>
      <c r="Y122" s="91" t="s">
        <v>140</v>
      </c>
      <c r="Z122" s="91" t="s">
        <v>34</v>
      </c>
      <c r="AA122" s="91" t="s">
        <v>35</v>
      </c>
      <c r="AD122" s="95" t="s">
        <v>909</v>
      </c>
      <c r="AE122" s="95">
        <f t="shared" si="1"/>
        <v>2</v>
      </c>
    </row>
    <row r="123" spans="1:31" x14ac:dyDescent="0.25">
      <c r="A123" s="91" t="s">
        <v>459</v>
      </c>
      <c r="C123" s="91">
        <v>3</v>
      </c>
      <c r="D123" s="91" t="s">
        <v>460</v>
      </c>
      <c r="E123" s="91" t="s">
        <v>29</v>
      </c>
      <c r="F123" s="91" t="s">
        <v>138</v>
      </c>
      <c r="G123" s="3">
        <v>14450</v>
      </c>
      <c r="H123" s="2">
        <v>42409</v>
      </c>
      <c r="I123" s="2">
        <v>42458</v>
      </c>
      <c r="J123" s="2">
        <v>42454</v>
      </c>
      <c r="K123" s="2">
        <v>42613</v>
      </c>
      <c r="L123" s="91" t="s">
        <v>31</v>
      </c>
      <c r="M123" s="91">
        <v>50</v>
      </c>
      <c r="P123" s="91">
        <v>0</v>
      </c>
      <c r="Q123" s="91">
        <v>144</v>
      </c>
      <c r="R123" s="3">
        <v>14467.37</v>
      </c>
      <c r="S123" s="91">
        <v>0</v>
      </c>
      <c r="T123" s="91">
        <v>0</v>
      </c>
      <c r="U123" s="91">
        <v>0</v>
      </c>
      <c r="X123" s="91" t="s">
        <v>353</v>
      </c>
      <c r="Y123" s="91" t="s">
        <v>430</v>
      </c>
      <c r="Z123" s="91" t="s">
        <v>34</v>
      </c>
      <c r="AA123" s="91" t="s">
        <v>35</v>
      </c>
      <c r="AD123" s="95" t="s">
        <v>909</v>
      </c>
      <c r="AE123" s="95">
        <f t="shared" si="1"/>
        <v>2</v>
      </c>
    </row>
    <row r="124" spans="1:31" x14ac:dyDescent="0.25">
      <c r="A124" s="91" t="s">
        <v>461</v>
      </c>
      <c r="C124" s="91">
        <v>3</v>
      </c>
      <c r="D124" s="91" t="s">
        <v>462</v>
      </c>
      <c r="E124" s="91" t="s">
        <v>29</v>
      </c>
      <c r="F124" s="91" t="s">
        <v>138</v>
      </c>
      <c r="G124" s="3">
        <v>2995</v>
      </c>
      <c r="H124" s="2">
        <v>42409</v>
      </c>
      <c r="I124" s="2">
        <v>42454</v>
      </c>
      <c r="J124" s="2">
        <v>42454</v>
      </c>
      <c r="K124" s="2">
        <v>42490</v>
      </c>
      <c r="L124" s="91" t="s">
        <v>31</v>
      </c>
      <c r="M124" s="91">
        <v>50</v>
      </c>
      <c r="P124" s="91">
        <v>0</v>
      </c>
      <c r="Q124" s="91">
        <v>32</v>
      </c>
      <c r="R124" s="3">
        <v>2996.44</v>
      </c>
      <c r="S124" s="91">
        <v>0</v>
      </c>
      <c r="T124" s="91">
        <v>0</v>
      </c>
      <c r="U124" s="91">
        <v>0</v>
      </c>
      <c r="X124" s="91" t="s">
        <v>353</v>
      </c>
      <c r="Y124" s="91" t="s">
        <v>140</v>
      </c>
      <c r="Z124" s="91" t="s">
        <v>34</v>
      </c>
      <c r="AA124" s="91" t="s">
        <v>35</v>
      </c>
      <c r="AD124" s="95" t="s">
        <v>909</v>
      </c>
      <c r="AE124" s="95">
        <f t="shared" si="1"/>
        <v>2</v>
      </c>
    </row>
    <row r="125" spans="1:31" x14ac:dyDescent="0.25">
      <c r="A125" s="91" t="s">
        <v>463</v>
      </c>
      <c r="C125" s="91">
        <v>3</v>
      </c>
      <c r="D125" s="91" t="s">
        <v>464</v>
      </c>
      <c r="E125" s="91" t="s">
        <v>29</v>
      </c>
      <c r="F125" s="91" t="s">
        <v>138</v>
      </c>
      <c r="G125" s="3">
        <v>2995</v>
      </c>
      <c r="H125" s="2">
        <v>42409</v>
      </c>
      <c r="I125" s="2">
        <v>42454</v>
      </c>
      <c r="J125" s="2">
        <v>42454</v>
      </c>
      <c r="K125" s="2">
        <v>42490</v>
      </c>
      <c r="L125" s="91" t="s">
        <v>31</v>
      </c>
      <c r="M125" s="91">
        <v>50</v>
      </c>
      <c r="P125" s="91">
        <v>0</v>
      </c>
      <c r="Q125" s="91">
        <v>32</v>
      </c>
      <c r="R125" s="3">
        <v>2996.44</v>
      </c>
      <c r="S125" s="91">
        <v>0</v>
      </c>
      <c r="T125" s="91">
        <v>0</v>
      </c>
      <c r="U125" s="91">
        <v>0</v>
      </c>
      <c r="X125" s="91" t="s">
        <v>353</v>
      </c>
      <c r="Y125" s="91" t="s">
        <v>140</v>
      </c>
      <c r="Z125" s="91" t="s">
        <v>34</v>
      </c>
      <c r="AA125" s="91" t="s">
        <v>35</v>
      </c>
      <c r="AD125" s="95" t="s">
        <v>909</v>
      </c>
      <c r="AE125" s="95">
        <f t="shared" si="1"/>
        <v>2</v>
      </c>
    </row>
    <row r="126" spans="1:31" x14ac:dyDescent="0.25">
      <c r="A126" s="91" t="s">
        <v>465</v>
      </c>
      <c r="C126" s="91">
        <v>2</v>
      </c>
      <c r="D126" s="91" t="s">
        <v>466</v>
      </c>
      <c r="E126" s="91" t="s">
        <v>58</v>
      </c>
      <c r="F126" s="91" t="s">
        <v>87</v>
      </c>
      <c r="G126" s="3">
        <v>0</v>
      </c>
      <c r="H126" s="2">
        <v>42409</v>
      </c>
      <c r="I126" s="2">
        <v>42415</v>
      </c>
      <c r="J126" s="2"/>
      <c r="K126" s="2"/>
      <c r="L126" s="91" t="s">
        <v>31</v>
      </c>
      <c r="M126" s="91">
        <v>0</v>
      </c>
      <c r="P126" s="91">
        <v>0</v>
      </c>
      <c r="Q126" s="91">
        <v>0</v>
      </c>
      <c r="R126" s="3">
        <v>0</v>
      </c>
      <c r="S126" s="91">
        <v>0</v>
      </c>
      <c r="T126" s="91">
        <v>0</v>
      </c>
      <c r="U126" s="91">
        <v>0</v>
      </c>
      <c r="X126" s="91" t="s">
        <v>467</v>
      </c>
      <c r="Y126" s="91" t="s">
        <v>468</v>
      </c>
      <c r="Z126" s="91" t="s">
        <v>224</v>
      </c>
      <c r="AA126" s="91" t="s">
        <v>35</v>
      </c>
      <c r="AD126" s="95" t="s">
        <v>909</v>
      </c>
      <c r="AE126" s="95">
        <f t="shared" si="1"/>
        <v>2</v>
      </c>
    </row>
    <row r="127" spans="1:31" x14ac:dyDescent="0.25">
      <c r="A127" s="91" t="s">
        <v>469</v>
      </c>
      <c r="B127" s="91">
        <v>160610</v>
      </c>
      <c r="C127" s="91">
        <v>4</v>
      </c>
      <c r="D127" s="91" t="s">
        <v>470</v>
      </c>
      <c r="E127" s="91" t="s">
        <v>58</v>
      </c>
      <c r="F127" s="91" t="s">
        <v>30</v>
      </c>
      <c r="G127" s="3">
        <v>13180</v>
      </c>
      <c r="H127" s="2">
        <v>42410</v>
      </c>
      <c r="J127" s="2">
        <v>42409</v>
      </c>
      <c r="K127" s="2">
        <v>42408</v>
      </c>
      <c r="L127" s="91" t="s">
        <v>31</v>
      </c>
      <c r="M127" s="91">
        <v>0</v>
      </c>
      <c r="N127" s="91">
        <v>160610</v>
      </c>
      <c r="P127" s="91">
        <v>0</v>
      </c>
      <c r="Q127" s="91">
        <v>136</v>
      </c>
      <c r="R127" s="3">
        <v>13115.96</v>
      </c>
      <c r="S127" s="91">
        <v>136</v>
      </c>
      <c r="T127" s="3">
        <v>13180</v>
      </c>
      <c r="U127" s="91">
        <v>60.5</v>
      </c>
      <c r="V127" s="2">
        <v>42408</v>
      </c>
      <c r="W127" s="2">
        <v>42416</v>
      </c>
      <c r="X127" s="91" t="s">
        <v>32</v>
      </c>
      <c r="Y127" s="91" t="s">
        <v>471</v>
      </c>
      <c r="Z127" s="91" t="s">
        <v>472</v>
      </c>
      <c r="AA127" s="91" t="s">
        <v>35</v>
      </c>
      <c r="AD127" s="95" t="s">
        <v>909</v>
      </c>
      <c r="AE127" s="95">
        <f t="shared" si="1"/>
        <v>2</v>
      </c>
    </row>
    <row r="128" spans="1:31" x14ac:dyDescent="0.25">
      <c r="A128" s="91" t="s">
        <v>473</v>
      </c>
      <c r="C128" s="91">
        <v>5</v>
      </c>
      <c r="D128" s="91" t="s">
        <v>474</v>
      </c>
      <c r="E128" s="91" t="s">
        <v>58</v>
      </c>
      <c r="F128" s="91" t="s">
        <v>30</v>
      </c>
      <c r="G128" s="3">
        <v>30190</v>
      </c>
      <c r="H128" s="2">
        <v>42410</v>
      </c>
      <c r="I128" s="2">
        <v>42551</v>
      </c>
      <c r="J128" s="2">
        <v>42430</v>
      </c>
      <c r="L128" s="91" t="s">
        <v>31</v>
      </c>
      <c r="M128" s="91">
        <v>0</v>
      </c>
      <c r="P128" s="91">
        <v>0</v>
      </c>
      <c r="Q128" s="91">
        <v>508</v>
      </c>
      <c r="R128" s="3">
        <v>30186.639999999999</v>
      </c>
      <c r="S128" s="91">
        <v>0</v>
      </c>
      <c r="T128" s="3">
        <v>0</v>
      </c>
      <c r="U128" s="91">
        <v>0</v>
      </c>
      <c r="V128" s="2"/>
      <c r="W128" s="2"/>
      <c r="X128" s="91" t="s">
        <v>475</v>
      </c>
      <c r="Y128" s="91" t="s">
        <v>476</v>
      </c>
      <c r="Z128" s="91" t="s">
        <v>62</v>
      </c>
      <c r="AA128" s="91" t="s">
        <v>35</v>
      </c>
      <c r="AD128" s="95" t="s">
        <v>909</v>
      </c>
      <c r="AE128" s="95">
        <f t="shared" si="1"/>
        <v>2</v>
      </c>
    </row>
    <row r="129" spans="1:31" x14ac:dyDescent="0.25">
      <c r="A129" s="91" t="s">
        <v>477</v>
      </c>
      <c r="B129" s="91">
        <v>164220</v>
      </c>
      <c r="C129" s="91">
        <v>4</v>
      </c>
      <c r="D129" s="91" t="s">
        <v>478</v>
      </c>
      <c r="E129" s="91" t="s">
        <v>29</v>
      </c>
      <c r="F129" s="91" t="s">
        <v>38</v>
      </c>
      <c r="G129" s="3">
        <v>1640</v>
      </c>
      <c r="H129" s="2">
        <v>42411</v>
      </c>
      <c r="J129" s="2">
        <v>42410</v>
      </c>
      <c r="L129" s="91" t="s">
        <v>31</v>
      </c>
      <c r="M129" s="91">
        <v>50</v>
      </c>
      <c r="N129" s="91">
        <v>164220</v>
      </c>
      <c r="P129" s="91">
        <v>0</v>
      </c>
      <c r="Q129" s="91">
        <v>32</v>
      </c>
      <c r="R129" s="3">
        <v>1640.43</v>
      </c>
      <c r="S129" s="91">
        <v>32</v>
      </c>
      <c r="T129" s="3">
        <v>1640</v>
      </c>
      <c r="U129" s="91">
        <v>0</v>
      </c>
      <c r="V129" s="2"/>
      <c r="W129" s="2"/>
      <c r="X129" s="91" t="s">
        <v>479</v>
      </c>
      <c r="Y129" s="91" t="s">
        <v>480</v>
      </c>
      <c r="Z129" s="91" t="s">
        <v>34</v>
      </c>
      <c r="AA129" s="91" t="s">
        <v>35</v>
      </c>
      <c r="AD129" s="95" t="s">
        <v>909</v>
      </c>
      <c r="AE129" s="95">
        <f t="shared" si="1"/>
        <v>2</v>
      </c>
    </row>
    <row r="130" spans="1:31" x14ac:dyDescent="0.25">
      <c r="A130" s="91" t="s">
        <v>481</v>
      </c>
      <c r="C130" s="91">
        <v>3</v>
      </c>
      <c r="D130" s="91" t="s">
        <v>482</v>
      </c>
      <c r="E130" s="91" t="s">
        <v>58</v>
      </c>
      <c r="F130" s="91" t="s">
        <v>30</v>
      </c>
      <c r="G130" s="3">
        <v>3250</v>
      </c>
      <c r="H130" s="2">
        <v>42411</v>
      </c>
      <c r="I130" s="2">
        <v>42551</v>
      </c>
      <c r="J130" s="2">
        <v>42461</v>
      </c>
      <c r="L130" s="91" t="s">
        <v>31</v>
      </c>
      <c r="M130" s="91">
        <v>0</v>
      </c>
      <c r="P130" s="91">
        <v>0</v>
      </c>
      <c r="Q130" s="91">
        <v>32</v>
      </c>
      <c r="R130" s="3">
        <v>3246.64</v>
      </c>
      <c r="S130" s="91">
        <v>0</v>
      </c>
      <c r="T130" s="91">
        <v>0</v>
      </c>
      <c r="U130" s="91">
        <v>0</v>
      </c>
      <c r="X130" s="91">
        <v>6000463554</v>
      </c>
      <c r="Y130" s="91" t="s">
        <v>483</v>
      </c>
      <c r="Z130" s="91" t="s">
        <v>202</v>
      </c>
      <c r="AA130" s="91" t="s">
        <v>35</v>
      </c>
      <c r="AD130" s="95" t="s">
        <v>909</v>
      </c>
      <c r="AE130" s="95">
        <f t="shared" si="1"/>
        <v>2</v>
      </c>
    </row>
    <row r="131" spans="1:31" x14ac:dyDescent="0.25">
      <c r="A131" s="91" t="s">
        <v>484</v>
      </c>
      <c r="C131" s="91">
        <v>6</v>
      </c>
      <c r="D131" s="91" t="s">
        <v>485</v>
      </c>
      <c r="E131" s="91" t="s">
        <v>58</v>
      </c>
      <c r="F131" s="91" t="s">
        <v>30</v>
      </c>
      <c r="G131" s="3">
        <v>0</v>
      </c>
      <c r="H131" s="2">
        <v>42411</v>
      </c>
      <c r="I131" s="2">
        <v>42410</v>
      </c>
      <c r="J131" s="2"/>
      <c r="K131" s="2">
        <v>42492</v>
      </c>
      <c r="L131" s="91" t="s">
        <v>31</v>
      </c>
      <c r="M131" s="91">
        <v>0</v>
      </c>
      <c r="P131" s="91">
        <v>0</v>
      </c>
      <c r="Q131" s="91">
        <v>0</v>
      </c>
      <c r="R131" s="3">
        <v>0</v>
      </c>
      <c r="S131" s="91">
        <v>0</v>
      </c>
      <c r="T131" s="3">
        <v>0</v>
      </c>
      <c r="U131" s="91">
        <v>0</v>
      </c>
      <c r="X131" s="91" t="s">
        <v>486</v>
      </c>
      <c r="Y131" s="91" t="s">
        <v>487</v>
      </c>
      <c r="Z131" s="91" t="s">
        <v>488</v>
      </c>
      <c r="AA131" s="91" t="s">
        <v>35</v>
      </c>
      <c r="AD131" s="95" t="s">
        <v>909</v>
      </c>
      <c r="AE131" s="95">
        <f t="shared" ref="AE131:AE194" si="2">MONTH(H131)</f>
        <v>2</v>
      </c>
    </row>
    <row r="132" spans="1:31" x14ac:dyDescent="0.25">
      <c r="A132" s="91" t="s">
        <v>489</v>
      </c>
      <c r="C132" s="91">
        <v>3</v>
      </c>
      <c r="D132" s="91" t="s">
        <v>490</v>
      </c>
      <c r="E132" s="91" t="s">
        <v>65</v>
      </c>
      <c r="F132" s="91" t="s">
        <v>66</v>
      </c>
      <c r="G132" s="3">
        <v>5550</v>
      </c>
      <c r="H132" s="2">
        <v>42411</v>
      </c>
      <c r="I132" s="2">
        <v>42424</v>
      </c>
      <c r="J132" s="2">
        <v>42416</v>
      </c>
      <c r="K132" s="2">
        <v>42454</v>
      </c>
      <c r="L132" s="91" t="s">
        <v>31</v>
      </c>
      <c r="M132" s="91">
        <v>25</v>
      </c>
      <c r="P132" s="91">
        <v>0</v>
      </c>
      <c r="Q132" s="91">
        <v>23</v>
      </c>
      <c r="R132" s="3">
        <v>5543.11</v>
      </c>
      <c r="S132" s="91">
        <v>0</v>
      </c>
      <c r="T132" s="91">
        <v>0</v>
      </c>
      <c r="U132" s="91">
        <v>0</v>
      </c>
      <c r="X132" s="91" t="s">
        <v>491</v>
      </c>
      <c r="Y132" s="91" t="s">
        <v>492</v>
      </c>
      <c r="Z132" s="91" t="s">
        <v>129</v>
      </c>
      <c r="AA132" s="91" t="s">
        <v>35</v>
      </c>
      <c r="AD132" s="95" t="s">
        <v>909</v>
      </c>
      <c r="AE132" s="95">
        <f t="shared" si="2"/>
        <v>2</v>
      </c>
    </row>
    <row r="133" spans="1:31" x14ac:dyDescent="0.25">
      <c r="A133" s="91" t="s">
        <v>493</v>
      </c>
      <c r="C133" s="91">
        <v>3</v>
      </c>
      <c r="D133" s="91" t="s">
        <v>494</v>
      </c>
      <c r="E133" s="91" t="s">
        <v>29</v>
      </c>
      <c r="F133" s="91" t="s">
        <v>38</v>
      </c>
      <c r="G133" s="3">
        <v>2750</v>
      </c>
      <c r="H133" s="2">
        <v>42411</v>
      </c>
      <c r="I133" s="2"/>
      <c r="J133" s="2">
        <v>42411</v>
      </c>
      <c r="K133" s="2"/>
      <c r="L133" s="91" t="s">
        <v>31</v>
      </c>
      <c r="M133" s="91">
        <v>50</v>
      </c>
      <c r="P133" s="91">
        <v>0</v>
      </c>
      <c r="Q133" s="91">
        <v>32</v>
      </c>
      <c r="R133" s="3">
        <v>2751.4</v>
      </c>
      <c r="S133" s="91">
        <v>0</v>
      </c>
      <c r="T133" s="3">
        <v>0</v>
      </c>
      <c r="U133" s="91">
        <v>0</v>
      </c>
      <c r="V133" s="2"/>
      <c r="W133" s="2"/>
      <c r="X133" s="91" t="s">
        <v>495</v>
      </c>
      <c r="Y133" s="91" t="s">
        <v>480</v>
      </c>
      <c r="Z133" s="91" t="s">
        <v>34</v>
      </c>
      <c r="AA133" s="91" t="s">
        <v>35</v>
      </c>
      <c r="AD133" s="95" t="s">
        <v>909</v>
      </c>
      <c r="AE133" s="95">
        <f t="shared" si="2"/>
        <v>2</v>
      </c>
    </row>
    <row r="134" spans="1:31" x14ac:dyDescent="0.25">
      <c r="A134" s="91" t="s">
        <v>496</v>
      </c>
      <c r="C134" s="91">
        <v>1</v>
      </c>
      <c r="D134" s="91" t="s">
        <v>497</v>
      </c>
      <c r="E134" s="91" t="s">
        <v>29</v>
      </c>
      <c r="F134" s="91" t="s">
        <v>364</v>
      </c>
      <c r="G134" s="91">
        <v>0</v>
      </c>
      <c r="H134" s="2">
        <v>42411</v>
      </c>
      <c r="I134" s="2">
        <v>42481</v>
      </c>
      <c r="K134" s="2">
        <v>42644</v>
      </c>
      <c r="L134" s="91" t="s">
        <v>31</v>
      </c>
      <c r="M134" s="91">
        <v>0</v>
      </c>
      <c r="P134" s="91">
        <v>0</v>
      </c>
      <c r="Q134" s="91">
        <v>0</v>
      </c>
      <c r="R134" s="91">
        <v>0</v>
      </c>
      <c r="S134" s="91">
        <v>0</v>
      </c>
      <c r="T134" s="91">
        <v>0</v>
      </c>
      <c r="U134" s="91">
        <v>0</v>
      </c>
      <c r="X134" s="91" t="s">
        <v>498</v>
      </c>
      <c r="Y134" s="91" t="s">
        <v>499</v>
      </c>
      <c r="Z134" s="91" t="s">
        <v>367</v>
      </c>
      <c r="AA134" s="91" t="s">
        <v>35</v>
      </c>
      <c r="AD134" s="95" t="s">
        <v>909</v>
      </c>
      <c r="AE134" s="95">
        <f t="shared" si="2"/>
        <v>2</v>
      </c>
    </row>
    <row r="135" spans="1:31" x14ac:dyDescent="0.25">
      <c r="A135" s="91" t="s">
        <v>500</v>
      </c>
      <c r="C135" s="91">
        <v>3</v>
      </c>
      <c r="D135" s="91" t="s">
        <v>501</v>
      </c>
      <c r="E135" s="91" t="s">
        <v>58</v>
      </c>
      <c r="F135" s="91" t="s">
        <v>30</v>
      </c>
      <c r="G135" s="3">
        <v>5380</v>
      </c>
      <c r="H135" s="2">
        <v>42412</v>
      </c>
      <c r="I135" s="2">
        <v>42551</v>
      </c>
      <c r="J135" s="2">
        <v>42454</v>
      </c>
      <c r="K135" s="2">
        <v>42522</v>
      </c>
      <c r="L135" s="91" t="s">
        <v>31</v>
      </c>
      <c r="M135" s="91">
        <v>30</v>
      </c>
      <c r="P135" s="91">
        <v>0</v>
      </c>
      <c r="Q135" s="91">
        <v>50</v>
      </c>
      <c r="R135" s="3">
        <v>5386.52</v>
      </c>
      <c r="S135" s="91">
        <v>0</v>
      </c>
      <c r="T135" s="91">
        <v>0</v>
      </c>
      <c r="U135" s="91">
        <v>0</v>
      </c>
      <c r="X135" s="91" t="s">
        <v>502</v>
      </c>
      <c r="Y135" s="91" t="s">
        <v>337</v>
      </c>
      <c r="Z135" s="91" t="s">
        <v>202</v>
      </c>
      <c r="AA135" s="91" t="s">
        <v>35</v>
      </c>
      <c r="AD135" s="95" t="s">
        <v>909</v>
      </c>
      <c r="AE135" s="95">
        <f t="shared" si="2"/>
        <v>2</v>
      </c>
    </row>
    <row r="136" spans="1:31" x14ac:dyDescent="0.25">
      <c r="A136" s="91" t="s">
        <v>503</v>
      </c>
      <c r="B136" s="91">
        <v>164023</v>
      </c>
      <c r="C136" s="91">
        <v>4</v>
      </c>
      <c r="D136" s="91" t="s">
        <v>504</v>
      </c>
      <c r="E136" s="91" t="s">
        <v>29</v>
      </c>
      <c r="F136" s="91" t="s">
        <v>138</v>
      </c>
      <c r="G136" s="3">
        <v>2390</v>
      </c>
      <c r="H136" s="2">
        <v>42412</v>
      </c>
      <c r="I136" s="2"/>
      <c r="J136" s="2">
        <v>42411</v>
      </c>
      <c r="K136" s="2"/>
      <c r="L136" s="91" t="s">
        <v>31</v>
      </c>
      <c r="M136" s="91">
        <v>50</v>
      </c>
      <c r="N136" s="91">
        <v>164023</v>
      </c>
      <c r="P136" s="91">
        <v>0</v>
      </c>
      <c r="Q136" s="91">
        <v>1</v>
      </c>
      <c r="R136" s="3">
        <v>2400.3000000000002</v>
      </c>
      <c r="S136" s="91">
        <v>1</v>
      </c>
      <c r="T136" s="3">
        <v>2390</v>
      </c>
      <c r="U136" s="91">
        <v>6.5</v>
      </c>
      <c r="X136" s="91" t="s">
        <v>505</v>
      </c>
      <c r="Y136" s="91" t="s">
        <v>149</v>
      </c>
      <c r="Z136" s="91" t="s">
        <v>34</v>
      </c>
      <c r="AA136" s="91" t="s">
        <v>35</v>
      </c>
      <c r="AD136" s="95" t="s">
        <v>909</v>
      </c>
      <c r="AE136" s="95">
        <f t="shared" si="2"/>
        <v>2</v>
      </c>
    </row>
    <row r="137" spans="1:31" x14ac:dyDescent="0.25">
      <c r="A137" s="91" t="s">
        <v>506</v>
      </c>
      <c r="B137" s="91">
        <v>164222</v>
      </c>
      <c r="C137" s="91">
        <v>4</v>
      </c>
      <c r="D137" s="91" t="s">
        <v>507</v>
      </c>
      <c r="E137" s="91" t="s">
        <v>29</v>
      </c>
      <c r="F137" s="91" t="s">
        <v>38</v>
      </c>
      <c r="G137" s="3">
        <v>1525</v>
      </c>
      <c r="H137" s="2">
        <v>42412</v>
      </c>
      <c r="I137" s="2"/>
      <c r="J137" s="2">
        <v>42411</v>
      </c>
      <c r="K137" s="2"/>
      <c r="L137" s="91" t="s">
        <v>31</v>
      </c>
      <c r="M137" s="91">
        <v>50</v>
      </c>
      <c r="N137" s="91">
        <v>164222</v>
      </c>
      <c r="P137" s="91">
        <v>0</v>
      </c>
      <c r="Q137" s="91">
        <v>32</v>
      </c>
      <c r="R137" s="3">
        <v>1525.99</v>
      </c>
      <c r="S137" s="91">
        <v>32</v>
      </c>
      <c r="T137" s="3">
        <v>1525</v>
      </c>
      <c r="U137" s="91">
        <v>32</v>
      </c>
      <c r="V137" s="2">
        <v>42418</v>
      </c>
      <c r="W137" s="2">
        <v>42423</v>
      </c>
      <c r="X137" s="91" t="s">
        <v>508</v>
      </c>
      <c r="Y137" s="91" t="s">
        <v>48</v>
      </c>
      <c r="Z137" s="91" t="s">
        <v>34</v>
      </c>
      <c r="AA137" s="91" t="s">
        <v>35</v>
      </c>
      <c r="AD137" s="95" t="s">
        <v>909</v>
      </c>
      <c r="AE137" s="95">
        <f t="shared" si="2"/>
        <v>2</v>
      </c>
    </row>
    <row r="138" spans="1:31" x14ac:dyDescent="0.25">
      <c r="A138" s="91" t="s">
        <v>509</v>
      </c>
      <c r="B138" s="91">
        <v>164223</v>
      </c>
      <c r="C138" s="91">
        <v>4</v>
      </c>
      <c r="D138" s="91" t="s">
        <v>510</v>
      </c>
      <c r="E138" s="91" t="s">
        <v>29</v>
      </c>
      <c r="F138" s="91" t="s">
        <v>38</v>
      </c>
      <c r="G138" s="3">
        <v>1900</v>
      </c>
      <c r="H138" s="2">
        <v>42412</v>
      </c>
      <c r="I138" s="2"/>
      <c r="J138" s="2">
        <v>42411</v>
      </c>
      <c r="K138" s="2"/>
      <c r="L138" s="91" t="s">
        <v>31</v>
      </c>
      <c r="M138" s="91">
        <v>50</v>
      </c>
      <c r="N138" s="91">
        <v>164223</v>
      </c>
      <c r="P138" s="91">
        <v>0</v>
      </c>
      <c r="Q138" s="91">
        <v>34</v>
      </c>
      <c r="R138" s="3">
        <v>2100.6999999999998</v>
      </c>
      <c r="S138" s="91">
        <v>34</v>
      </c>
      <c r="T138" s="3">
        <v>1900</v>
      </c>
      <c r="U138" s="91">
        <v>27.5</v>
      </c>
      <c r="V138" s="2">
        <v>42460</v>
      </c>
      <c r="W138" s="2">
        <v>42464</v>
      </c>
      <c r="X138" s="91" t="s">
        <v>511</v>
      </c>
      <c r="Y138" s="91" t="s">
        <v>512</v>
      </c>
      <c r="Z138" s="91" t="s">
        <v>34</v>
      </c>
      <c r="AA138" s="91" t="s">
        <v>35</v>
      </c>
      <c r="AD138" s="95" t="s">
        <v>909</v>
      </c>
      <c r="AE138" s="95">
        <f t="shared" si="2"/>
        <v>2</v>
      </c>
    </row>
    <row r="139" spans="1:31" x14ac:dyDescent="0.25">
      <c r="A139" s="91" t="s">
        <v>513</v>
      </c>
      <c r="C139" s="91">
        <v>2</v>
      </c>
      <c r="D139" s="91" t="s">
        <v>514</v>
      </c>
      <c r="E139" s="91" t="s">
        <v>58</v>
      </c>
      <c r="F139" s="91" t="s">
        <v>87</v>
      </c>
      <c r="G139" s="3">
        <v>0</v>
      </c>
      <c r="H139" s="2">
        <v>42412</v>
      </c>
      <c r="I139" s="2">
        <v>42432</v>
      </c>
      <c r="J139" s="2"/>
      <c r="K139" s="2"/>
      <c r="L139" s="91" t="s">
        <v>31</v>
      </c>
      <c r="M139" s="91">
        <v>0</v>
      </c>
      <c r="P139" s="91">
        <v>0</v>
      </c>
      <c r="Q139" s="91">
        <v>0</v>
      </c>
      <c r="R139" s="3">
        <v>0</v>
      </c>
      <c r="S139" s="91">
        <v>0</v>
      </c>
      <c r="T139" s="91">
        <v>0</v>
      </c>
      <c r="U139" s="91">
        <v>0</v>
      </c>
      <c r="X139" s="91" t="s">
        <v>515</v>
      </c>
      <c r="Y139" s="91" t="s">
        <v>281</v>
      </c>
      <c r="Z139" s="91" t="s">
        <v>207</v>
      </c>
      <c r="AA139" s="91" t="s">
        <v>35</v>
      </c>
      <c r="AD139" s="95" t="s">
        <v>909</v>
      </c>
      <c r="AE139" s="95">
        <f t="shared" si="2"/>
        <v>2</v>
      </c>
    </row>
    <row r="140" spans="1:31" x14ac:dyDescent="0.25">
      <c r="A140" s="91" t="s">
        <v>516</v>
      </c>
      <c r="B140" s="91">
        <v>160016</v>
      </c>
      <c r="C140" s="91">
        <v>4</v>
      </c>
      <c r="D140" s="91" t="s">
        <v>517</v>
      </c>
      <c r="E140" s="91" t="s">
        <v>65</v>
      </c>
      <c r="F140" s="91" t="s">
        <v>80</v>
      </c>
      <c r="G140" s="3">
        <v>21920</v>
      </c>
      <c r="H140" s="2">
        <v>42415</v>
      </c>
      <c r="I140" s="2">
        <v>42440</v>
      </c>
      <c r="J140" s="2">
        <v>42440</v>
      </c>
      <c r="K140" s="2">
        <v>42551</v>
      </c>
      <c r="L140" s="91" t="s">
        <v>31</v>
      </c>
      <c r="M140" s="91">
        <v>0</v>
      </c>
      <c r="N140" s="91">
        <v>160016</v>
      </c>
      <c r="P140" s="91">
        <v>0</v>
      </c>
      <c r="Q140" s="91">
        <v>1</v>
      </c>
      <c r="R140" s="3">
        <v>21940.5</v>
      </c>
      <c r="S140" s="91">
        <v>1</v>
      </c>
      <c r="T140" s="3">
        <v>21920</v>
      </c>
      <c r="U140" s="91">
        <v>0</v>
      </c>
      <c r="X140" s="91" t="s">
        <v>518</v>
      </c>
      <c r="Y140" s="91" t="s">
        <v>519</v>
      </c>
      <c r="Z140" s="91" t="s">
        <v>520</v>
      </c>
      <c r="AA140" s="91" t="s">
        <v>35</v>
      </c>
      <c r="AD140" s="95" t="s">
        <v>909</v>
      </c>
      <c r="AE140" s="95">
        <f t="shared" si="2"/>
        <v>2</v>
      </c>
    </row>
    <row r="141" spans="1:31" x14ac:dyDescent="0.25">
      <c r="A141" s="91" t="s">
        <v>521</v>
      </c>
      <c r="C141" s="91">
        <v>3</v>
      </c>
      <c r="D141" s="91" t="s">
        <v>522</v>
      </c>
      <c r="E141" s="91" t="s">
        <v>188</v>
      </c>
      <c r="F141" s="91" t="s">
        <v>523</v>
      </c>
      <c r="G141" s="91">
        <v>0</v>
      </c>
      <c r="H141" s="2">
        <v>42415</v>
      </c>
      <c r="I141" s="2">
        <v>42433</v>
      </c>
      <c r="J141" s="2">
        <v>42433</v>
      </c>
      <c r="K141" s="2">
        <v>42444</v>
      </c>
      <c r="L141" s="91" t="s">
        <v>907</v>
      </c>
      <c r="M141" s="91">
        <v>45</v>
      </c>
      <c r="P141" s="91">
        <v>0</v>
      </c>
      <c r="Q141" s="91">
        <v>0</v>
      </c>
      <c r="R141" s="91">
        <v>0</v>
      </c>
      <c r="S141" s="91">
        <v>0</v>
      </c>
      <c r="T141" s="91">
        <v>0</v>
      </c>
      <c r="U141" s="91">
        <v>0</v>
      </c>
      <c r="X141" s="91" t="s">
        <v>524</v>
      </c>
      <c r="Y141" s="91" t="s">
        <v>525</v>
      </c>
      <c r="Z141" s="91" t="s">
        <v>526</v>
      </c>
      <c r="AA141" s="91" t="s">
        <v>35</v>
      </c>
      <c r="AD141" s="95" t="s">
        <v>909</v>
      </c>
      <c r="AE141" s="95">
        <f t="shared" si="2"/>
        <v>2</v>
      </c>
    </row>
    <row r="142" spans="1:31" x14ac:dyDescent="0.25">
      <c r="A142" s="91" t="s">
        <v>527</v>
      </c>
      <c r="B142" s="91">
        <v>160105</v>
      </c>
      <c r="C142" s="91">
        <v>4</v>
      </c>
      <c r="D142" s="91" t="s">
        <v>528</v>
      </c>
      <c r="E142" s="91" t="s">
        <v>51</v>
      </c>
      <c r="F142" s="91" t="s">
        <v>52</v>
      </c>
      <c r="G142" s="3">
        <v>9675</v>
      </c>
      <c r="H142" s="2">
        <v>42416</v>
      </c>
      <c r="I142" s="2">
        <v>42416</v>
      </c>
      <c r="J142" s="2">
        <v>42416</v>
      </c>
      <c r="K142" s="2">
        <v>42422</v>
      </c>
      <c r="L142" s="91" t="s">
        <v>907</v>
      </c>
      <c r="M142" s="91">
        <v>50</v>
      </c>
      <c r="N142" s="91">
        <v>160105</v>
      </c>
      <c r="P142" s="91">
        <v>0</v>
      </c>
      <c r="Q142" s="91">
        <v>148</v>
      </c>
      <c r="R142" s="3">
        <v>9676.73</v>
      </c>
      <c r="S142" s="91">
        <v>148</v>
      </c>
      <c r="T142" s="3">
        <v>9675</v>
      </c>
      <c r="U142" s="91">
        <v>125.25</v>
      </c>
      <c r="V142" s="2">
        <v>42429</v>
      </c>
      <c r="W142" s="2">
        <v>42433</v>
      </c>
      <c r="X142" s="91" t="s">
        <v>316</v>
      </c>
      <c r="Y142" s="91" t="s">
        <v>529</v>
      </c>
      <c r="Z142" s="91" t="s">
        <v>55</v>
      </c>
      <c r="AA142" s="91" t="s">
        <v>35</v>
      </c>
      <c r="AD142" s="95" t="s">
        <v>909</v>
      </c>
      <c r="AE142" s="95">
        <f t="shared" si="2"/>
        <v>2</v>
      </c>
    </row>
    <row r="143" spans="1:31" x14ac:dyDescent="0.25">
      <c r="A143" s="91" t="s">
        <v>530</v>
      </c>
      <c r="C143" s="91">
        <v>2</v>
      </c>
      <c r="D143" s="91" t="s">
        <v>531</v>
      </c>
      <c r="E143" s="91" t="s">
        <v>65</v>
      </c>
      <c r="F143" s="91" t="s">
        <v>66</v>
      </c>
      <c r="G143" s="3">
        <v>0</v>
      </c>
      <c r="H143" s="2">
        <v>42416</v>
      </c>
      <c r="I143" s="2">
        <v>42424</v>
      </c>
      <c r="J143" s="2"/>
      <c r="K143" s="2">
        <v>42614</v>
      </c>
      <c r="L143" s="91" t="s">
        <v>31</v>
      </c>
      <c r="M143" s="91">
        <v>20</v>
      </c>
      <c r="P143" s="91">
        <v>0</v>
      </c>
      <c r="Q143" s="91">
        <v>0</v>
      </c>
      <c r="R143" s="3">
        <v>0</v>
      </c>
      <c r="S143" s="91">
        <v>0</v>
      </c>
      <c r="T143" s="3">
        <v>0</v>
      </c>
      <c r="U143" s="91">
        <v>0</v>
      </c>
      <c r="X143" s="91" t="s">
        <v>532</v>
      </c>
      <c r="Y143" s="91" t="s">
        <v>492</v>
      </c>
      <c r="Z143" s="91" t="s">
        <v>129</v>
      </c>
      <c r="AA143" s="91" t="s">
        <v>35</v>
      </c>
      <c r="AD143" s="95" t="s">
        <v>909</v>
      </c>
      <c r="AE143" s="95">
        <f t="shared" si="2"/>
        <v>2</v>
      </c>
    </row>
    <row r="144" spans="1:31" x14ac:dyDescent="0.25">
      <c r="A144" s="91" t="s">
        <v>533</v>
      </c>
      <c r="C144" s="91">
        <v>3</v>
      </c>
      <c r="D144" s="91" t="s">
        <v>534</v>
      </c>
      <c r="E144" s="91" t="s">
        <v>65</v>
      </c>
      <c r="F144" s="91" t="s">
        <v>80</v>
      </c>
      <c r="G144" s="3">
        <v>111160</v>
      </c>
      <c r="H144" s="2">
        <v>42417</v>
      </c>
      <c r="I144" s="2">
        <v>42450</v>
      </c>
      <c r="J144" s="2">
        <v>42450</v>
      </c>
      <c r="K144" s="2">
        <v>42644</v>
      </c>
      <c r="L144" s="91" t="s">
        <v>31</v>
      </c>
      <c r="M144" s="91">
        <v>30</v>
      </c>
      <c r="P144" s="91">
        <v>0</v>
      </c>
      <c r="Q144" s="91">
        <v>835</v>
      </c>
      <c r="R144" s="3">
        <v>111163.68</v>
      </c>
      <c r="S144" s="91">
        <v>0</v>
      </c>
      <c r="T144" s="91">
        <v>0</v>
      </c>
      <c r="U144" s="91">
        <v>0</v>
      </c>
      <c r="X144" s="91" t="s">
        <v>81</v>
      </c>
      <c r="Y144" s="91" t="s">
        <v>535</v>
      </c>
      <c r="Z144" s="91" t="s">
        <v>536</v>
      </c>
      <c r="AA144" s="91" t="s">
        <v>35</v>
      </c>
      <c r="AD144" s="95" t="s">
        <v>909</v>
      </c>
      <c r="AE144" s="95">
        <f t="shared" si="2"/>
        <v>2</v>
      </c>
    </row>
    <row r="145" spans="1:31" x14ac:dyDescent="0.25">
      <c r="A145" s="91" t="s">
        <v>537</v>
      </c>
      <c r="C145" s="91">
        <v>3</v>
      </c>
      <c r="D145" s="91" t="s">
        <v>538</v>
      </c>
      <c r="E145" s="91" t="s">
        <v>58</v>
      </c>
      <c r="F145" s="91" t="s">
        <v>30</v>
      </c>
      <c r="G145" s="3">
        <v>8680</v>
      </c>
      <c r="H145" s="2">
        <v>42417</v>
      </c>
      <c r="I145" s="2">
        <v>42424</v>
      </c>
      <c r="J145" s="2">
        <v>42419</v>
      </c>
      <c r="K145" s="2">
        <v>42461</v>
      </c>
      <c r="L145" s="91" t="s">
        <v>31</v>
      </c>
      <c r="M145" s="91">
        <v>30</v>
      </c>
      <c r="P145" s="91">
        <v>0</v>
      </c>
      <c r="Q145" s="91">
        <v>136</v>
      </c>
      <c r="R145" s="3">
        <v>8678.2800000000007</v>
      </c>
      <c r="S145" s="91">
        <v>0</v>
      </c>
      <c r="T145" s="3">
        <v>0</v>
      </c>
      <c r="U145" s="91">
        <v>0</v>
      </c>
      <c r="V145" s="2"/>
      <c r="W145" s="2"/>
      <c r="X145" s="91" t="s">
        <v>539</v>
      </c>
      <c r="Y145" s="91" t="s">
        <v>476</v>
      </c>
      <c r="Z145" s="91" t="s">
        <v>62</v>
      </c>
      <c r="AA145" s="91" t="s">
        <v>35</v>
      </c>
      <c r="AD145" s="95" t="s">
        <v>909</v>
      </c>
      <c r="AE145" s="95">
        <f t="shared" si="2"/>
        <v>2</v>
      </c>
    </row>
    <row r="146" spans="1:31" x14ac:dyDescent="0.25">
      <c r="A146" s="91" t="s">
        <v>540</v>
      </c>
      <c r="B146" s="91">
        <v>160260</v>
      </c>
      <c r="C146" s="91">
        <v>4</v>
      </c>
      <c r="D146" s="91" t="s">
        <v>541</v>
      </c>
      <c r="E146" s="91" t="s">
        <v>29</v>
      </c>
      <c r="F146" s="91" t="s">
        <v>30</v>
      </c>
      <c r="G146" s="3">
        <v>785</v>
      </c>
      <c r="H146" s="2">
        <v>42417</v>
      </c>
      <c r="I146" s="2">
        <v>42418</v>
      </c>
      <c r="J146" s="2">
        <v>42418</v>
      </c>
      <c r="K146" s="2">
        <v>42424</v>
      </c>
      <c r="L146" s="91" t="s">
        <v>31</v>
      </c>
      <c r="M146" s="91">
        <v>30</v>
      </c>
      <c r="N146" s="91">
        <v>160260</v>
      </c>
      <c r="P146" s="91">
        <v>0</v>
      </c>
      <c r="Q146" s="91">
        <v>12</v>
      </c>
      <c r="R146" s="3">
        <v>784.08</v>
      </c>
      <c r="S146" s="91">
        <v>12</v>
      </c>
      <c r="T146" s="3">
        <v>785</v>
      </c>
      <c r="U146" s="91">
        <v>10.5</v>
      </c>
      <c r="V146" s="2">
        <v>42429</v>
      </c>
      <c r="W146" s="2">
        <v>42429</v>
      </c>
      <c r="X146" s="91" t="s">
        <v>32</v>
      </c>
      <c r="Y146" s="91" t="s">
        <v>140</v>
      </c>
      <c r="Z146" s="91" t="s">
        <v>34</v>
      </c>
      <c r="AA146" s="91" t="s">
        <v>35</v>
      </c>
      <c r="AD146" s="95" t="s">
        <v>909</v>
      </c>
      <c r="AE146" s="95">
        <f t="shared" si="2"/>
        <v>2</v>
      </c>
    </row>
    <row r="147" spans="1:31" x14ac:dyDescent="0.25">
      <c r="A147" s="91" t="s">
        <v>542</v>
      </c>
      <c r="C147" s="91">
        <v>3</v>
      </c>
      <c r="D147" s="91" t="s">
        <v>543</v>
      </c>
      <c r="E147" s="91" t="s">
        <v>29</v>
      </c>
      <c r="F147" s="91" t="s">
        <v>30</v>
      </c>
      <c r="G147" s="3">
        <v>940</v>
      </c>
      <c r="H147" s="2">
        <v>42417</v>
      </c>
      <c r="I147" s="2">
        <v>42418</v>
      </c>
      <c r="J147" s="2">
        <v>42418</v>
      </c>
      <c r="K147" s="2">
        <v>42424</v>
      </c>
      <c r="L147" s="91" t="s">
        <v>31</v>
      </c>
      <c r="M147" s="91">
        <v>30</v>
      </c>
      <c r="P147" s="91">
        <v>0</v>
      </c>
      <c r="Q147" s="91">
        <v>12</v>
      </c>
      <c r="R147" s="3">
        <v>936.4</v>
      </c>
      <c r="S147" s="91">
        <v>0</v>
      </c>
      <c r="T147" s="91">
        <v>0</v>
      </c>
      <c r="U147" s="91">
        <v>0</v>
      </c>
      <c r="X147" s="91" t="s">
        <v>32</v>
      </c>
      <c r="Y147" s="91" t="s">
        <v>140</v>
      </c>
      <c r="Z147" s="91" t="s">
        <v>34</v>
      </c>
      <c r="AA147" s="91" t="s">
        <v>35</v>
      </c>
      <c r="AD147" s="95" t="s">
        <v>909</v>
      </c>
      <c r="AE147" s="95">
        <f t="shared" si="2"/>
        <v>2</v>
      </c>
    </row>
    <row r="148" spans="1:31" x14ac:dyDescent="0.25">
      <c r="A148" s="91" t="s">
        <v>544</v>
      </c>
      <c r="C148" s="91">
        <v>3</v>
      </c>
      <c r="D148" s="91" t="s">
        <v>545</v>
      </c>
      <c r="E148" s="91" t="s">
        <v>29</v>
      </c>
      <c r="F148" s="91" t="s">
        <v>30</v>
      </c>
      <c r="G148" s="3">
        <v>6485</v>
      </c>
      <c r="H148" s="2">
        <v>42417</v>
      </c>
      <c r="I148" s="2">
        <v>42418</v>
      </c>
      <c r="J148" s="2">
        <v>42418</v>
      </c>
      <c r="K148" s="2">
        <v>42424</v>
      </c>
      <c r="L148" s="91" t="s">
        <v>31</v>
      </c>
      <c r="M148" s="91">
        <v>30</v>
      </c>
      <c r="P148" s="91">
        <v>0</v>
      </c>
      <c r="Q148" s="91">
        <v>96</v>
      </c>
      <c r="R148" s="3">
        <v>6485.68</v>
      </c>
      <c r="S148" s="91">
        <v>0</v>
      </c>
      <c r="T148" s="3">
        <v>0</v>
      </c>
      <c r="U148" s="91">
        <v>0</v>
      </c>
      <c r="V148" s="2"/>
      <c r="W148" s="2"/>
      <c r="X148" s="91" t="s">
        <v>32</v>
      </c>
      <c r="Y148" s="91" t="s">
        <v>140</v>
      </c>
      <c r="Z148" s="91" t="s">
        <v>34</v>
      </c>
      <c r="AA148" s="91" t="s">
        <v>35</v>
      </c>
      <c r="AD148" s="95" t="s">
        <v>909</v>
      </c>
      <c r="AE148" s="95">
        <f t="shared" si="2"/>
        <v>2</v>
      </c>
    </row>
    <row r="149" spans="1:31" x14ac:dyDescent="0.25">
      <c r="A149" s="91" t="s">
        <v>546</v>
      </c>
      <c r="C149" s="91">
        <v>6</v>
      </c>
      <c r="D149" s="91" t="s">
        <v>547</v>
      </c>
      <c r="E149" s="91" t="s">
        <v>58</v>
      </c>
      <c r="F149" s="91" t="s">
        <v>30</v>
      </c>
      <c r="G149" s="3">
        <v>2500</v>
      </c>
      <c r="H149" s="2">
        <v>42417</v>
      </c>
      <c r="I149" s="2">
        <v>42454</v>
      </c>
      <c r="J149" s="2"/>
      <c r="K149" s="2">
        <v>42460</v>
      </c>
      <c r="L149" s="91" t="s">
        <v>31</v>
      </c>
      <c r="M149" s="91">
        <v>30</v>
      </c>
      <c r="P149" s="91">
        <v>0</v>
      </c>
      <c r="Q149" s="91">
        <v>0</v>
      </c>
      <c r="R149" s="3">
        <v>0</v>
      </c>
      <c r="S149" s="91">
        <v>0</v>
      </c>
      <c r="T149" s="91">
        <v>0</v>
      </c>
      <c r="U149" s="91">
        <v>0</v>
      </c>
      <c r="X149" s="91" t="s">
        <v>548</v>
      </c>
      <c r="Y149" s="91" t="s">
        <v>549</v>
      </c>
      <c r="Z149" s="91" t="s">
        <v>488</v>
      </c>
      <c r="AA149" s="91" t="s">
        <v>35</v>
      </c>
      <c r="AD149" s="95" t="s">
        <v>909</v>
      </c>
      <c r="AE149" s="95">
        <f t="shared" si="2"/>
        <v>2</v>
      </c>
    </row>
    <row r="150" spans="1:31" x14ac:dyDescent="0.25">
      <c r="A150" s="91" t="s">
        <v>550</v>
      </c>
      <c r="C150" s="91">
        <v>1</v>
      </c>
      <c r="D150" s="91" t="s">
        <v>551</v>
      </c>
      <c r="E150" s="91" t="s">
        <v>58</v>
      </c>
      <c r="F150" s="91" t="s">
        <v>87</v>
      </c>
      <c r="G150" s="3">
        <v>0</v>
      </c>
      <c r="H150" s="2">
        <v>42418</v>
      </c>
      <c r="I150" s="2">
        <v>42522</v>
      </c>
      <c r="J150" s="2"/>
      <c r="L150" s="91" t="s">
        <v>31</v>
      </c>
      <c r="M150" s="91">
        <v>0</v>
      </c>
      <c r="P150" s="91">
        <v>0</v>
      </c>
      <c r="Q150" s="91">
        <v>0</v>
      </c>
      <c r="R150" s="3">
        <v>0</v>
      </c>
      <c r="S150" s="91">
        <v>0</v>
      </c>
      <c r="T150" s="3">
        <v>0</v>
      </c>
      <c r="U150" s="91">
        <v>0</v>
      </c>
      <c r="V150" s="2"/>
      <c r="W150" s="2"/>
      <c r="Y150" s="91" t="s">
        <v>552</v>
      </c>
      <c r="Z150" s="91" t="s">
        <v>553</v>
      </c>
      <c r="AA150" s="91" t="s">
        <v>35</v>
      </c>
      <c r="AD150" s="95" t="s">
        <v>909</v>
      </c>
      <c r="AE150" s="95">
        <f t="shared" si="2"/>
        <v>2</v>
      </c>
    </row>
    <row r="151" spans="1:31" x14ac:dyDescent="0.25">
      <c r="A151" s="91" t="s">
        <v>554</v>
      </c>
      <c r="C151" s="91">
        <v>3</v>
      </c>
      <c r="D151" s="91" t="s">
        <v>555</v>
      </c>
      <c r="E151" s="91" t="s">
        <v>29</v>
      </c>
      <c r="F151" s="91" t="s">
        <v>38</v>
      </c>
      <c r="G151" s="3">
        <v>2175</v>
      </c>
      <c r="H151" s="2">
        <v>42418</v>
      </c>
      <c r="J151" s="2">
        <v>42416</v>
      </c>
      <c r="L151" s="91" t="s">
        <v>31</v>
      </c>
      <c r="M151" s="91">
        <v>50</v>
      </c>
      <c r="P151" s="91">
        <v>0</v>
      </c>
      <c r="Q151" s="91">
        <v>46</v>
      </c>
      <c r="R151" s="3">
        <v>2174.87</v>
      </c>
      <c r="S151" s="91">
        <v>0</v>
      </c>
      <c r="T151" s="91">
        <v>0</v>
      </c>
      <c r="U151" s="91">
        <v>0</v>
      </c>
      <c r="X151" s="91" t="s">
        <v>556</v>
      </c>
      <c r="Y151" s="91" t="s">
        <v>48</v>
      </c>
      <c r="Z151" s="91" t="s">
        <v>34</v>
      </c>
      <c r="AA151" s="91" t="s">
        <v>35</v>
      </c>
      <c r="AD151" s="95" t="s">
        <v>909</v>
      </c>
      <c r="AE151" s="95">
        <f t="shared" si="2"/>
        <v>2</v>
      </c>
    </row>
    <row r="152" spans="1:31" x14ac:dyDescent="0.25">
      <c r="A152" s="91" t="s">
        <v>557</v>
      </c>
      <c r="B152" s="91">
        <v>164225</v>
      </c>
      <c r="C152" s="91">
        <v>4</v>
      </c>
      <c r="D152" s="91" t="s">
        <v>558</v>
      </c>
      <c r="E152" s="91" t="s">
        <v>29</v>
      </c>
      <c r="F152" s="91" t="s">
        <v>38</v>
      </c>
      <c r="G152" s="3">
        <v>1950</v>
      </c>
      <c r="H152" s="2">
        <v>42418</v>
      </c>
      <c r="J152" s="2">
        <v>42416</v>
      </c>
      <c r="L152" s="91" t="s">
        <v>31</v>
      </c>
      <c r="M152" s="91">
        <v>50</v>
      </c>
      <c r="N152" s="91">
        <v>164225</v>
      </c>
      <c r="P152" s="91">
        <v>0</v>
      </c>
      <c r="Q152" s="91">
        <v>26</v>
      </c>
      <c r="R152" s="3">
        <v>1950.22</v>
      </c>
      <c r="S152" s="91">
        <v>26</v>
      </c>
      <c r="T152" s="3">
        <v>1950</v>
      </c>
      <c r="U152" s="91">
        <v>24.5</v>
      </c>
      <c r="V152" s="2">
        <v>42466</v>
      </c>
      <c r="W152" s="2">
        <v>42468</v>
      </c>
      <c r="X152" s="91" t="s">
        <v>559</v>
      </c>
      <c r="Y152" s="91" t="s">
        <v>48</v>
      </c>
      <c r="Z152" s="91" t="s">
        <v>34</v>
      </c>
      <c r="AA152" s="91" t="s">
        <v>35</v>
      </c>
      <c r="AD152" s="95" t="s">
        <v>909</v>
      </c>
      <c r="AE152" s="95">
        <f t="shared" si="2"/>
        <v>2</v>
      </c>
    </row>
    <row r="153" spans="1:31" x14ac:dyDescent="0.25">
      <c r="A153" s="91" t="s">
        <v>560</v>
      </c>
      <c r="C153" s="91">
        <v>3</v>
      </c>
      <c r="D153" s="91" t="s">
        <v>561</v>
      </c>
      <c r="E153" s="91" t="s">
        <v>58</v>
      </c>
      <c r="F153" s="91" t="s">
        <v>59</v>
      </c>
      <c r="G153" s="3">
        <v>15689</v>
      </c>
      <c r="H153" s="2">
        <v>42418</v>
      </c>
      <c r="I153" s="2">
        <v>42440</v>
      </c>
      <c r="J153" s="2">
        <v>42440</v>
      </c>
      <c r="L153" s="91" t="s">
        <v>31</v>
      </c>
      <c r="M153" s="91">
        <v>0</v>
      </c>
      <c r="P153" s="91">
        <v>0</v>
      </c>
      <c r="Q153" s="91">
        <v>120</v>
      </c>
      <c r="R153" s="3">
        <v>15689.05</v>
      </c>
      <c r="S153" s="91">
        <v>0</v>
      </c>
      <c r="T153" s="91">
        <v>0</v>
      </c>
      <c r="U153" s="91">
        <v>0</v>
      </c>
      <c r="X153" s="91" t="s">
        <v>562</v>
      </c>
      <c r="Y153" s="91" t="s">
        <v>563</v>
      </c>
      <c r="Z153" s="91" t="s">
        <v>564</v>
      </c>
      <c r="AA153" s="91" t="s">
        <v>35</v>
      </c>
      <c r="AD153" s="95" t="s">
        <v>909</v>
      </c>
      <c r="AE153" s="95">
        <f t="shared" si="2"/>
        <v>2</v>
      </c>
    </row>
    <row r="154" spans="1:31" x14ac:dyDescent="0.25">
      <c r="A154" s="91" t="s">
        <v>565</v>
      </c>
      <c r="B154" s="91">
        <v>160252</v>
      </c>
      <c r="C154" s="91">
        <v>4</v>
      </c>
      <c r="D154" s="91" t="s">
        <v>566</v>
      </c>
      <c r="E154" s="91" t="s">
        <v>29</v>
      </c>
      <c r="F154" s="91" t="s">
        <v>30</v>
      </c>
      <c r="G154" s="3">
        <v>14200</v>
      </c>
      <c r="H154" s="2">
        <v>42419</v>
      </c>
      <c r="I154" s="2">
        <v>42426</v>
      </c>
      <c r="J154" s="2">
        <v>42420</v>
      </c>
      <c r="K154" s="2">
        <v>42409</v>
      </c>
      <c r="L154" s="91" t="s">
        <v>31</v>
      </c>
      <c r="M154" s="91">
        <v>50</v>
      </c>
      <c r="N154" s="91">
        <v>160252</v>
      </c>
      <c r="P154" s="91">
        <v>0</v>
      </c>
      <c r="Q154" s="91">
        <v>182</v>
      </c>
      <c r="R154" s="3">
        <v>14178.5</v>
      </c>
      <c r="S154" s="91">
        <v>183</v>
      </c>
      <c r="T154" s="3">
        <v>14853.96</v>
      </c>
      <c r="U154" s="91">
        <v>212</v>
      </c>
      <c r="V154" s="2">
        <v>42429</v>
      </c>
      <c r="W154" s="2">
        <v>42437</v>
      </c>
      <c r="X154" s="91" t="s">
        <v>32</v>
      </c>
      <c r="Y154" s="91" t="s">
        <v>163</v>
      </c>
      <c r="Z154" s="91" t="s">
        <v>34</v>
      </c>
      <c r="AA154" s="91" t="s">
        <v>35</v>
      </c>
      <c r="AD154" s="95" t="s">
        <v>909</v>
      </c>
      <c r="AE154" s="95">
        <f t="shared" si="2"/>
        <v>2</v>
      </c>
    </row>
    <row r="155" spans="1:31" x14ac:dyDescent="0.25">
      <c r="A155" s="91" t="s">
        <v>567</v>
      </c>
      <c r="B155" s="91">
        <v>160266</v>
      </c>
      <c r="C155" s="91">
        <v>4</v>
      </c>
      <c r="D155" s="91" t="s">
        <v>568</v>
      </c>
      <c r="E155" s="91" t="s">
        <v>29</v>
      </c>
      <c r="F155" s="91" t="s">
        <v>30</v>
      </c>
      <c r="G155" s="3">
        <v>13965</v>
      </c>
      <c r="H155" s="2">
        <v>42422</v>
      </c>
      <c r="I155" s="2">
        <v>42423</v>
      </c>
      <c r="J155" s="2">
        <v>42423</v>
      </c>
      <c r="K155" s="2">
        <v>42433</v>
      </c>
      <c r="L155" s="91" t="s">
        <v>31</v>
      </c>
      <c r="M155" s="91">
        <v>90</v>
      </c>
      <c r="N155" s="91">
        <v>160266</v>
      </c>
      <c r="P155" s="91">
        <v>0</v>
      </c>
      <c r="Q155" s="91">
        <v>193</v>
      </c>
      <c r="R155" s="3">
        <v>16197.98</v>
      </c>
      <c r="S155" s="91">
        <v>178</v>
      </c>
      <c r="T155" s="3">
        <v>13965</v>
      </c>
      <c r="U155" s="91">
        <v>104</v>
      </c>
      <c r="V155" s="2">
        <v>42458</v>
      </c>
      <c r="W155" s="2">
        <v>42474</v>
      </c>
      <c r="X155" s="91" t="s">
        <v>32</v>
      </c>
      <c r="Y155" s="91" t="s">
        <v>33</v>
      </c>
      <c r="Z155" s="91" t="s">
        <v>34</v>
      </c>
      <c r="AA155" s="91" t="s">
        <v>35</v>
      </c>
      <c r="AD155" s="95" t="s">
        <v>909</v>
      </c>
      <c r="AE155" s="95">
        <f t="shared" si="2"/>
        <v>2</v>
      </c>
    </row>
    <row r="156" spans="1:31" x14ac:dyDescent="0.25">
      <c r="A156" s="91" t="s">
        <v>569</v>
      </c>
      <c r="C156" s="91">
        <v>3</v>
      </c>
      <c r="D156" s="91" t="s">
        <v>570</v>
      </c>
      <c r="E156" s="91" t="s">
        <v>29</v>
      </c>
      <c r="F156" s="91" t="s">
        <v>30</v>
      </c>
      <c r="G156" s="3">
        <v>22500</v>
      </c>
      <c r="H156" s="2">
        <v>42422</v>
      </c>
      <c r="I156" s="2">
        <v>42440</v>
      </c>
      <c r="J156" s="2">
        <v>42438</v>
      </c>
      <c r="K156" s="2">
        <v>42460</v>
      </c>
      <c r="L156" s="91" t="s">
        <v>31</v>
      </c>
      <c r="M156" s="91">
        <v>50</v>
      </c>
      <c r="P156" s="91">
        <v>0</v>
      </c>
      <c r="Q156" s="91">
        <v>307</v>
      </c>
      <c r="R156" s="3">
        <v>22516.560000000001</v>
      </c>
      <c r="S156" s="91">
        <v>0</v>
      </c>
      <c r="T156" s="3">
        <v>0</v>
      </c>
      <c r="U156" s="91">
        <v>0</v>
      </c>
      <c r="V156" s="2"/>
      <c r="W156" s="2"/>
      <c r="X156" s="91" t="s">
        <v>32</v>
      </c>
      <c r="Y156" s="91" t="s">
        <v>33</v>
      </c>
      <c r="Z156" s="91" t="s">
        <v>34</v>
      </c>
      <c r="AA156" s="91" t="s">
        <v>35</v>
      </c>
      <c r="AD156" s="95" t="s">
        <v>909</v>
      </c>
      <c r="AE156" s="95">
        <f t="shared" si="2"/>
        <v>2</v>
      </c>
    </row>
    <row r="157" spans="1:31" x14ac:dyDescent="0.25">
      <c r="A157" s="91" t="s">
        <v>571</v>
      </c>
      <c r="B157" s="91">
        <v>160618</v>
      </c>
      <c r="C157" s="91">
        <v>4</v>
      </c>
      <c r="D157" s="91" t="s">
        <v>572</v>
      </c>
      <c r="E157" s="91" t="s">
        <v>58</v>
      </c>
      <c r="F157" s="91" t="s">
        <v>59</v>
      </c>
      <c r="G157" s="3">
        <v>6575</v>
      </c>
      <c r="H157" s="2">
        <v>42423</v>
      </c>
      <c r="I157" s="2">
        <v>42433</v>
      </c>
      <c r="J157" s="2">
        <v>42423</v>
      </c>
      <c r="K157" s="2">
        <v>42436</v>
      </c>
      <c r="L157" s="91" t="s">
        <v>31</v>
      </c>
      <c r="M157" s="91">
        <v>65</v>
      </c>
      <c r="N157" s="91">
        <v>160618</v>
      </c>
      <c r="P157" s="91">
        <v>0</v>
      </c>
      <c r="Q157" s="91">
        <v>48</v>
      </c>
      <c r="R157" s="3">
        <v>5591.01</v>
      </c>
      <c r="S157" s="91">
        <v>48</v>
      </c>
      <c r="T157" s="3">
        <v>6575</v>
      </c>
      <c r="U157" s="91">
        <v>71</v>
      </c>
      <c r="V157" s="2">
        <v>42461</v>
      </c>
      <c r="W157" s="2">
        <v>42465</v>
      </c>
      <c r="X157" s="91" t="s">
        <v>100</v>
      </c>
      <c r="Y157" s="91" t="s">
        <v>337</v>
      </c>
      <c r="Z157" s="91" t="s">
        <v>202</v>
      </c>
      <c r="AA157" s="91" t="s">
        <v>35</v>
      </c>
      <c r="AD157" s="95" t="s">
        <v>909</v>
      </c>
      <c r="AE157" s="95">
        <f t="shared" si="2"/>
        <v>2</v>
      </c>
    </row>
    <row r="158" spans="1:31" x14ac:dyDescent="0.25">
      <c r="A158" s="91" t="s">
        <v>573</v>
      </c>
      <c r="C158" s="91">
        <v>4</v>
      </c>
      <c r="D158" s="91" t="s">
        <v>574</v>
      </c>
      <c r="E158" s="91" t="s">
        <v>58</v>
      </c>
      <c r="F158" s="91" t="s">
        <v>59</v>
      </c>
      <c r="G158" s="3">
        <v>9420</v>
      </c>
      <c r="H158" s="2">
        <v>42423</v>
      </c>
      <c r="I158" s="2">
        <v>42527</v>
      </c>
      <c r="J158" s="2">
        <v>42423</v>
      </c>
      <c r="K158" s="2">
        <v>42529</v>
      </c>
      <c r="L158" s="91" t="s">
        <v>31</v>
      </c>
      <c r="M158" s="91">
        <v>60</v>
      </c>
      <c r="P158" s="91">
        <v>0</v>
      </c>
      <c r="Q158" s="91">
        <v>160</v>
      </c>
      <c r="R158" s="3">
        <v>9419.2099999999991</v>
      </c>
      <c r="S158" s="91">
        <v>0</v>
      </c>
      <c r="T158" s="91">
        <v>0</v>
      </c>
      <c r="U158" s="91">
        <v>0</v>
      </c>
      <c r="X158" s="91" t="s">
        <v>100</v>
      </c>
      <c r="Y158" s="91" t="s">
        <v>337</v>
      </c>
      <c r="Z158" s="91" t="s">
        <v>202</v>
      </c>
      <c r="AA158" s="91" t="s">
        <v>35</v>
      </c>
      <c r="AD158" s="95" t="s">
        <v>909</v>
      </c>
      <c r="AE158" s="95">
        <f t="shared" si="2"/>
        <v>2</v>
      </c>
    </row>
    <row r="159" spans="1:31" x14ac:dyDescent="0.25">
      <c r="A159" s="91" t="s">
        <v>575</v>
      </c>
      <c r="B159" s="91">
        <v>164226</v>
      </c>
      <c r="C159" s="91">
        <v>4</v>
      </c>
      <c r="D159" s="91" t="s">
        <v>576</v>
      </c>
      <c r="E159" s="91" t="s">
        <v>29</v>
      </c>
      <c r="F159" s="91" t="s">
        <v>38</v>
      </c>
      <c r="G159" s="3">
        <v>1850</v>
      </c>
      <c r="H159" s="2">
        <v>42423</v>
      </c>
      <c r="J159" s="2">
        <v>42423</v>
      </c>
      <c r="K159" s="2"/>
      <c r="L159" s="2" t="s">
        <v>31</v>
      </c>
      <c r="M159" s="2">
        <v>50</v>
      </c>
      <c r="N159" s="2">
        <v>164226</v>
      </c>
      <c r="P159" s="91">
        <v>0</v>
      </c>
      <c r="Q159" s="91">
        <v>5</v>
      </c>
      <c r="R159" s="3">
        <v>1951.4</v>
      </c>
      <c r="S159" s="91">
        <v>5</v>
      </c>
      <c r="T159" s="3">
        <v>1850</v>
      </c>
      <c r="U159" s="3">
        <v>4.5</v>
      </c>
      <c r="V159" s="2">
        <v>42440</v>
      </c>
      <c r="W159" s="2">
        <v>42440</v>
      </c>
      <c r="X159" s="91" t="s">
        <v>577</v>
      </c>
      <c r="Y159" s="91" t="s">
        <v>93</v>
      </c>
      <c r="Z159" s="91" t="s">
        <v>34</v>
      </c>
      <c r="AA159" s="91" t="s">
        <v>35</v>
      </c>
      <c r="AD159" s="95" t="s">
        <v>909</v>
      </c>
      <c r="AE159" s="95">
        <f t="shared" si="2"/>
        <v>2</v>
      </c>
    </row>
    <row r="160" spans="1:31" x14ac:dyDescent="0.25">
      <c r="A160" s="91" t="s">
        <v>578</v>
      </c>
      <c r="C160" s="91">
        <v>3</v>
      </c>
      <c r="D160" s="91" t="s">
        <v>579</v>
      </c>
      <c r="E160" s="91" t="s">
        <v>29</v>
      </c>
      <c r="F160" s="91" t="s">
        <v>308</v>
      </c>
      <c r="G160" s="3">
        <v>27520</v>
      </c>
      <c r="H160" s="2">
        <v>42423</v>
      </c>
      <c r="I160" s="2"/>
      <c r="J160" s="2">
        <v>42423</v>
      </c>
      <c r="K160" s="2"/>
      <c r="L160" s="91" t="s">
        <v>31</v>
      </c>
      <c r="M160" s="91">
        <v>50</v>
      </c>
      <c r="P160" s="91">
        <v>0</v>
      </c>
      <c r="Q160" s="91">
        <v>0</v>
      </c>
      <c r="R160" s="3">
        <v>0</v>
      </c>
      <c r="S160" s="91">
        <v>0</v>
      </c>
      <c r="T160" s="3">
        <v>0</v>
      </c>
      <c r="U160" s="91">
        <v>0</v>
      </c>
      <c r="X160" s="91" t="s">
        <v>580</v>
      </c>
      <c r="Y160" s="91" t="s">
        <v>33</v>
      </c>
      <c r="Z160" s="91" t="s">
        <v>34</v>
      </c>
      <c r="AA160" s="91" t="s">
        <v>35</v>
      </c>
      <c r="AD160" s="95" t="s">
        <v>909</v>
      </c>
      <c r="AE160" s="95">
        <f t="shared" si="2"/>
        <v>2</v>
      </c>
    </row>
    <row r="161" spans="1:31" x14ac:dyDescent="0.25">
      <c r="A161" s="91" t="s">
        <v>581</v>
      </c>
      <c r="C161" s="91">
        <v>2</v>
      </c>
      <c r="D161" s="91" t="s">
        <v>582</v>
      </c>
      <c r="E161" s="91" t="s">
        <v>58</v>
      </c>
      <c r="F161" s="91" t="s">
        <v>87</v>
      </c>
      <c r="G161" s="3">
        <v>0</v>
      </c>
      <c r="H161" s="2">
        <v>42423</v>
      </c>
      <c r="I161" s="2"/>
      <c r="K161" s="2"/>
      <c r="L161" s="91" t="s">
        <v>31</v>
      </c>
      <c r="M161" s="91">
        <v>0</v>
      </c>
      <c r="P161" s="91">
        <v>0</v>
      </c>
      <c r="Q161" s="91">
        <v>0</v>
      </c>
      <c r="R161" s="91">
        <v>0</v>
      </c>
      <c r="S161" s="91">
        <v>0</v>
      </c>
      <c r="T161" s="91">
        <v>0</v>
      </c>
      <c r="U161" s="91">
        <v>0</v>
      </c>
      <c r="X161" s="91" t="s">
        <v>583</v>
      </c>
      <c r="Y161" s="91" t="s">
        <v>584</v>
      </c>
      <c r="Z161" s="91" t="s">
        <v>73</v>
      </c>
      <c r="AA161" s="91" t="s">
        <v>35</v>
      </c>
      <c r="AD161" s="95" t="s">
        <v>909</v>
      </c>
      <c r="AE161" s="95">
        <f t="shared" si="2"/>
        <v>2</v>
      </c>
    </row>
    <row r="162" spans="1:31" x14ac:dyDescent="0.25">
      <c r="A162" s="91" t="s">
        <v>585</v>
      </c>
      <c r="C162" s="91">
        <v>1</v>
      </c>
      <c r="D162" s="91" t="s">
        <v>586</v>
      </c>
      <c r="E162" s="91" t="s">
        <v>58</v>
      </c>
      <c r="F162" s="91" t="s">
        <v>59</v>
      </c>
      <c r="G162" s="3">
        <v>5000</v>
      </c>
      <c r="H162" s="2">
        <v>42423</v>
      </c>
      <c r="I162" s="2">
        <v>42460</v>
      </c>
      <c r="J162" s="2"/>
      <c r="L162" s="91" t="s">
        <v>31</v>
      </c>
      <c r="M162" s="91">
        <v>0</v>
      </c>
      <c r="P162" s="91">
        <v>0</v>
      </c>
      <c r="Q162" s="91">
        <v>0</v>
      </c>
      <c r="R162" s="3">
        <v>0</v>
      </c>
      <c r="S162" s="91">
        <v>0</v>
      </c>
      <c r="T162" s="91">
        <v>0</v>
      </c>
      <c r="U162" s="91">
        <v>0</v>
      </c>
      <c r="X162" s="91" t="s">
        <v>587</v>
      </c>
      <c r="Y162" s="91" t="s">
        <v>549</v>
      </c>
      <c r="Z162" s="91" t="s">
        <v>488</v>
      </c>
      <c r="AA162" s="91" t="s">
        <v>35</v>
      </c>
      <c r="AD162" s="95" t="s">
        <v>909</v>
      </c>
      <c r="AE162" s="95">
        <f t="shared" si="2"/>
        <v>2</v>
      </c>
    </row>
    <row r="163" spans="1:31" x14ac:dyDescent="0.25">
      <c r="A163" s="91" t="s">
        <v>588</v>
      </c>
      <c r="B163" s="91">
        <v>164227</v>
      </c>
      <c r="C163" s="91">
        <v>4</v>
      </c>
      <c r="D163" s="91" t="s">
        <v>589</v>
      </c>
      <c r="E163" s="91" t="s">
        <v>29</v>
      </c>
      <c r="F163" s="91" t="s">
        <v>38</v>
      </c>
      <c r="G163" s="3">
        <v>1480</v>
      </c>
      <c r="H163" s="2">
        <v>42423</v>
      </c>
      <c r="I163" s="2"/>
      <c r="J163" s="2">
        <v>42423</v>
      </c>
      <c r="K163" s="2"/>
      <c r="L163" s="91" t="s">
        <v>31</v>
      </c>
      <c r="M163" s="91">
        <v>50</v>
      </c>
      <c r="N163" s="91">
        <v>164227</v>
      </c>
      <c r="P163" s="91">
        <v>0</v>
      </c>
      <c r="Q163" s="91">
        <v>26</v>
      </c>
      <c r="R163" s="3">
        <v>1480.62</v>
      </c>
      <c r="S163" s="91">
        <v>26</v>
      </c>
      <c r="T163" s="3">
        <v>1480</v>
      </c>
      <c r="U163" s="91">
        <v>24</v>
      </c>
      <c r="V163" s="2">
        <v>42430</v>
      </c>
      <c r="W163" s="2">
        <v>42438</v>
      </c>
      <c r="X163" s="91" t="s">
        <v>590</v>
      </c>
      <c r="Y163" s="91" t="s">
        <v>48</v>
      </c>
      <c r="Z163" s="91" t="s">
        <v>34</v>
      </c>
      <c r="AA163" s="91" t="s">
        <v>35</v>
      </c>
      <c r="AD163" s="95" t="s">
        <v>909</v>
      </c>
      <c r="AE163" s="95">
        <f t="shared" si="2"/>
        <v>2</v>
      </c>
    </row>
    <row r="164" spans="1:31" x14ac:dyDescent="0.25">
      <c r="A164" s="91" t="s">
        <v>591</v>
      </c>
      <c r="B164" s="91">
        <v>164228</v>
      </c>
      <c r="C164" s="91">
        <v>4</v>
      </c>
      <c r="D164" s="91" t="s">
        <v>592</v>
      </c>
      <c r="E164" s="91" t="s">
        <v>29</v>
      </c>
      <c r="F164" s="91" t="s">
        <v>38</v>
      </c>
      <c r="G164" s="3">
        <v>4695</v>
      </c>
      <c r="H164" s="2">
        <v>42423</v>
      </c>
      <c r="I164" s="2"/>
      <c r="J164" s="2">
        <v>42423</v>
      </c>
      <c r="K164" s="2"/>
      <c r="L164" s="91" t="s">
        <v>31</v>
      </c>
      <c r="M164" s="91">
        <v>50</v>
      </c>
      <c r="N164" s="91">
        <v>164228</v>
      </c>
      <c r="P164" s="91">
        <v>0</v>
      </c>
      <c r="Q164" s="91">
        <v>120</v>
      </c>
      <c r="R164" s="3">
        <v>5900.83</v>
      </c>
      <c r="S164" s="91">
        <v>80</v>
      </c>
      <c r="T164" s="3">
        <v>4695</v>
      </c>
      <c r="U164" s="91">
        <v>77.75</v>
      </c>
      <c r="V164" s="2">
        <v>42429</v>
      </c>
      <c r="W164" s="2">
        <v>42433</v>
      </c>
      <c r="X164" s="91" t="s">
        <v>593</v>
      </c>
      <c r="Y164" s="91" t="s">
        <v>48</v>
      </c>
      <c r="Z164" s="91" t="s">
        <v>34</v>
      </c>
      <c r="AA164" s="91" t="s">
        <v>35</v>
      </c>
      <c r="AD164" s="95" t="s">
        <v>909</v>
      </c>
      <c r="AE164" s="95">
        <f t="shared" si="2"/>
        <v>2</v>
      </c>
    </row>
    <row r="165" spans="1:31" x14ac:dyDescent="0.25">
      <c r="A165" s="91" t="s">
        <v>594</v>
      </c>
      <c r="B165" s="91">
        <v>160262</v>
      </c>
      <c r="C165" s="91">
        <v>4</v>
      </c>
      <c r="D165" s="91" t="s">
        <v>595</v>
      </c>
      <c r="E165" s="91" t="s">
        <v>29</v>
      </c>
      <c r="F165" s="91" t="s">
        <v>30</v>
      </c>
      <c r="G165" s="3">
        <v>1813</v>
      </c>
      <c r="H165" s="2">
        <v>42424</v>
      </c>
      <c r="I165" s="2">
        <v>42426</v>
      </c>
      <c r="J165" s="2">
        <v>42426</v>
      </c>
      <c r="K165" s="2">
        <v>42444</v>
      </c>
      <c r="L165" s="91" t="s">
        <v>31</v>
      </c>
      <c r="M165" s="91">
        <v>30</v>
      </c>
      <c r="N165" s="91">
        <v>160262</v>
      </c>
      <c r="P165" s="91">
        <v>0</v>
      </c>
      <c r="Q165" s="91">
        <v>20</v>
      </c>
      <c r="R165" s="3">
        <v>1601.63</v>
      </c>
      <c r="S165" s="91">
        <v>20</v>
      </c>
      <c r="T165" s="3">
        <v>1813</v>
      </c>
      <c r="U165" s="91">
        <v>25</v>
      </c>
      <c r="V165" s="2">
        <v>42431</v>
      </c>
      <c r="W165" s="2">
        <v>42431</v>
      </c>
      <c r="X165" s="91" t="s">
        <v>32</v>
      </c>
      <c r="Y165" s="91" t="s">
        <v>140</v>
      </c>
      <c r="Z165" s="91" t="s">
        <v>34</v>
      </c>
      <c r="AA165" s="91" t="s">
        <v>35</v>
      </c>
      <c r="AD165" s="95" t="s">
        <v>909</v>
      </c>
      <c r="AE165" s="95">
        <f t="shared" si="2"/>
        <v>2</v>
      </c>
    </row>
    <row r="166" spans="1:31" x14ac:dyDescent="0.25">
      <c r="A166" s="91" t="s">
        <v>596</v>
      </c>
      <c r="C166" s="91">
        <v>3</v>
      </c>
      <c r="D166" s="91" t="s">
        <v>597</v>
      </c>
      <c r="E166" s="91" t="s">
        <v>29</v>
      </c>
      <c r="F166" s="91" t="s">
        <v>30</v>
      </c>
      <c r="G166" s="3">
        <v>3550</v>
      </c>
      <c r="H166" s="2">
        <v>42424</v>
      </c>
      <c r="I166" s="2">
        <v>42426</v>
      </c>
      <c r="J166" s="2">
        <v>42426</v>
      </c>
      <c r="K166" s="2">
        <v>42444</v>
      </c>
      <c r="L166" s="91" t="s">
        <v>31</v>
      </c>
      <c r="M166" s="91">
        <v>30</v>
      </c>
      <c r="P166" s="91">
        <v>0</v>
      </c>
      <c r="Q166" s="91">
        <v>44</v>
      </c>
      <c r="R166" s="3">
        <v>3548.51</v>
      </c>
      <c r="S166" s="91">
        <v>0</v>
      </c>
      <c r="T166" s="91">
        <v>0</v>
      </c>
      <c r="U166" s="91">
        <v>0</v>
      </c>
      <c r="X166" s="91" t="s">
        <v>32</v>
      </c>
      <c r="Y166" s="91" t="s">
        <v>598</v>
      </c>
      <c r="Z166" s="91" t="s">
        <v>34</v>
      </c>
      <c r="AA166" s="91" t="s">
        <v>35</v>
      </c>
      <c r="AD166" s="95" t="s">
        <v>909</v>
      </c>
      <c r="AE166" s="95">
        <f t="shared" si="2"/>
        <v>2</v>
      </c>
    </row>
    <row r="167" spans="1:31" x14ac:dyDescent="0.25">
      <c r="A167" s="91" t="s">
        <v>599</v>
      </c>
      <c r="C167" s="91">
        <v>3</v>
      </c>
      <c r="D167" s="91" t="s">
        <v>600</v>
      </c>
      <c r="E167" s="91" t="s">
        <v>29</v>
      </c>
      <c r="F167" s="91" t="s">
        <v>30</v>
      </c>
      <c r="G167" s="3">
        <v>20400</v>
      </c>
      <c r="H167" s="2">
        <v>42424</v>
      </c>
      <c r="I167" s="2">
        <v>42433</v>
      </c>
      <c r="J167" s="2">
        <v>42432</v>
      </c>
      <c r="K167" s="2">
        <v>42460</v>
      </c>
      <c r="L167" s="91" t="s">
        <v>31</v>
      </c>
      <c r="M167" s="91">
        <v>30</v>
      </c>
      <c r="P167" s="91">
        <v>0</v>
      </c>
      <c r="Q167" s="91">
        <v>282</v>
      </c>
      <c r="R167" s="3">
        <v>20397.669999999998</v>
      </c>
      <c r="S167" s="91">
        <v>0</v>
      </c>
      <c r="T167" s="91">
        <v>0</v>
      </c>
      <c r="U167" s="91">
        <v>0</v>
      </c>
      <c r="X167" s="91" t="s">
        <v>32</v>
      </c>
      <c r="Y167" s="91" t="s">
        <v>140</v>
      </c>
      <c r="Z167" s="91" t="s">
        <v>34</v>
      </c>
      <c r="AA167" s="91" t="s">
        <v>35</v>
      </c>
      <c r="AD167" s="95" t="s">
        <v>909</v>
      </c>
      <c r="AE167" s="95">
        <f t="shared" si="2"/>
        <v>2</v>
      </c>
    </row>
    <row r="168" spans="1:31" x14ac:dyDescent="0.25">
      <c r="A168" s="91" t="s">
        <v>601</v>
      </c>
      <c r="B168" s="91">
        <v>160261</v>
      </c>
      <c r="C168" s="91">
        <v>4</v>
      </c>
      <c r="D168" s="91" t="s">
        <v>602</v>
      </c>
      <c r="E168" s="91" t="s">
        <v>29</v>
      </c>
      <c r="F168" s="91" t="s">
        <v>30</v>
      </c>
      <c r="G168" s="3">
        <v>900</v>
      </c>
      <c r="H168" s="2">
        <v>42424</v>
      </c>
      <c r="I168" s="2">
        <v>42425</v>
      </c>
      <c r="J168" s="2">
        <v>42424</v>
      </c>
      <c r="K168" s="2">
        <v>42426</v>
      </c>
      <c r="L168" s="91" t="s">
        <v>31</v>
      </c>
      <c r="M168" s="91">
        <v>30</v>
      </c>
      <c r="N168" s="91">
        <v>160261</v>
      </c>
      <c r="P168" s="91">
        <v>0</v>
      </c>
      <c r="Q168" s="91">
        <v>12</v>
      </c>
      <c r="R168" s="3">
        <v>900.87</v>
      </c>
      <c r="S168" s="91">
        <v>12</v>
      </c>
      <c r="T168" s="3">
        <v>900</v>
      </c>
      <c r="U168" s="91">
        <v>12</v>
      </c>
      <c r="V168" s="2">
        <v>42426</v>
      </c>
      <c r="W168" s="2">
        <v>42426</v>
      </c>
      <c r="X168" s="91" t="s">
        <v>32</v>
      </c>
      <c r="Y168" s="91" t="s">
        <v>603</v>
      </c>
      <c r="Z168" s="91" t="s">
        <v>604</v>
      </c>
      <c r="AA168" s="91" t="s">
        <v>35</v>
      </c>
      <c r="AD168" s="95" t="s">
        <v>909</v>
      </c>
      <c r="AE168" s="95">
        <f t="shared" si="2"/>
        <v>2</v>
      </c>
    </row>
    <row r="169" spans="1:31" x14ac:dyDescent="0.25">
      <c r="A169" s="91" t="s">
        <v>605</v>
      </c>
      <c r="C169" s="91">
        <v>3</v>
      </c>
      <c r="D169" s="91" t="s">
        <v>606</v>
      </c>
      <c r="E169" s="91" t="s">
        <v>58</v>
      </c>
      <c r="F169" s="91" t="s">
        <v>30</v>
      </c>
      <c r="G169" s="3">
        <v>11090</v>
      </c>
      <c r="H169" s="2">
        <v>42424</v>
      </c>
      <c r="I169" s="2">
        <v>42431</v>
      </c>
      <c r="J169" s="2">
        <v>42426</v>
      </c>
      <c r="K169" s="2">
        <v>42475</v>
      </c>
      <c r="L169" s="91" t="s">
        <v>31</v>
      </c>
      <c r="M169" s="91">
        <v>30</v>
      </c>
      <c r="P169" s="91">
        <v>0</v>
      </c>
      <c r="Q169" s="91">
        <v>181</v>
      </c>
      <c r="R169" s="3">
        <v>11088.71</v>
      </c>
      <c r="S169" s="91">
        <v>0</v>
      </c>
      <c r="T169" s="91">
        <v>0</v>
      </c>
      <c r="U169" s="91">
        <v>0</v>
      </c>
      <c r="X169" s="91" t="s">
        <v>607</v>
      </c>
      <c r="Y169" s="91" t="s">
        <v>608</v>
      </c>
      <c r="Z169" s="91" t="s">
        <v>488</v>
      </c>
      <c r="AA169" s="91" t="s">
        <v>35</v>
      </c>
      <c r="AD169" s="95" t="s">
        <v>909</v>
      </c>
      <c r="AE169" s="95">
        <f t="shared" si="2"/>
        <v>2</v>
      </c>
    </row>
    <row r="170" spans="1:31" x14ac:dyDescent="0.25">
      <c r="A170" s="91" t="s">
        <v>609</v>
      </c>
      <c r="B170" s="91">
        <v>160015</v>
      </c>
      <c r="C170" s="91">
        <v>4</v>
      </c>
      <c r="D170" s="91" t="s">
        <v>610</v>
      </c>
      <c r="E170" s="91" t="s">
        <v>65</v>
      </c>
      <c r="F170" s="91" t="s">
        <v>80</v>
      </c>
      <c r="G170" s="3">
        <v>10175</v>
      </c>
      <c r="H170" s="2">
        <v>42425</v>
      </c>
      <c r="I170" s="2">
        <v>42436</v>
      </c>
      <c r="J170" s="2">
        <v>42436</v>
      </c>
      <c r="K170" s="2">
        <v>42597</v>
      </c>
      <c r="L170" s="91" t="s">
        <v>31</v>
      </c>
      <c r="M170" s="91">
        <v>33</v>
      </c>
      <c r="N170" s="91">
        <v>160015</v>
      </c>
      <c r="P170" s="91">
        <v>0</v>
      </c>
      <c r="Q170" s="91">
        <v>138</v>
      </c>
      <c r="R170" s="3">
        <v>10176.1</v>
      </c>
      <c r="S170" s="91">
        <v>138</v>
      </c>
      <c r="T170" s="3">
        <v>10175</v>
      </c>
      <c r="U170" s="91">
        <v>1</v>
      </c>
      <c r="X170" s="91" t="s">
        <v>611</v>
      </c>
      <c r="Y170" s="91" t="s">
        <v>612</v>
      </c>
      <c r="Z170" s="91" t="s">
        <v>235</v>
      </c>
      <c r="AA170" s="91" t="s">
        <v>35</v>
      </c>
      <c r="AD170" s="95" t="s">
        <v>909</v>
      </c>
      <c r="AE170" s="95">
        <f t="shared" si="2"/>
        <v>2</v>
      </c>
    </row>
    <row r="171" spans="1:31" x14ac:dyDescent="0.25">
      <c r="A171" s="91" t="s">
        <v>613</v>
      </c>
      <c r="C171" s="91">
        <v>7</v>
      </c>
      <c r="D171" s="91" t="s">
        <v>614</v>
      </c>
      <c r="E171" s="91" t="s">
        <v>65</v>
      </c>
      <c r="F171" s="91" t="s">
        <v>80</v>
      </c>
      <c r="G171" s="3">
        <v>2600</v>
      </c>
      <c r="H171" s="2">
        <v>42425</v>
      </c>
      <c r="I171" s="2">
        <v>42433</v>
      </c>
      <c r="J171" s="2"/>
      <c r="K171" s="2">
        <v>42444</v>
      </c>
      <c r="L171" s="91" t="s">
        <v>31</v>
      </c>
      <c r="M171" s="91">
        <v>50</v>
      </c>
      <c r="P171" s="91">
        <v>0</v>
      </c>
      <c r="Q171" s="91">
        <v>0</v>
      </c>
      <c r="R171" s="3">
        <v>0</v>
      </c>
      <c r="S171" s="91">
        <v>0</v>
      </c>
      <c r="T171" s="91">
        <v>0</v>
      </c>
      <c r="U171" s="91">
        <v>0</v>
      </c>
      <c r="X171" s="91" t="s">
        <v>615</v>
      </c>
      <c r="Y171" s="91" t="s">
        <v>616</v>
      </c>
      <c r="Z171" s="91" t="s">
        <v>235</v>
      </c>
      <c r="AA171" s="91" t="s">
        <v>35</v>
      </c>
      <c r="AD171" s="95" t="s">
        <v>909</v>
      </c>
      <c r="AE171" s="95">
        <f t="shared" si="2"/>
        <v>2</v>
      </c>
    </row>
    <row r="172" spans="1:31" x14ac:dyDescent="0.25">
      <c r="A172" s="91" t="s">
        <v>617</v>
      </c>
      <c r="C172" s="91">
        <v>3</v>
      </c>
      <c r="D172" s="91" t="s">
        <v>618</v>
      </c>
      <c r="E172" s="91" t="s">
        <v>29</v>
      </c>
      <c r="F172" s="91" t="s">
        <v>38</v>
      </c>
      <c r="G172" s="3">
        <v>4850</v>
      </c>
      <c r="H172" s="2">
        <v>42425</v>
      </c>
      <c r="J172" s="2">
        <v>42424</v>
      </c>
      <c r="L172" s="91" t="s">
        <v>31</v>
      </c>
      <c r="M172" s="91">
        <v>50</v>
      </c>
      <c r="P172" s="91">
        <v>0</v>
      </c>
      <c r="Q172" s="91">
        <v>100</v>
      </c>
      <c r="R172" s="3">
        <v>4850.34</v>
      </c>
      <c r="S172" s="91">
        <v>0</v>
      </c>
      <c r="T172" s="3">
        <v>0</v>
      </c>
      <c r="U172" s="91">
        <v>0</v>
      </c>
      <c r="V172" s="2"/>
      <c r="W172" s="2"/>
      <c r="X172" s="91" t="s">
        <v>619</v>
      </c>
      <c r="Y172" s="91" t="s">
        <v>163</v>
      </c>
      <c r="Z172" s="91" t="s">
        <v>34</v>
      </c>
      <c r="AA172" s="91" t="s">
        <v>35</v>
      </c>
      <c r="AD172" s="95" t="s">
        <v>909</v>
      </c>
      <c r="AE172" s="95">
        <f t="shared" si="2"/>
        <v>2</v>
      </c>
    </row>
    <row r="173" spans="1:31" x14ac:dyDescent="0.25">
      <c r="A173" s="91" t="s">
        <v>620</v>
      </c>
      <c r="B173" s="91">
        <v>160106</v>
      </c>
      <c r="C173" s="91">
        <v>4</v>
      </c>
      <c r="D173" s="91" t="s">
        <v>621</v>
      </c>
      <c r="E173" s="91" t="s">
        <v>51</v>
      </c>
      <c r="F173" s="91" t="s">
        <v>132</v>
      </c>
      <c r="G173" s="3">
        <v>1563</v>
      </c>
      <c r="H173" s="2">
        <v>42425</v>
      </c>
      <c r="I173" s="2">
        <v>42437</v>
      </c>
      <c r="J173" s="2">
        <v>42438</v>
      </c>
      <c r="K173" s="2">
        <v>42444</v>
      </c>
      <c r="L173" s="91" t="s">
        <v>31</v>
      </c>
      <c r="M173" s="91">
        <v>100</v>
      </c>
      <c r="N173" s="91">
        <v>160106</v>
      </c>
      <c r="P173" s="91">
        <v>0</v>
      </c>
      <c r="Q173" s="91">
        <v>0</v>
      </c>
      <c r="R173" s="3">
        <v>0</v>
      </c>
      <c r="S173" s="91">
        <v>27</v>
      </c>
      <c r="T173" s="3">
        <v>1563</v>
      </c>
      <c r="U173" s="91">
        <v>26.25</v>
      </c>
      <c r="V173" s="2">
        <v>42445</v>
      </c>
      <c r="W173" s="2">
        <v>42445</v>
      </c>
      <c r="X173" s="91" t="s">
        <v>622</v>
      </c>
      <c r="Y173" s="91" t="s">
        <v>134</v>
      </c>
      <c r="Z173" s="91" t="s">
        <v>135</v>
      </c>
      <c r="AA173" s="91" t="s">
        <v>35</v>
      </c>
      <c r="AD173" s="95" t="s">
        <v>909</v>
      </c>
      <c r="AE173" s="95">
        <f t="shared" si="2"/>
        <v>2</v>
      </c>
    </row>
    <row r="174" spans="1:31" x14ac:dyDescent="0.25">
      <c r="A174" s="91" t="s">
        <v>623</v>
      </c>
      <c r="C174" s="91">
        <v>3</v>
      </c>
      <c r="D174" s="91" t="s">
        <v>624</v>
      </c>
      <c r="E174" s="91" t="s">
        <v>58</v>
      </c>
      <c r="F174" s="91" t="s">
        <v>59</v>
      </c>
      <c r="G174" s="3">
        <v>29124</v>
      </c>
      <c r="H174" s="2">
        <v>42425</v>
      </c>
      <c r="I174" s="2">
        <v>42437</v>
      </c>
      <c r="J174" s="2">
        <v>42447</v>
      </c>
      <c r="K174" s="2">
        <v>42444</v>
      </c>
      <c r="L174" s="91" t="s">
        <v>31</v>
      </c>
      <c r="M174" s="91">
        <v>40</v>
      </c>
      <c r="P174" s="91">
        <v>0</v>
      </c>
      <c r="Q174" s="91">
        <v>96</v>
      </c>
      <c r="R174" s="3">
        <v>29124</v>
      </c>
      <c r="S174" s="91">
        <v>0</v>
      </c>
      <c r="T174" s="91">
        <v>0</v>
      </c>
      <c r="U174" s="91">
        <v>0</v>
      </c>
      <c r="X174" s="91" t="s">
        <v>100</v>
      </c>
      <c r="Y174" s="91" t="s">
        <v>625</v>
      </c>
      <c r="Z174" s="91" t="s">
        <v>411</v>
      </c>
      <c r="AA174" s="91" t="s">
        <v>35</v>
      </c>
      <c r="AD174" s="95" t="s">
        <v>909</v>
      </c>
      <c r="AE174" s="95">
        <f t="shared" si="2"/>
        <v>2</v>
      </c>
    </row>
    <row r="175" spans="1:31" x14ac:dyDescent="0.25">
      <c r="A175" s="91" t="s">
        <v>626</v>
      </c>
      <c r="C175" s="91">
        <v>3</v>
      </c>
      <c r="D175" s="91" t="s">
        <v>627</v>
      </c>
      <c r="E175" s="91" t="s">
        <v>58</v>
      </c>
      <c r="F175" s="91" t="s">
        <v>59</v>
      </c>
      <c r="G175" s="3">
        <v>13479</v>
      </c>
      <c r="H175" s="2">
        <v>42425</v>
      </c>
      <c r="I175" s="2">
        <v>42437</v>
      </c>
      <c r="J175" s="2">
        <v>42437</v>
      </c>
      <c r="K175" s="2">
        <v>42444</v>
      </c>
      <c r="L175" s="91" t="s">
        <v>31</v>
      </c>
      <c r="M175" s="91">
        <v>40</v>
      </c>
      <c r="P175" s="91">
        <v>0</v>
      </c>
      <c r="Q175" s="91">
        <v>80</v>
      </c>
      <c r="R175" s="3">
        <v>13478.4</v>
      </c>
      <c r="S175" s="91">
        <v>0</v>
      </c>
      <c r="T175" s="3">
        <v>0</v>
      </c>
      <c r="U175" s="91">
        <v>0</v>
      </c>
      <c r="V175" s="2"/>
      <c r="W175" s="2"/>
      <c r="X175" s="91" t="s">
        <v>100</v>
      </c>
      <c r="Y175" s="91" t="s">
        <v>625</v>
      </c>
      <c r="Z175" s="91" t="s">
        <v>411</v>
      </c>
      <c r="AA175" s="91" t="s">
        <v>35</v>
      </c>
      <c r="AD175" s="95" t="s">
        <v>909</v>
      </c>
      <c r="AE175" s="95">
        <f t="shared" si="2"/>
        <v>2</v>
      </c>
    </row>
    <row r="176" spans="1:31" x14ac:dyDescent="0.25">
      <c r="A176" s="91" t="s">
        <v>628</v>
      </c>
      <c r="C176" s="91">
        <v>3</v>
      </c>
      <c r="D176" s="91" t="s">
        <v>629</v>
      </c>
      <c r="E176" s="91" t="s">
        <v>58</v>
      </c>
      <c r="F176" s="91" t="s">
        <v>59</v>
      </c>
      <c r="G176" s="3">
        <v>2200.8000000000002</v>
      </c>
      <c r="H176" s="2">
        <v>42425</v>
      </c>
      <c r="I176" s="2">
        <v>42437</v>
      </c>
      <c r="J176" s="2">
        <v>42446</v>
      </c>
      <c r="K176" s="2">
        <v>42444</v>
      </c>
      <c r="L176" s="91" t="s">
        <v>31</v>
      </c>
      <c r="M176" s="91">
        <v>40</v>
      </c>
      <c r="P176" s="91">
        <v>0</v>
      </c>
      <c r="Q176" s="91">
        <v>0</v>
      </c>
      <c r="R176" s="3">
        <v>0</v>
      </c>
      <c r="S176" s="91">
        <v>0</v>
      </c>
      <c r="T176" s="91">
        <v>0</v>
      </c>
      <c r="U176" s="91">
        <v>0</v>
      </c>
      <c r="X176" s="91" t="s">
        <v>100</v>
      </c>
      <c r="Y176" s="91" t="s">
        <v>625</v>
      </c>
      <c r="Z176" s="91" t="s">
        <v>411</v>
      </c>
      <c r="AA176" s="91" t="s">
        <v>35</v>
      </c>
      <c r="AD176" s="95" t="s">
        <v>909</v>
      </c>
      <c r="AE176" s="95">
        <f t="shared" si="2"/>
        <v>2</v>
      </c>
    </row>
    <row r="177" spans="1:31" x14ac:dyDescent="0.25">
      <c r="A177" s="91" t="s">
        <v>631</v>
      </c>
      <c r="C177" s="91">
        <v>3</v>
      </c>
      <c r="D177" s="91" t="s">
        <v>632</v>
      </c>
      <c r="E177" s="91" t="s">
        <v>65</v>
      </c>
      <c r="F177" s="91" t="s">
        <v>30</v>
      </c>
      <c r="G177" s="3">
        <v>1770</v>
      </c>
      <c r="H177" s="2">
        <v>42425</v>
      </c>
      <c r="I177" s="2">
        <v>42433</v>
      </c>
      <c r="J177" s="2">
        <v>42431</v>
      </c>
      <c r="K177" s="2">
        <v>42475</v>
      </c>
      <c r="L177" s="91" t="s">
        <v>31</v>
      </c>
      <c r="M177" s="91">
        <v>30</v>
      </c>
      <c r="P177" s="91">
        <v>0</v>
      </c>
      <c r="Q177" s="91">
        <v>0</v>
      </c>
      <c r="R177" s="3">
        <v>0</v>
      </c>
      <c r="S177" s="91">
        <v>0</v>
      </c>
      <c r="T177" s="91">
        <v>0</v>
      </c>
      <c r="U177" s="91">
        <v>0</v>
      </c>
      <c r="X177" s="91" t="s">
        <v>32</v>
      </c>
      <c r="Y177" s="91" t="s">
        <v>633</v>
      </c>
      <c r="Z177" s="91" t="s">
        <v>634</v>
      </c>
      <c r="AA177" s="91" t="s">
        <v>35</v>
      </c>
      <c r="AD177" s="95" t="s">
        <v>909</v>
      </c>
      <c r="AE177" s="95">
        <f t="shared" si="2"/>
        <v>2</v>
      </c>
    </row>
    <row r="178" spans="1:31" x14ac:dyDescent="0.25">
      <c r="A178" s="91" t="s">
        <v>635</v>
      </c>
      <c r="B178" s="91">
        <v>160109</v>
      </c>
      <c r="C178" s="91">
        <v>4</v>
      </c>
      <c r="D178" s="91" t="s">
        <v>636</v>
      </c>
      <c r="E178" s="91" t="s">
        <v>51</v>
      </c>
      <c r="F178" s="91" t="s">
        <v>132</v>
      </c>
      <c r="G178" s="3">
        <v>60718</v>
      </c>
      <c r="H178" s="2">
        <v>42425</v>
      </c>
      <c r="I178" s="2">
        <v>42460</v>
      </c>
      <c r="J178" s="2">
        <v>42433</v>
      </c>
      <c r="K178" s="2">
        <v>42522</v>
      </c>
      <c r="L178" s="91" t="s">
        <v>31</v>
      </c>
      <c r="M178" s="91">
        <v>0</v>
      </c>
      <c r="N178" s="91">
        <v>160109</v>
      </c>
      <c r="P178" s="91">
        <v>0</v>
      </c>
      <c r="Q178" s="91">
        <v>954.6</v>
      </c>
      <c r="R178" s="3">
        <v>79854.31</v>
      </c>
      <c r="S178" s="91">
        <v>598.4</v>
      </c>
      <c r="T178" s="3">
        <v>60718</v>
      </c>
      <c r="U178" s="91">
        <v>86</v>
      </c>
      <c r="V178" s="2">
        <v>42465</v>
      </c>
      <c r="W178" s="2">
        <v>42468</v>
      </c>
      <c r="X178" s="91">
        <v>6000464584</v>
      </c>
      <c r="Y178" s="91" t="s">
        <v>637</v>
      </c>
      <c r="Z178" s="91" t="s">
        <v>55</v>
      </c>
      <c r="AA178" s="91" t="s">
        <v>35</v>
      </c>
      <c r="AD178" s="95" t="s">
        <v>909</v>
      </c>
      <c r="AE178" s="95">
        <f t="shared" si="2"/>
        <v>2</v>
      </c>
    </row>
    <row r="179" spans="1:31" x14ac:dyDescent="0.25">
      <c r="A179" s="91" t="s">
        <v>638</v>
      </c>
      <c r="C179" s="91">
        <v>2</v>
      </c>
      <c r="D179" s="91" t="s">
        <v>639</v>
      </c>
      <c r="E179" s="91" t="s">
        <v>58</v>
      </c>
      <c r="F179" s="91" t="s">
        <v>87</v>
      </c>
      <c r="G179" s="3">
        <v>0</v>
      </c>
      <c r="H179" s="2">
        <v>42425</v>
      </c>
      <c r="I179" s="2">
        <v>42444</v>
      </c>
      <c r="J179" s="2"/>
      <c r="L179" s="91" t="s">
        <v>31</v>
      </c>
      <c r="M179" s="91">
        <v>0</v>
      </c>
      <c r="P179" s="91">
        <v>0</v>
      </c>
      <c r="Q179" s="91">
        <v>0</v>
      </c>
      <c r="R179" s="3">
        <v>0</v>
      </c>
      <c r="S179" s="91">
        <v>0</v>
      </c>
      <c r="T179" s="3">
        <v>0</v>
      </c>
      <c r="U179" s="91">
        <v>0</v>
      </c>
      <c r="X179" s="91" t="s">
        <v>640</v>
      </c>
      <c r="Y179" s="91" t="s">
        <v>276</v>
      </c>
      <c r="Z179" s="91" t="s">
        <v>277</v>
      </c>
      <c r="AA179" s="91" t="s">
        <v>35</v>
      </c>
      <c r="AD179" s="95" t="s">
        <v>909</v>
      </c>
      <c r="AE179" s="95">
        <f t="shared" si="2"/>
        <v>2</v>
      </c>
    </row>
    <row r="180" spans="1:31" x14ac:dyDescent="0.25">
      <c r="A180" s="91" t="s">
        <v>641</v>
      </c>
      <c r="C180" s="91">
        <v>3</v>
      </c>
      <c r="D180" s="91" t="s">
        <v>642</v>
      </c>
      <c r="E180" s="91" t="s">
        <v>65</v>
      </c>
      <c r="F180" s="91" t="s">
        <v>66</v>
      </c>
      <c r="G180" s="3">
        <v>3375</v>
      </c>
      <c r="H180" s="2">
        <v>42426</v>
      </c>
      <c r="I180" s="2">
        <v>42433</v>
      </c>
      <c r="J180" s="2">
        <v>42431</v>
      </c>
      <c r="K180" s="2">
        <v>42444</v>
      </c>
      <c r="L180" s="91" t="s">
        <v>31</v>
      </c>
      <c r="M180" s="91">
        <v>30</v>
      </c>
      <c r="P180" s="91">
        <v>0</v>
      </c>
      <c r="Q180" s="91">
        <v>41</v>
      </c>
      <c r="R180" s="3">
        <v>3377.23</v>
      </c>
      <c r="S180" s="91">
        <v>0</v>
      </c>
      <c r="T180" s="91">
        <v>0</v>
      </c>
      <c r="U180" s="91">
        <v>0</v>
      </c>
      <c r="X180" s="91" t="s">
        <v>32</v>
      </c>
      <c r="Y180" s="91" t="s">
        <v>358</v>
      </c>
      <c r="Z180" s="91" t="s">
        <v>83</v>
      </c>
      <c r="AA180" s="91" t="s">
        <v>35</v>
      </c>
      <c r="AD180" s="95" t="s">
        <v>909</v>
      </c>
      <c r="AE180" s="95">
        <f t="shared" si="2"/>
        <v>2</v>
      </c>
    </row>
    <row r="181" spans="1:31" x14ac:dyDescent="0.25">
      <c r="A181" s="91" t="s">
        <v>643</v>
      </c>
      <c r="C181" s="91">
        <v>3</v>
      </c>
      <c r="D181" s="91" t="s">
        <v>644</v>
      </c>
      <c r="E181" s="91" t="s">
        <v>58</v>
      </c>
      <c r="F181" s="91" t="s">
        <v>30</v>
      </c>
      <c r="G181" s="3">
        <v>23815</v>
      </c>
      <c r="H181" s="2">
        <v>42430</v>
      </c>
      <c r="I181" s="2">
        <v>42436</v>
      </c>
      <c r="J181" s="2">
        <v>42436</v>
      </c>
      <c r="K181" s="2">
        <v>42444</v>
      </c>
      <c r="L181" s="91" t="s">
        <v>31</v>
      </c>
      <c r="M181" s="91">
        <v>30</v>
      </c>
      <c r="P181" s="91">
        <v>0</v>
      </c>
      <c r="Q181" s="91">
        <v>202</v>
      </c>
      <c r="R181" s="3">
        <v>23815.05</v>
      </c>
      <c r="S181" s="91">
        <v>0</v>
      </c>
      <c r="T181" s="91">
        <v>0</v>
      </c>
      <c r="U181" s="91">
        <v>0</v>
      </c>
      <c r="X181" s="91" t="s">
        <v>645</v>
      </c>
      <c r="Y181" s="91" t="s">
        <v>646</v>
      </c>
      <c r="Z181" s="91" t="s">
        <v>647</v>
      </c>
      <c r="AA181" s="91" t="s">
        <v>35</v>
      </c>
      <c r="AD181" s="95" t="s">
        <v>909</v>
      </c>
      <c r="AE181" s="95">
        <f t="shared" si="2"/>
        <v>3</v>
      </c>
    </row>
    <row r="182" spans="1:31" x14ac:dyDescent="0.25">
      <c r="A182" s="91" t="s">
        <v>648</v>
      </c>
      <c r="B182" s="91">
        <v>164232</v>
      </c>
      <c r="C182" s="91">
        <v>4</v>
      </c>
      <c r="D182" s="91" t="s">
        <v>649</v>
      </c>
      <c r="E182" s="91" t="s">
        <v>29</v>
      </c>
      <c r="F182" s="91" t="s">
        <v>38</v>
      </c>
      <c r="G182" s="3">
        <v>2450</v>
      </c>
      <c r="H182" s="2">
        <v>42430</v>
      </c>
      <c r="J182" s="2">
        <v>42426</v>
      </c>
      <c r="L182" s="91" t="s">
        <v>31</v>
      </c>
      <c r="M182" s="91">
        <v>50</v>
      </c>
      <c r="N182" s="91">
        <v>164232</v>
      </c>
      <c r="P182" s="91">
        <v>0</v>
      </c>
      <c r="Q182" s="91">
        <v>50</v>
      </c>
      <c r="R182" s="3">
        <v>2450.09</v>
      </c>
      <c r="S182" s="91">
        <v>50</v>
      </c>
      <c r="T182" s="3">
        <v>2450</v>
      </c>
      <c r="U182" s="91">
        <v>50</v>
      </c>
      <c r="V182" s="2">
        <v>42430</v>
      </c>
      <c r="W182" s="2">
        <v>42432</v>
      </c>
      <c r="X182" s="91" t="s">
        <v>650</v>
      </c>
      <c r="Y182" s="91" t="s">
        <v>48</v>
      </c>
      <c r="Z182" s="91" t="s">
        <v>34</v>
      </c>
      <c r="AA182" s="91" t="s">
        <v>35</v>
      </c>
      <c r="AD182" s="95" t="s">
        <v>909</v>
      </c>
      <c r="AE182" s="95">
        <f t="shared" si="2"/>
        <v>3</v>
      </c>
    </row>
    <row r="183" spans="1:31" x14ac:dyDescent="0.25">
      <c r="A183" s="91" t="s">
        <v>651</v>
      </c>
      <c r="B183" s="91">
        <v>164233</v>
      </c>
      <c r="C183" s="91">
        <v>4</v>
      </c>
      <c r="D183" s="91" t="s">
        <v>652</v>
      </c>
      <c r="E183" s="91" t="s">
        <v>29</v>
      </c>
      <c r="F183" s="91" t="s">
        <v>38</v>
      </c>
      <c r="G183" s="3">
        <v>1785</v>
      </c>
      <c r="H183" s="2">
        <v>42430</v>
      </c>
      <c r="I183" s="2"/>
      <c r="J183" s="2">
        <v>42427</v>
      </c>
      <c r="K183" s="2"/>
      <c r="L183" s="91" t="s">
        <v>31</v>
      </c>
      <c r="M183" s="91">
        <v>50</v>
      </c>
      <c r="N183" s="91">
        <v>164233</v>
      </c>
      <c r="P183" s="91">
        <v>0</v>
      </c>
      <c r="Q183" s="91">
        <v>18</v>
      </c>
      <c r="R183" s="3">
        <v>1785.12</v>
      </c>
      <c r="S183" s="91">
        <v>18</v>
      </c>
      <c r="T183" s="3">
        <v>1785</v>
      </c>
      <c r="U183" s="91">
        <v>16</v>
      </c>
      <c r="V183" s="2">
        <v>42431</v>
      </c>
      <c r="W183" s="2">
        <v>42431</v>
      </c>
      <c r="X183" s="91" t="s">
        <v>653</v>
      </c>
      <c r="Y183" s="91" t="s">
        <v>93</v>
      </c>
      <c r="Z183" s="91" t="s">
        <v>34</v>
      </c>
      <c r="AA183" s="91" t="s">
        <v>35</v>
      </c>
      <c r="AD183" s="95" t="s">
        <v>909</v>
      </c>
      <c r="AE183" s="95">
        <f t="shared" si="2"/>
        <v>3</v>
      </c>
    </row>
    <row r="184" spans="1:31" x14ac:dyDescent="0.25">
      <c r="A184" s="91" t="s">
        <v>654</v>
      </c>
      <c r="C184" s="91">
        <v>7</v>
      </c>
      <c r="D184" s="91" t="s">
        <v>655</v>
      </c>
      <c r="E184" s="91" t="s">
        <v>58</v>
      </c>
      <c r="F184" s="91" t="s">
        <v>87</v>
      </c>
      <c r="G184" s="3">
        <v>27040</v>
      </c>
      <c r="H184" s="2">
        <v>42430</v>
      </c>
      <c r="I184" s="2">
        <v>42440</v>
      </c>
      <c r="J184" s="2">
        <v>42439</v>
      </c>
      <c r="K184" s="2">
        <v>42459</v>
      </c>
      <c r="L184" s="91" t="s">
        <v>31</v>
      </c>
      <c r="M184" s="91">
        <v>30</v>
      </c>
      <c r="P184" s="91">
        <v>0</v>
      </c>
      <c r="Q184" s="91">
        <v>240</v>
      </c>
      <c r="R184" s="3">
        <v>25723.360000000001</v>
      </c>
      <c r="S184" s="91">
        <v>0</v>
      </c>
      <c r="T184" s="91">
        <v>0</v>
      </c>
      <c r="U184" s="91">
        <v>0</v>
      </c>
      <c r="X184" s="91" t="s">
        <v>656</v>
      </c>
      <c r="Y184" s="91" t="s">
        <v>657</v>
      </c>
      <c r="Z184" s="91" t="s">
        <v>658</v>
      </c>
      <c r="AA184" s="91" t="s">
        <v>35</v>
      </c>
      <c r="AD184" s="95" t="s">
        <v>909</v>
      </c>
      <c r="AE184" s="95">
        <f t="shared" si="2"/>
        <v>3</v>
      </c>
    </row>
    <row r="185" spans="1:31" x14ac:dyDescent="0.25">
      <c r="A185" s="91" t="s">
        <v>659</v>
      </c>
      <c r="B185" s="91">
        <v>160013</v>
      </c>
      <c r="C185" s="91">
        <v>4</v>
      </c>
      <c r="D185" s="91" t="s">
        <v>660</v>
      </c>
      <c r="E185" s="91" t="s">
        <v>65</v>
      </c>
      <c r="F185" s="91" t="s">
        <v>30</v>
      </c>
      <c r="G185" s="3">
        <v>1965</v>
      </c>
      <c r="H185" s="2">
        <v>42431</v>
      </c>
      <c r="I185" s="2">
        <v>42431</v>
      </c>
      <c r="J185" s="2">
        <v>42431</v>
      </c>
      <c r="K185" s="2">
        <v>42436</v>
      </c>
      <c r="L185" s="91" t="s">
        <v>31</v>
      </c>
      <c r="M185" s="91">
        <v>50</v>
      </c>
      <c r="N185" s="91">
        <v>160013</v>
      </c>
      <c r="P185" s="91">
        <v>0</v>
      </c>
      <c r="Q185" s="91">
        <v>1</v>
      </c>
      <c r="R185" s="3">
        <v>0</v>
      </c>
      <c r="S185" s="91">
        <v>12</v>
      </c>
      <c r="T185" s="3">
        <v>1965</v>
      </c>
      <c r="U185" s="91">
        <v>9.5</v>
      </c>
      <c r="V185" s="2">
        <v>42439</v>
      </c>
      <c r="W185" s="2">
        <v>42439</v>
      </c>
      <c r="X185" s="91" t="s">
        <v>32</v>
      </c>
      <c r="Y185" s="91" t="s">
        <v>265</v>
      </c>
      <c r="Z185" s="91" t="s">
        <v>266</v>
      </c>
      <c r="AA185" s="91" t="s">
        <v>35</v>
      </c>
      <c r="AD185" s="95" t="s">
        <v>909</v>
      </c>
      <c r="AE185" s="95">
        <f t="shared" si="2"/>
        <v>3</v>
      </c>
    </row>
    <row r="186" spans="1:31" x14ac:dyDescent="0.25">
      <c r="A186" s="91" t="s">
        <v>661</v>
      </c>
      <c r="C186" s="91">
        <v>3</v>
      </c>
      <c r="D186" s="91" t="s">
        <v>662</v>
      </c>
      <c r="E186" s="91" t="s">
        <v>65</v>
      </c>
      <c r="F186" s="91" t="s">
        <v>30</v>
      </c>
      <c r="G186" s="3">
        <v>3880</v>
      </c>
      <c r="H186" s="2">
        <v>42431</v>
      </c>
      <c r="I186" s="2">
        <v>42433</v>
      </c>
      <c r="J186" s="2">
        <v>42431</v>
      </c>
      <c r="K186" s="2">
        <v>42460</v>
      </c>
      <c r="L186" s="91" t="s">
        <v>31</v>
      </c>
      <c r="M186" s="91">
        <v>30</v>
      </c>
      <c r="P186" s="91">
        <v>0</v>
      </c>
      <c r="Q186" s="91">
        <v>32</v>
      </c>
      <c r="R186" s="3">
        <v>3881.64</v>
      </c>
      <c r="S186" s="91">
        <v>0</v>
      </c>
      <c r="T186" s="91">
        <v>0</v>
      </c>
      <c r="U186" s="91">
        <v>0</v>
      </c>
      <c r="X186" s="91" t="s">
        <v>32</v>
      </c>
      <c r="Y186" s="91" t="s">
        <v>265</v>
      </c>
      <c r="Z186" s="91" t="s">
        <v>266</v>
      </c>
      <c r="AA186" s="91" t="s">
        <v>35</v>
      </c>
      <c r="AD186" s="95" t="s">
        <v>909</v>
      </c>
      <c r="AE186" s="95">
        <f t="shared" si="2"/>
        <v>3</v>
      </c>
    </row>
    <row r="187" spans="1:31" x14ac:dyDescent="0.25">
      <c r="A187" s="91" t="s">
        <v>663</v>
      </c>
      <c r="C187" s="91">
        <v>3</v>
      </c>
      <c r="D187" s="91" t="s">
        <v>664</v>
      </c>
      <c r="E187" s="91" t="s">
        <v>65</v>
      </c>
      <c r="F187" s="91" t="s">
        <v>30</v>
      </c>
      <c r="G187" s="3">
        <v>15980</v>
      </c>
      <c r="H187" s="2">
        <v>42431</v>
      </c>
      <c r="I187" s="2">
        <v>42440</v>
      </c>
      <c r="J187" s="2">
        <v>42438</v>
      </c>
      <c r="K187" s="2">
        <v>42490</v>
      </c>
      <c r="L187" s="91" t="s">
        <v>31</v>
      </c>
      <c r="M187" s="91">
        <v>30</v>
      </c>
      <c r="P187" s="91">
        <v>0</v>
      </c>
      <c r="Q187" s="3">
        <v>191</v>
      </c>
      <c r="R187" s="3">
        <v>15979.36</v>
      </c>
      <c r="S187" s="91">
        <v>0</v>
      </c>
      <c r="T187" s="91">
        <v>0</v>
      </c>
      <c r="U187" s="91">
        <v>0</v>
      </c>
      <c r="X187" s="91" t="s">
        <v>32</v>
      </c>
      <c r="Y187" s="91" t="s">
        <v>265</v>
      </c>
      <c r="Z187" s="91" t="s">
        <v>266</v>
      </c>
      <c r="AA187" s="91" t="s">
        <v>35</v>
      </c>
      <c r="AD187" s="95" t="s">
        <v>909</v>
      </c>
      <c r="AE187" s="95">
        <f t="shared" si="2"/>
        <v>3</v>
      </c>
    </row>
    <row r="188" spans="1:31" x14ac:dyDescent="0.25">
      <c r="A188" s="91" t="s">
        <v>665</v>
      </c>
      <c r="C188" s="91">
        <v>3</v>
      </c>
      <c r="D188" s="91" t="s">
        <v>666</v>
      </c>
      <c r="E188" s="91" t="s">
        <v>58</v>
      </c>
      <c r="F188" s="91" t="s">
        <v>30</v>
      </c>
      <c r="G188" s="3">
        <v>2630</v>
      </c>
      <c r="H188" s="2">
        <v>42431</v>
      </c>
      <c r="I188" s="2">
        <v>42440</v>
      </c>
      <c r="J188" s="2">
        <v>42437</v>
      </c>
      <c r="K188" s="2">
        <v>42460</v>
      </c>
      <c r="L188" s="91" t="s">
        <v>31</v>
      </c>
      <c r="M188" s="91">
        <v>30</v>
      </c>
      <c r="P188" s="91">
        <v>0</v>
      </c>
      <c r="Q188" s="91">
        <v>48</v>
      </c>
      <c r="R188" s="3">
        <v>2629.2</v>
      </c>
      <c r="S188" s="91">
        <v>0</v>
      </c>
      <c r="T188" s="91">
        <v>0</v>
      </c>
      <c r="U188" s="91">
        <v>0</v>
      </c>
      <c r="X188" s="91" t="s">
        <v>32</v>
      </c>
      <c r="Y188" s="91" t="s">
        <v>402</v>
      </c>
      <c r="Z188" s="91" t="s">
        <v>202</v>
      </c>
      <c r="AA188" s="91" t="s">
        <v>35</v>
      </c>
      <c r="AD188" s="95" t="s">
        <v>909</v>
      </c>
      <c r="AE188" s="95">
        <f t="shared" si="2"/>
        <v>3</v>
      </c>
    </row>
    <row r="189" spans="1:31" x14ac:dyDescent="0.25">
      <c r="A189" s="91" t="s">
        <v>667</v>
      </c>
      <c r="B189" s="91">
        <v>160623</v>
      </c>
      <c r="C189" s="91">
        <v>4</v>
      </c>
      <c r="D189" s="91" t="s">
        <v>668</v>
      </c>
      <c r="E189" s="91" t="s">
        <v>58</v>
      </c>
      <c r="F189" s="91" t="s">
        <v>30</v>
      </c>
      <c r="G189" s="3">
        <v>9280</v>
      </c>
      <c r="H189" s="2">
        <v>42431</v>
      </c>
      <c r="I189" s="2">
        <v>42471</v>
      </c>
      <c r="J189" s="2">
        <v>42440</v>
      </c>
      <c r="K189" s="2"/>
      <c r="L189" s="91" t="s">
        <v>31</v>
      </c>
      <c r="M189" s="91">
        <v>30</v>
      </c>
      <c r="N189" s="91">
        <v>160623</v>
      </c>
      <c r="P189" s="91">
        <v>0</v>
      </c>
      <c r="Q189" s="91">
        <v>100</v>
      </c>
      <c r="R189" s="3">
        <v>9281.1200000000008</v>
      </c>
      <c r="S189" s="91">
        <v>100</v>
      </c>
      <c r="T189" s="3">
        <v>9280</v>
      </c>
      <c r="U189" s="91">
        <v>0</v>
      </c>
      <c r="X189" s="91">
        <v>6000464917</v>
      </c>
      <c r="Y189" s="91" t="s">
        <v>337</v>
      </c>
      <c r="Z189" s="91" t="s">
        <v>202</v>
      </c>
      <c r="AA189" s="91" t="s">
        <v>35</v>
      </c>
      <c r="AD189" s="95" t="s">
        <v>909</v>
      </c>
      <c r="AE189" s="95">
        <f t="shared" si="2"/>
        <v>3</v>
      </c>
    </row>
    <row r="190" spans="1:31" x14ac:dyDescent="0.25">
      <c r="A190" s="91" t="s">
        <v>669</v>
      </c>
      <c r="C190" s="91">
        <v>3</v>
      </c>
      <c r="D190" s="91" t="s">
        <v>670</v>
      </c>
      <c r="E190" s="91" t="s">
        <v>58</v>
      </c>
      <c r="F190" s="91" t="s">
        <v>30</v>
      </c>
      <c r="G190" s="3">
        <v>2915</v>
      </c>
      <c r="H190" s="2">
        <v>42431</v>
      </c>
      <c r="I190" s="2">
        <v>42471</v>
      </c>
      <c r="J190" s="2">
        <v>42447</v>
      </c>
      <c r="K190" s="2">
        <v>42490</v>
      </c>
      <c r="L190" s="91" t="s">
        <v>31</v>
      </c>
      <c r="M190" s="91">
        <v>30</v>
      </c>
      <c r="P190" s="91">
        <v>0</v>
      </c>
      <c r="Q190" s="91">
        <v>50</v>
      </c>
      <c r="R190" s="3">
        <v>2914.57</v>
      </c>
      <c r="S190" s="91">
        <v>0</v>
      </c>
      <c r="T190" s="3">
        <v>0</v>
      </c>
      <c r="U190" s="91">
        <v>0</v>
      </c>
      <c r="X190" s="91">
        <v>6000463552</v>
      </c>
      <c r="Y190" s="91" t="s">
        <v>337</v>
      </c>
      <c r="Z190" s="91" t="s">
        <v>202</v>
      </c>
      <c r="AA190" s="91" t="s">
        <v>35</v>
      </c>
      <c r="AD190" s="95" t="s">
        <v>909</v>
      </c>
      <c r="AE190" s="95">
        <f t="shared" si="2"/>
        <v>3</v>
      </c>
    </row>
    <row r="191" spans="1:31" x14ac:dyDescent="0.25">
      <c r="A191" s="91" t="s">
        <v>671</v>
      </c>
      <c r="C191" s="91">
        <v>3</v>
      </c>
      <c r="D191" s="91" t="s">
        <v>672</v>
      </c>
      <c r="E191" s="91" t="s">
        <v>65</v>
      </c>
      <c r="F191" s="91" t="s">
        <v>66</v>
      </c>
      <c r="G191" s="3">
        <v>149970</v>
      </c>
      <c r="H191" s="2">
        <v>42431</v>
      </c>
      <c r="I191" s="2">
        <v>42445</v>
      </c>
      <c r="J191" s="2">
        <v>42445</v>
      </c>
      <c r="K191" s="2">
        <v>42513</v>
      </c>
      <c r="L191" s="91" t="s">
        <v>31</v>
      </c>
      <c r="M191" s="91">
        <v>0</v>
      </c>
      <c r="P191" s="91">
        <v>0</v>
      </c>
      <c r="Q191" s="91">
        <v>848</v>
      </c>
      <c r="R191" s="3">
        <v>149966.91</v>
      </c>
      <c r="S191" s="91">
        <v>0</v>
      </c>
      <c r="T191" s="91">
        <v>0</v>
      </c>
      <c r="U191" s="91">
        <v>0</v>
      </c>
      <c r="X191" s="91" t="s">
        <v>673</v>
      </c>
      <c r="Y191" s="91" t="s">
        <v>492</v>
      </c>
      <c r="Z191" s="91" t="s">
        <v>129</v>
      </c>
      <c r="AA191" s="91" t="s">
        <v>35</v>
      </c>
      <c r="AD191" s="95" t="s">
        <v>909</v>
      </c>
      <c r="AE191" s="95">
        <f t="shared" si="2"/>
        <v>3</v>
      </c>
    </row>
    <row r="192" spans="1:31" x14ac:dyDescent="0.25">
      <c r="A192" s="91" t="s">
        <v>674</v>
      </c>
      <c r="C192" s="91">
        <v>3</v>
      </c>
      <c r="D192" s="91" t="s">
        <v>675</v>
      </c>
      <c r="E192" s="91" t="s">
        <v>65</v>
      </c>
      <c r="F192" s="91" t="s">
        <v>66</v>
      </c>
      <c r="G192" s="3">
        <v>273559</v>
      </c>
      <c r="H192" s="2">
        <v>42431</v>
      </c>
      <c r="I192" s="2">
        <v>42454</v>
      </c>
      <c r="J192" s="2">
        <v>42454</v>
      </c>
      <c r="K192" s="2">
        <v>42478</v>
      </c>
      <c r="L192" s="91" t="s">
        <v>31</v>
      </c>
      <c r="M192" s="91">
        <v>0</v>
      </c>
      <c r="P192" s="91">
        <v>0</v>
      </c>
      <c r="Q192" s="91">
        <v>0</v>
      </c>
      <c r="R192" s="3">
        <v>0</v>
      </c>
      <c r="S192" s="91">
        <v>0</v>
      </c>
      <c r="T192" s="91">
        <v>0</v>
      </c>
      <c r="U192" s="91">
        <v>0</v>
      </c>
      <c r="X192" s="91" t="s">
        <v>676</v>
      </c>
      <c r="Y192" s="91" t="s">
        <v>677</v>
      </c>
      <c r="Z192" s="91" t="s">
        <v>520</v>
      </c>
      <c r="AA192" s="91" t="s">
        <v>35</v>
      </c>
      <c r="AD192" s="95" t="s">
        <v>909</v>
      </c>
      <c r="AE192" s="95">
        <f t="shared" si="2"/>
        <v>3</v>
      </c>
    </row>
    <row r="193" spans="1:31" x14ac:dyDescent="0.25">
      <c r="A193" s="91" t="s">
        <v>678</v>
      </c>
      <c r="B193" s="91">
        <v>160624</v>
      </c>
      <c r="C193" s="91">
        <v>4</v>
      </c>
      <c r="D193" s="91" t="s">
        <v>679</v>
      </c>
      <c r="E193" s="91" t="s">
        <v>58</v>
      </c>
      <c r="F193" s="91" t="s">
        <v>87</v>
      </c>
      <c r="G193" s="3">
        <v>8500</v>
      </c>
      <c r="H193" s="2">
        <v>42431</v>
      </c>
      <c r="I193" s="2"/>
      <c r="J193" s="2">
        <v>42437</v>
      </c>
      <c r="K193" s="2"/>
      <c r="L193" s="91" t="s">
        <v>31</v>
      </c>
      <c r="M193" s="91">
        <v>0</v>
      </c>
      <c r="N193" s="91">
        <v>160624</v>
      </c>
      <c r="P193" s="91">
        <v>0</v>
      </c>
      <c r="Q193" s="91">
        <v>48</v>
      </c>
      <c r="R193" s="3">
        <v>8603.32</v>
      </c>
      <c r="S193" s="91">
        <v>48</v>
      </c>
      <c r="T193" s="3">
        <v>8500</v>
      </c>
      <c r="U193" s="91">
        <v>4.5</v>
      </c>
      <c r="X193" s="91" t="s">
        <v>680</v>
      </c>
      <c r="Y193" s="91" t="s">
        <v>646</v>
      </c>
      <c r="Z193" s="91" t="s">
        <v>647</v>
      </c>
      <c r="AA193" s="91" t="s">
        <v>35</v>
      </c>
      <c r="AD193" s="95" t="s">
        <v>909</v>
      </c>
      <c r="AE193" s="95">
        <f t="shared" si="2"/>
        <v>3</v>
      </c>
    </row>
    <row r="194" spans="1:31" x14ac:dyDescent="0.25">
      <c r="A194" s="91" t="s">
        <v>681</v>
      </c>
      <c r="C194" s="91">
        <v>3</v>
      </c>
      <c r="D194" s="91" t="s">
        <v>682</v>
      </c>
      <c r="E194" s="91" t="s">
        <v>29</v>
      </c>
      <c r="F194" s="91" t="s">
        <v>364</v>
      </c>
      <c r="G194" s="3">
        <v>6880</v>
      </c>
      <c r="H194" s="2">
        <v>42436</v>
      </c>
      <c r="I194" s="2">
        <v>42440</v>
      </c>
      <c r="J194" s="2">
        <v>42440</v>
      </c>
      <c r="K194" s="2">
        <v>42460</v>
      </c>
      <c r="L194" s="91" t="s">
        <v>31</v>
      </c>
      <c r="M194" s="91">
        <v>80</v>
      </c>
      <c r="P194" s="91">
        <v>0</v>
      </c>
      <c r="Q194" s="91">
        <v>0</v>
      </c>
      <c r="R194" s="91">
        <v>0</v>
      </c>
      <c r="S194" s="91">
        <v>0</v>
      </c>
      <c r="T194" s="91">
        <v>0</v>
      </c>
      <c r="U194" s="91">
        <v>0</v>
      </c>
      <c r="X194" s="91" t="s">
        <v>365</v>
      </c>
      <c r="Y194" s="91" t="s">
        <v>683</v>
      </c>
      <c r="Z194" s="91" t="s">
        <v>367</v>
      </c>
      <c r="AA194" s="91" t="s">
        <v>35</v>
      </c>
      <c r="AD194" s="95" t="s">
        <v>909</v>
      </c>
      <c r="AE194" s="95">
        <f t="shared" si="2"/>
        <v>3</v>
      </c>
    </row>
    <row r="195" spans="1:31" x14ac:dyDescent="0.25">
      <c r="A195" s="91" t="s">
        <v>684</v>
      </c>
      <c r="C195" s="91">
        <v>3</v>
      </c>
      <c r="D195" s="91" t="s">
        <v>685</v>
      </c>
      <c r="E195" s="91" t="s">
        <v>65</v>
      </c>
      <c r="F195" s="91" t="s">
        <v>80</v>
      </c>
      <c r="G195" s="3">
        <v>14900</v>
      </c>
      <c r="H195" s="2">
        <v>42436</v>
      </c>
      <c r="I195" s="2">
        <v>42436</v>
      </c>
      <c r="J195" s="2">
        <v>42436</v>
      </c>
      <c r="K195" s="2">
        <v>42521</v>
      </c>
      <c r="L195" s="91" t="s">
        <v>31</v>
      </c>
      <c r="M195" s="91">
        <v>25</v>
      </c>
      <c r="P195" s="91">
        <v>0</v>
      </c>
      <c r="Q195" s="91">
        <v>0</v>
      </c>
      <c r="R195" s="91">
        <v>0</v>
      </c>
      <c r="S195" s="91">
        <v>0</v>
      </c>
      <c r="T195" s="91">
        <v>0</v>
      </c>
      <c r="U195" s="91">
        <v>0</v>
      </c>
      <c r="V195" s="2"/>
      <c r="W195" s="2"/>
      <c r="Y195" s="91" t="s">
        <v>686</v>
      </c>
      <c r="Z195" s="91" t="s">
        <v>687</v>
      </c>
      <c r="AA195" s="91" t="s">
        <v>35</v>
      </c>
      <c r="AD195" s="95" t="s">
        <v>909</v>
      </c>
      <c r="AE195" s="95">
        <f t="shared" ref="AE195:AE258" si="3">MONTH(H195)</f>
        <v>3</v>
      </c>
    </row>
    <row r="196" spans="1:31" x14ac:dyDescent="0.25">
      <c r="A196" s="91" t="s">
        <v>688</v>
      </c>
      <c r="B196" s="91">
        <v>164235</v>
      </c>
      <c r="C196" s="91">
        <v>4</v>
      </c>
      <c r="D196" s="91" t="s">
        <v>689</v>
      </c>
      <c r="E196" s="91" t="s">
        <v>29</v>
      </c>
      <c r="F196" s="91" t="s">
        <v>38</v>
      </c>
      <c r="G196" s="3">
        <v>3560</v>
      </c>
      <c r="H196" s="2">
        <v>42436</v>
      </c>
      <c r="I196" s="2"/>
      <c r="J196" s="2">
        <v>42436</v>
      </c>
      <c r="K196" s="2"/>
      <c r="L196" s="91" t="s">
        <v>31</v>
      </c>
      <c r="M196" s="91">
        <v>0</v>
      </c>
      <c r="N196" s="91">
        <v>164235</v>
      </c>
      <c r="P196" s="91">
        <v>0</v>
      </c>
      <c r="Q196" s="91">
        <v>4</v>
      </c>
      <c r="R196" s="3">
        <v>3560.82</v>
      </c>
      <c r="S196" s="91">
        <v>4</v>
      </c>
      <c r="T196" s="3">
        <v>3560</v>
      </c>
      <c r="U196" s="91">
        <v>1</v>
      </c>
      <c r="X196" s="91" t="s">
        <v>690</v>
      </c>
      <c r="Y196" s="91" t="s">
        <v>155</v>
      </c>
      <c r="Z196" s="91" t="s">
        <v>34</v>
      </c>
      <c r="AA196" s="91" t="s">
        <v>35</v>
      </c>
      <c r="AD196" s="95" t="s">
        <v>909</v>
      </c>
      <c r="AE196" s="95">
        <f t="shared" si="3"/>
        <v>3</v>
      </c>
    </row>
    <row r="197" spans="1:31" x14ac:dyDescent="0.25">
      <c r="A197" s="91" t="s">
        <v>691</v>
      </c>
      <c r="C197" s="91">
        <v>3</v>
      </c>
      <c r="D197" s="91" t="s">
        <v>692</v>
      </c>
      <c r="E197" s="91" t="s">
        <v>29</v>
      </c>
      <c r="F197" s="91" t="s">
        <v>30</v>
      </c>
      <c r="G197" s="3">
        <v>6300</v>
      </c>
      <c r="H197" s="2">
        <v>42437</v>
      </c>
      <c r="I197" s="2">
        <v>42447</v>
      </c>
      <c r="J197" s="2">
        <v>42441</v>
      </c>
      <c r="K197" s="2">
        <v>42490</v>
      </c>
      <c r="L197" s="91" t="s">
        <v>31</v>
      </c>
      <c r="M197" s="91">
        <v>30</v>
      </c>
      <c r="P197" s="91">
        <v>0</v>
      </c>
      <c r="Q197" s="91">
        <v>109</v>
      </c>
      <c r="R197" s="3">
        <v>6624.94</v>
      </c>
      <c r="S197" s="91">
        <v>0</v>
      </c>
      <c r="T197" s="91">
        <v>0</v>
      </c>
      <c r="U197" s="91">
        <v>0</v>
      </c>
      <c r="X197" s="91">
        <v>2036257</v>
      </c>
      <c r="Y197" s="91" t="s">
        <v>33</v>
      </c>
      <c r="Z197" s="91" t="s">
        <v>34</v>
      </c>
      <c r="AA197" s="91" t="s">
        <v>35</v>
      </c>
      <c r="AD197" s="95" t="s">
        <v>909</v>
      </c>
      <c r="AE197" s="95">
        <f t="shared" si="3"/>
        <v>3</v>
      </c>
    </row>
    <row r="198" spans="1:31" x14ac:dyDescent="0.25">
      <c r="A198" s="91" t="s">
        <v>693</v>
      </c>
      <c r="C198" s="91">
        <v>3</v>
      </c>
      <c r="D198" s="91" t="s">
        <v>694</v>
      </c>
      <c r="E198" s="91" t="s">
        <v>29</v>
      </c>
      <c r="F198" s="91" t="s">
        <v>308</v>
      </c>
      <c r="G198" s="3">
        <v>627228</v>
      </c>
      <c r="H198" s="2">
        <v>42437</v>
      </c>
      <c r="I198" s="2">
        <v>42460</v>
      </c>
      <c r="J198" s="2">
        <v>42460</v>
      </c>
      <c r="K198" s="2">
        <v>42552</v>
      </c>
      <c r="L198" s="91" t="s">
        <v>31</v>
      </c>
      <c r="M198" s="91">
        <v>80</v>
      </c>
      <c r="P198" s="91">
        <v>0</v>
      </c>
      <c r="Q198" s="3">
        <v>4824</v>
      </c>
      <c r="R198" s="3">
        <v>617410.54</v>
      </c>
      <c r="S198" s="91">
        <v>0</v>
      </c>
      <c r="T198" s="91">
        <v>0</v>
      </c>
      <c r="U198" s="91">
        <v>0</v>
      </c>
      <c r="Y198" s="91" t="s">
        <v>48</v>
      </c>
      <c r="Z198" s="91" t="s">
        <v>34</v>
      </c>
      <c r="AA198" s="91" t="s">
        <v>35</v>
      </c>
      <c r="AD198" s="95" t="s">
        <v>909</v>
      </c>
      <c r="AE198" s="95">
        <f t="shared" si="3"/>
        <v>3</v>
      </c>
    </row>
    <row r="199" spans="1:31" x14ac:dyDescent="0.25">
      <c r="A199" s="91" t="s">
        <v>695</v>
      </c>
      <c r="C199" s="91">
        <v>3</v>
      </c>
      <c r="D199" s="91" t="s">
        <v>696</v>
      </c>
      <c r="E199" s="91" t="s">
        <v>65</v>
      </c>
      <c r="F199" s="91" t="s">
        <v>80</v>
      </c>
      <c r="G199" s="3">
        <v>11350</v>
      </c>
      <c r="H199" s="2">
        <v>42437</v>
      </c>
      <c r="I199" s="2">
        <v>42440</v>
      </c>
      <c r="J199" s="2">
        <v>42438</v>
      </c>
      <c r="K199" s="2">
        <v>42461</v>
      </c>
      <c r="L199" s="91" t="s">
        <v>31</v>
      </c>
      <c r="M199" s="91">
        <v>30</v>
      </c>
      <c r="P199" s="91">
        <v>0</v>
      </c>
      <c r="Q199" s="91">
        <v>104</v>
      </c>
      <c r="R199" s="3">
        <v>11299.74</v>
      </c>
      <c r="S199" s="91">
        <v>0</v>
      </c>
      <c r="T199" s="91">
        <v>0</v>
      </c>
      <c r="U199" s="91">
        <v>0</v>
      </c>
      <c r="X199" s="91" t="s">
        <v>81</v>
      </c>
      <c r="Y199" s="91" t="s">
        <v>234</v>
      </c>
      <c r="Z199" s="91" t="s">
        <v>235</v>
      </c>
      <c r="AA199" s="91" t="s">
        <v>35</v>
      </c>
      <c r="AD199" s="95" t="s">
        <v>909</v>
      </c>
      <c r="AE199" s="95">
        <f t="shared" si="3"/>
        <v>3</v>
      </c>
    </row>
    <row r="200" spans="1:31" x14ac:dyDescent="0.25">
      <c r="A200" s="91" t="s">
        <v>697</v>
      </c>
      <c r="B200" s="91">
        <v>160017</v>
      </c>
      <c r="C200" s="91">
        <v>4</v>
      </c>
      <c r="D200" s="91" t="s">
        <v>698</v>
      </c>
      <c r="E200" s="91" t="s">
        <v>65</v>
      </c>
      <c r="F200" s="91" t="s">
        <v>80</v>
      </c>
      <c r="G200" s="3">
        <v>5760</v>
      </c>
      <c r="H200" s="2">
        <v>42437</v>
      </c>
      <c r="I200" s="2">
        <v>42447</v>
      </c>
      <c r="J200" s="2">
        <v>42447</v>
      </c>
      <c r="K200" s="2">
        <v>42552</v>
      </c>
      <c r="L200" s="91" t="s">
        <v>31</v>
      </c>
      <c r="M200" s="91">
        <v>30</v>
      </c>
      <c r="N200" s="91">
        <v>160017</v>
      </c>
      <c r="P200" s="91">
        <v>0</v>
      </c>
      <c r="Q200" s="91">
        <v>96</v>
      </c>
      <c r="R200" s="3">
        <v>5759.01</v>
      </c>
      <c r="S200" s="91">
        <v>96</v>
      </c>
      <c r="T200" s="3">
        <v>5760</v>
      </c>
      <c r="U200" s="91">
        <v>0</v>
      </c>
      <c r="X200" s="91" t="s">
        <v>699</v>
      </c>
      <c r="Y200" s="91" t="s">
        <v>700</v>
      </c>
      <c r="Z200" s="91" t="s">
        <v>235</v>
      </c>
      <c r="AA200" s="91" t="s">
        <v>35</v>
      </c>
      <c r="AD200" s="95" t="s">
        <v>909</v>
      </c>
      <c r="AE200" s="95">
        <f t="shared" si="3"/>
        <v>3</v>
      </c>
    </row>
    <row r="201" spans="1:31" x14ac:dyDescent="0.25">
      <c r="A201" s="91" t="s">
        <v>701</v>
      </c>
      <c r="B201" s="91">
        <v>164234</v>
      </c>
      <c r="C201" s="91">
        <v>4</v>
      </c>
      <c r="D201" s="91" t="s">
        <v>702</v>
      </c>
      <c r="E201" s="91" t="s">
        <v>29</v>
      </c>
      <c r="F201" s="91" t="s">
        <v>38</v>
      </c>
      <c r="G201" s="3">
        <v>5250</v>
      </c>
      <c r="H201" s="2">
        <v>42437</v>
      </c>
      <c r="I201" s="2"/>
      <c r="J201" s="2">
        <v>42435</v>
      </c>
      <c r="K201" s="2"/>
      <c r="L201" s="91" t="s">
        <v>31</v>
      </c>
      <c r="M201" s="91">
        <v>50</v>
      </c>
      <c r="N201" s="91">
        <v>164234</v>
      </c>
      <c r="P201" s="91">
        <v>0</v>
      </c>
      <c r="Q201" s="91">
        <v>120</v>
      </c>
      <c r="R201" s="3">
        <v>6170.16</v>
      </c>
      <c r="S201" s="91">
        <v>104</v>
      </c>
      <c r="T201" s="3">
        <v>5250</v>
      </c>
      <c r="U201" s="91">
        <v>33.5</v>
      </c>
      <c r="V201" s="2">
        <v>42464</v>
      </c>
      <c r="W201" s="2">
        <v>42472</v>
      </c>
      <c r="X201" s="91" t="s">
        <v>703</v>
      </c>
      <c r="Y201" s="91" t="s">
        <v>163</v>
      </c>
      <c r="Z201" s="91" t="s">
        <v>34</v>
      </c>
      <c r="AA201" s="91" t="s">
        <v>35</v>
      </c>
      <c r="AD201" s="95" t="s">
        <v>909</v>
      </c>
      <c r="AE201" s="95">
        <f t="shared" si="3"/>
        <v>3</v>
      </c>
    </row>
    <row r="202" spans="1:31" x14ac:dyDescent="0.25">
      <c r="A202" s="91" t="s">
        <v>704</v>
      </c>
      <c r="B202" s="91">
        <v>164236</v>
      </c>
      <c r="C202" s="91">
        <v>4</v>
      </c>
      <c r="D202" s="91" t="s">
        <v>705</v>
      </c>
      <c r="E202" s="91" t="s">
        <v>29</v>
      </c>
      <c r="F202" s="91" t="s">
        <v>38</v>
      </c>
      <c r="G202" s="3">
        <v>575</v>
      </c>
      <c r="H202" s="2">
        <v>42437</v>
      </c>
      <c r="I202" s="2"/>
      <c r="J202" s="2">
        <v>42435</v>
      </c>
      <c r="K202" s="2"/>
      <c r="L202" s="91" t="s">
        <v>31</v>
      </c>
      <c r="M202" s="91">
        <v>50</v>
      </c>
      <c r="N202" s="91">
        <v>164236</v>
      </c>
      <c r="P202" s="91">
        <v>0</v>
      </c>
      <c r="Q202" s="91">
        <v>2</v>
      </c>
      <c r="R202" s="91">
        <v>574.87</v>
      </c>
      <c r="S202" s="91">
        <v>2</v>
      </c>
      <c r="T202" s="91">
        <v>575</v>
      </c>
      <c r="U202" s="91">
        <v>2</v>
      </c>
      <c r="V202" s="2">
        <v>42468</v>
      </c>
      <c r="W202" s="2">
        <v>42468</v>
      </c>
      <c r="X202" s="91" t="s">
        <v>706</v>
      </c>
      <c r="Y202" s="91" t="s">
        <v>48</v>
      </c>
      <c r="Z202" s="91" t="s">
        <v>34</v>
      </c>
      <c r="AA202" s="91" t="s">
        <v>35</v>
      </c>
      <c r="AD202" s="95" t="s">
        <v>909</v>
      </c>
      <c r="AE202" s="95">
        <f t="shared" si="3"/>
        <v>3</v>
      </c>
    </row>
    <row r="203" spans="1:31" x14ac:dyDescent="0.25">
      <c r="A203" s="91" t="s">
        <v>707</v>
      </c>
      <c r="C203" s="91">
        <v>3</v>
      </c>
      <c r="D203" s="91" t="s">
        <v>708</v>
      </c>
      <c r="E203" s="91" t="s">
        <v>51</v>
      </c>
      <c r="F203" s="91" t="s">
        <v>52</v>
      </c>
      <c r="G203" s="3">
        <v>24700</v>
      </c>
      <c r="H203" s="2">
        <v>42437</v>
      </c>
      <c r="I203" s="2">
        <v>42438</v>
      </c>
      <c r="J203" s="2">
        <v>42438</v>
      </c>
      <c r="K203" s="2">
        <v>42461</v>
      </c>
      <c r="L203" s="91" t="s">
        <v>31</v>
      </c>
      <c r="M203" s="91">
        <v>20</v>
      </c>
      <c r="P203" s="91">
        <v>0</v>
      </c>
      <c r="Q203" s="91">
        <v>150</v>
      </c>
      <c r="R203" s="3">
        <v>24700.62</v>
      </c>
      <c r="S203" s="91">
        <v>0</v>
      </c>
      <c r="T203" s="91">
        <v>0</v>
      </c>
      <c r="U203" s="91">
        <v>0</v>
      </c>
      <c r="V203" s="2"/>
      <c r="W203" s="2"/>
      <c r="X203" s="91" t="s">
        <v>316</v>
      </c>
      <c r="Y203" s="91" t="s">
        <v>354</v>
      </c>
      <c r="Z203" s="91" t="s">
        <v>55</v>
      </c>
      <c r="AA203" s="91" t="s">
        <v>35</v>
      </c>
      <c r="AD203" s="95" t="s">
        <v>909</v>
      </c>
      <c r="AE203" s="95">
        <f t="shared" si="3"/>
        <v>3</v>
      </c>
    </row>
    <row r="204" spans="1:31" x14ac:dyDescent="0.25">
      <c r="A204" s="91" t="s">
        <v>709</v>
      </c>
      <c r="B204" s="91">
        <v>160014</v>
      </c>
      <c r="C204" s="91">
        <v>4</v>
      </c>
      <c r="D204" s="91" t="s">
        <v>710</v>
      </c>
      <c r="E204" s="91" t="s">
        <v>65</v>
      </c>
      <c r="F204" s="91" t="s">
        <v>80</v>
      </c>
      <c r="G204" s="3">
        <v>960</v>
      </c>
      <c r="H204" s="2">
        <v>42437</v>
      </c>
      <c r="I204" s="2">
        <v>42437</v>
      </c>
      <c r="J204" s="2">
        <v>42437</v>
      </c>
      <c r="K204" s="2">
        <v>42444</v>
      </c>
      <c r="L204" s="91" t="s">
        <v>31</v>
      </c>
      <c r="M204" s="91">
        <v>100</v>
      </c>
      <c r="N204" s="91">
        <v>160014</v>
      </c>
      <c r="P204" s="91">
        <v>0</v>
      </c>
      <c r="Q204" s="91">
        <v>1</v>
      </c>
      <c r="R204" s="3">
        <v>958</v>
      </c>
      <c r="S204" s="91">
        <v>1</v>
      </c>
      <c r="T204" s="91">
        <v>960</v>
      </c>
      <c r="U204" s="91">
        <v>0.5</v>
      </c>
      <c r="X204" s="91" t="s">
        <v>81</v>
      </c>
      <c r="Y204" s="91" t="s">
        <v>711</v>
      </c>
      <c r="Z204" s="91" t="s">
        <v>712</v>
      </c>
      <c r="AA204" s="91" t="s">
        <v>35</v>
      </c>
      <c r="AD204" s="95" t="s">
        <v>909</v>
      </c>
      <c r="AE204" s="95">
        <f t="shared" si="3"/>
        <v>3</v>
      </c>
    </row>
    <row r="205" spans="1:31" x14ac:dyDescent="0.25">
      <c r="A205" s="91" t="s">
        <v>713</v>
      </c>
      <c r="C205" s="91">
        <v>1</v>
      </c>
      <c r="D205" s="91" t="s">
        <v>714</v>
      </c>
      <c r="E205" s="91" t="s">
        <v>29</v>
      </c>
      <c r="F205" s="91" t="s">
        <v>364</v>
      </c>
      <c r="G205" s="3">
        <v>0</v>
      </c>
      <c r="H205" s="2">
        <v>42437</v>
      </c>
      <c r="I205" s="2">
        <v>42449</v>
      </c>
      <c r="J205" s="2"/>
      <c r="K205" s="2">
        <v>42461</v>
      </c>
      <c r="L205" s="91" t="s">
        <v>31</v>
      </c>
      <c r="M205" s="91">
        <v>50</v>
      </c>
      <c r="P205" s="91">
        <v>0</v>
      </c>
      <c r="Q205" s="91">
        <v>0</v>
      </c>
      <c r="R205" s="3">
        <v>0</v>
      </c>
      <c r="S205" s="91">
        <v>0</v>
      </c>
      <c r="T205" s="91">
        <v>0</v>
      </c>
      <c r="U205" s="91">
        <v>0</v>
      </c>
      <c r="X205" s="91" t="s">
        <v>715</v>
      </c>
      <c r="Y205" s="91" t="s">
        <v>366</v>
      </c>
      <c r="Z205" s="91" t="s">
        <v>367</v>
      </c>
      <c r="AA205" s="91" t="s">
        <v>35</v>
      </c>
      <c r="AD205" s="95" t="s">
        <v>909</v>
      </c>
      <c r="AE205" s="95">
        <f t="shared" si="3"/>
        <v>3</v>
      </c>
    </row>
    <row r="206" spans="1:31" x14ac:dyDescent="0.25">
      <c r="A206" s="91" t="s">
        <v>716</v>
      </c>
      <c r="C206" s="91">
        <v>1</v>
      </c>
      <c r="D206" s="91" t="s">
        <v>717</v>
      </c>
      <c r="E206" s="91" t="s">
        <v>29</v>
      </c>
      <c r="F206" s="91" t="s">
        <v>364</v>
      </c>
      <c r="G206" s="3">
        <v>0</v>
      </c>
      <c r="H206" s="2">
        <v>42437</v>
      </c>
      <c r="I206" s="2">
        <v>42459</v>
      </c>
      <c r="J206" s="2"/>
      <c r="K206" s="2">
        <v>42460</v>
      </c>
      <c r="L206" s="91" t="s">
        <v>31</v>
      </c>
      <c r="M206" s="91">
        <v>50</v>
      </c>
      <c r="P206" s="91">
        <v>0</v>
      </c>
      <c r="Q206" s="91">
        <v>0</v>
      </c>
      <c r="R206" s="3">
        <v>0</v>
      </c>
      <c r="S206" s="91">
        <v>0</v>
      </c>
      <c r="T206" s="91">
        <v>0</v>
      </c>
      <c r="U206" s="91">
        <v>0</v>
      </c>
      <c r="X206" s="91" t="s">
        <v>718</v>
      </c>
      <c r="Y206" s="91" t="s">
        <v>719</v>
      </c>
      <c r="Z206" s="91" t="s">
        <v>367</v>
      </c>
      <c r="AA206" s="91" t="s">
        <v>35</v>
      </c>
      <c r="AD206" s="95" t="s">
        <v>909</v>
      </c>
      <c r="AE206" s="95">
        <f t="shared" si="3"/>
        <v>3</v>
      </c>
    </row>
    <row r="207" spans="1:31" x14ac:dyDescent="0.25">
      <c r="A207" s="91" t="s">
        <v>720</v>
      </c>
      <c r="B207" s="91">
        <v>160267</v>
      </c>
      <c r="C207" s="91">
        <v>4</v>
      </c>
      <c r="D207" s="91" t="s">
        <v>721</v>
      </c>
      <c r="E207" s="91" t="s">
        <v>29</v>
      </c>
      <c r="F207" s="91" t="s">
        <v>364</v>
      </c>
      <c r="G207" s="91">
        <v>820</v>
      </c>
      <c r="H207" s="2">
        <v>42437</v>
      </c>
      <c r="I207" s="2">
        <v>42449</v>
      </c>
      <c r="J207" s="2">
        <v>42446</v>
      </c>
      <c r="K207" s="2">
        <v>42460</v>
      </c>
      <c r="L207" s="91" t="s">
        <v>31</v>
      </c>
      <c r="M207" s="91">
        <v>80</v>
      </c>
      <c r="N207" s="91">
        <v>160267</v>
      </c>
      <c r="P207" s="91">
        <v>0</v>
      </c>
      <c r="Q207" s="91">
        <v>16</v>
      </c>
      <c r="R207" s="91">
        <v>819.22</v>
      </c>
      <c r="S207" s="91">
        <v>16</v>
      </c>
      <c r="T207" s="91">
        <v>820</v>
      </c>
      <c r="U207" s="91">
        <v>18</v>
      </c>
      <c r="V207" s="2">
        <v>42460</v>
      </c>
      <c r="W207" s="2">
        <v>42460</v>
      </c>
      <c r="X207" s="91" t="s">
        <v>722</v>
      </c>
      <c r="Y207" s="91" t="s">
        <v>719</v>
      </c>
      <c r="Z207" s="91" t="s">
        <v>367</v>
      </c>
      <c r="AA207" s="91" t="s">
        <v>35</v>
      </c>
      <c r="AD207" s="95" t="s">
        <v>909</v>
      </c>
      <c r="AE207" s="95">
        <f t="shared" si="3"/>
        <v>3</v>
      </c>
    </row>
    <row r="208" spans="1:31" x14ac:dyDescent="0.25">
      <c r="A208" s="91" t="s">
        <v>723</v>
      </c>
      <c r="C208" s="91">
        <v>1</v>
      </c>
      <c r="D208" s="91" t="s">
        <v>724</v>
      </c>
      <c r="E208" s="91" t="s">
        <v>29</v>
      </c>
      <c r="F208" s="91" t="s">
        <v>364</v>
      </c>
      <c r="G208" s="3">
        <v>0</v>
      </c>
      <c r="H208" s="2">
        <v>42437</v>
      </c>
      <c r="I208" s="2">
        <v>42449</v>
      </c>
      <c r="J208" s="2"/>
      <c r="K208" s="2">
        <v>42460</v>
      </c>
      <c r="L208" s="91" t="s">
        <v>31</v>
      </c>
      <c r="M208" s="91">
        <v>80</v>
      </c>
      <c r="P208" s="91">
        <v>0</v>
      </c>
      <c r="Q208" s="91">
        <v>0</v>
      </c>
      <c r="R208" s="3">
        <v>0</v>
      </c>
      <c r="S208" s="91">
        <v>0</v>
      </c>
      <c r="T208" s="91">
        <v>0</v>
      </c>
      <c r="U208" s="91">
        <v>0</v>
      </c>
      <c r="X208" s="91" t="s">
        <v>718</v>
      </c>
      <c r="Y208" s="91" t="s">
        <v>719</v>
      </c>
      <c r="Z208" s="91" t="s">
        <v>367</v>
      </c>
      <c r="AA208" s="91" t="s">
        <v>35</v>
      </c>
      <c r="AD208" s="95" t="s">
        <v>909</v>
      </c>
      <c r="AE208" s="95">
        <f t="shared" si="3"/>
        <v>3</v>
      </c>
    </row>
    <row r="209" spans="1:31" x14ac:dyDescent="0.25">
      <c r="A209" s="91" t="s">
        <v>725</v>
      </c>
      <c r="C209" s="91">
        <v>3</v>
      </c>
      <c r="D209" s="91" t="s">
        <v>726</v>
      </c>
      <c r="E209" s="91" t="s">
        <v>51</v>
      </c>
      <c r="F209" s="91" t="s">
        <v>52</v>
      </c>
      <c r="G209" s="3">
        <v>21900</v>
      </c>
      <c r="H209" s="2">
        <v>42437</v>
      </c>
      <c r="I209" s="2">
        <v>42438</v>
      </c>
      <c r="J209" s="2">
        <v>42438</v>
      </c>
      <c r="K209" s="2">
        <v>42491</v>
      </c>
      <c r="L209" s="91" t="s">
        <v>31</v>
      </c>
      <c r="M209" s="91">
        <v>15</v>
      </c>
      <c r="P209" s="91">
        <v>0</v>
      </c>
      <c r="Q209" s="3">
        <v>196</v>
      </c>
      <c r="R209" s="3">
        <v>20827.689999999999</v>
      </c>
      <c r="S209" s="91">
        <v>0</v>
      </c>
      <c r="T209" s="91">
        <v>0</v>
      </c>
      <c r="U209" s="91">
        <v>0</v>
      </c>
      <c r="X209" s="91" t="s">
        <v>316</v>
      </c>
      <c r="Y209" s="91" t="s">
        <v>77</v>
      </c>
      <c r="Z209" s="91" t="s">
        <v>55</v>
      </c>
      <c r="AA209" s="91" t="s">
        <v>35</v>
      </c>
      <c r="AD209" s="95" t="s">
        <v>909</v>
      </c>
      <c r="AE209" s="95">
        <f t="shared" si="3"/>
        <v>3</v>
      </c>
    </row>
    <row r="210" spans="1:31" x14ac:dyDescent="0.25">
      <c r="A210" s="91" t="s">
        <v>727</v>
      </c>
      <c r="C210" s="91">
        <v>3</v>
      </c>
      <c r="D210" s="91" t="s">
        <v>728</v>
      </c>
      <c r="E210" s="91" t="s">
        <v>65</v>
      </c>
      <c r="F210" s="91" t="s">
        <v>80</v>
      </c>
      <c r="G210" s="3">
        <v>32400</v>
      </c>
      <c r="H210" s="2">
        <v>42438</v>
      </c>
      <c r="I210" s="2">
        <v>42445</v>
      </c>
      <c r="J210" s="2">
        <v>42445</v>
      </c>
      <c r="K210" s="2">
        <v>42461</v>
      </c>
      <c r="L210" s="91" t="s">
        <v>31</v>
      </c>
      <c r="M210" s="91">
        <v>30</v>
      </c>
      <c r="P210" s="91">
        <v>0</v>
      </c>
      <c r="Q210" s="91">
        <v>339</v>
      </c>
      <c r="R210" s="3">
        <v>32399.38</v>
      </c>
      <c r="S210" s="91">
        <v>0</v>
      </c>
      <c r="T210" s="91">
        <v>0</v>
      </c>
      <c r="U210" s="91">
        <v>0</v>
      </c>
      <c r="V210" s="2"/>
      <c r="W210" s="2"/>
      <c r="X210" s="91" t="s">
        <v>81</v>
      </c>
      <c r="Y210" s="91" t="s">
        <v>729</v>
      </c>
      <c r="Z210" s="91" t="s">
        <v>520</v>
      </c>
      <c r="AA210" s="91" t="s">
        <v>35</v>
      </c>
      <c r="AD210" s="95" t="s">
        <v>909</v>
      </c>
      <c r="AE210" s="95">
        <f t="shared" si="3"/>
        <v>3</v>
      </c>
    </row>
    <row r="211" spans="1:31" x14ac:dyDescent="0.25">
      <c r="A211" s="91" t="s">
        <v>730</v>
      </c>
      <c r="C211" s="91">
        <v>2</v>
      </c>
      <c r="D211" s="91" t="s">
        <v>731</v>
      </c>
      <c r="E211" s="91" t="s">
        <v>58</v>
      </c>
      <c r="F211" s="91" t="s">
        <v>87</v>
      </c>
      <c r="G211" s="3">
        <v>0</v>
      </c>
      <c r="H211" s="2">
        <v>42438</v>
      </c>
      <c r="I211" s="2">
        <v>42468</v>
      </c>
      <c r="J211" s="2"/>
      <c r="K211" s="2"/>
      <c r="L211" s="91" t="s">
        <v>31</v>
      </c>
      <c r="M211" s="91">
        <v>0</v>
      </c>
      <c r="P211" s="91">
        <v>0</v>
      </c>
      <c r="Q211" s="91">
        <v>0</v>
      </c>
      <c r="R211" s="3">
        <v>0</v>
      </c>
      <c r="S211" s="91">
        <v>0</v>
      </c>
      <c r="T211" s="3">
        <v>0</v>
      </c>
      <c r="U211" s="91">
        <v>0</v>
      </c>
      <c r="V211" s="2"/>
      <c r="W211" s="2"/>
      <c r="X211" s="91" t="s">
        <v>732</v>
      </c>
      <c r="Y211" s="91" t="s">
        <v>276</v>
      </c>
      <c r="Z211" s="91" t="s">
        <v>277</v>
      </c>
      <c r="AA211" s="91" t="s">
        <v>35</v>
      </c>
      <c r="AD211" s="95" t="s">
        <v>909</v>
      </c>
      <c r="AE211" s="95">
        <f t="shared" si="3"/>
        <v>3</v>
      </c>
    </row>
    <row r="212" spans="1:31" x14ac:dyDescent="0.25">
      <c r="A212" s="91" t="s">
        <v>733</v>
      </c>
      <c r="C212" s="91">
        <v>1</v>
      </c>
      <c r="D212" s="91" t="s">
        <v>734</v>
      </c>
      <c r="E212" s="91" t="s">
        <v>58</v>
      </c>
      <c r="F212" s="91" t="s">
        <v>59</v>
      </c>
      <c r="G212" s="3">
        <v>0</v>
      </c>
      <c r="H212" s="2">
        <v>42439</v>
      </c>
      <c r="I212" s="2"/>
      <c r="J212" s="2"/>
      <c r="K212" s="2"/>
      <c r="L212" s="91" t="s">
        <v>31</v>
      </c>
      <c r="M212" s="91">
        <v>0</v>
      </c>
      <c r="P212" s="91">
        <v>0</v>
      </c>
      <c r="Q212" s="91">
        <v>0</v>
      </c>
      <c r="R212" s="3">
        <v>0</v>
      </c>
      <c r="S212" s="91">
        <v>0</v>
      </c>
      <c r="T212" s="91">
        <v>0</v>
      </c>
      <c r="U212" s="91">
        <v>0</v>
      </c>
      <c r="X212" s="91" t="s">
        <v>735</v>
      </c>
      <c r="Y212" s="91" t="s">
        <v>736</v>
      </c>
      <c r="Z212" s="91" t="s">
        <v>737</v>
      </c>
      <c r="AA212" s="91" t="s">
        <v>35</v>
      </c>
      <c r="AD212" s="95" t="s">
        <v>909</v>
      </c>
      <c r="AE212" s="95">
        <f t="shared" si="3"/>
        <v>3</v>
      </c>
    </row>
    <row r="213" spans="1:31" x14ac:dyDescent="0.25">
      <c r="A213" s="91" t="s">
        <v>738</v>
      </c>
      <c r="C213" s="91">
        <v>1</v>
      </c>
      <c r="D213" s="91" t="s">
        <v>739</v>
      </c>
      <c r="E213" s="91" t="s">
        <v>51</v>
      </c>
      <c r="F213" s="91" t="s">
        <v>740</v>
      </c>
      <c r="G213" s="3">
        <v>100000</v>
      </c>
      <c r="H213" s="2">
        <v>42439</v>
      </c>
      <c r="I213" s="2">
        <v>42490</v>
      </c>
      <c r="J213" s="2"/>
      <c r="K213" s="2">
        <v>42475</v>
      </c>
      <c r="L213" s="91" t="s">
        <v>31</v>
      </c>
      <c r="M213" s="91">
        <v>10</v>
      </c>
      <c r="P213" s="91">
        <v>0</v>
      </c>
      <c r="Q213" s="91">
        <v>0</v>
      </c>
      <c r="R213" s="3">
        <v>0</v>
      </c>
      <c r="S213" s="91">
        <v>0</v>
      </c>
      <c r="T213" s="3">
        <v>0</v>
      </c>
      <c r="U213" s="91">
        <v>0</v>
      </c>
      <c r="X213" s="91" t="s">
        <v>316</v>
      </c>
      <c r="Y213" s="91" t="s">
        <v>354</v>
      </c>
      <c r="Z213" s="91" t="s">
        <v>55</v>
      </c>
      <c r="AA213" s="91" t="s">
        <v>35</v>
      </c>
      <c r="AD213" s="95" t="s">
        <v>909</v>
      </c>
      <c r="AE213" s="95">
        <f t="shared" si="3"/>
        <v>3</v>
      </c>
    </row>
    <row r="214" spans="1:31" x14ac:dyDescent="0.25">
      <c r="A214" s="91" t="s">
        <v>741</v>
      </c>
      <c r="C214" s="91">
        <v>3</v>
      </c>
      <c r="D214" s="91" t="s">
        <v>742</v>
      </c>
      <c r="E214" s="91" t="s">
        <v>58</v>
      </c>
      <c r="F214" s="91" t="s">
        <v>30</v>
      </c>
      <c r="G214" s="3">
        <v>32140</v>
      </c>
      <c r="H214" s="2">
        <v>42440</v>
      </c>
      <c r="I214" s="2">
        <v>42468</v>
      </c>
      <c r="J214" s="2">
        <v>42472</v>
      </c>
      <c r="K214" s="2">
        <v>42552</v>
      </c>
      <c r="L214" s="91" t="s">
        <v>31</v>
      </c>
      <c r="M214" s="91">
        <v>25</v>
      </c>
      <c r="P214" s="91">
        <v>0</v>
      </c>
      <c r="Q214" s="91">
        <v>214</v>
      </c>
      <c r="R214" s="3">
        <v>31340.33</v>
      </c>
      <c r="S214" s="91">
        <v>0</v>
      </c>
      <c r="T214" s="3">
        <v>0</v>
      </c>
      <c r="U214" s="91">
        <v>0</v>
      </c>
      <c r="X214" s="91" t="s">
        <v>743</v>
      </c>
      <c r="Y214" s="91" t="s">
        <v>549</v>
      </c>
      <c r="Z214" s="91" t="s">
        <v>488</v>
      </c>
      <c r="AA214" s="91" t="s">
        <v>35</v>
      </c>
      <c r="AD214" s="95" t="s">
        <v>909</v>
      </c>
      <c r="AE214" s="95">
        <f t="shared" si="3"/>
        <v>3</v>
      </c>
    </row>
    <row r="215" spans="1:31" x14ac:dyDescent="0.25">
      <c r="A215" s="91" t="s">
        <v>744</v>
      </c>
      <c r="B215" s="91">
        <v>164238</v>
      </c>
      <c r="C215" s="91">
        <v>4</v>
      </c>
      <c r="D215" s="91" t="s">
        <v>745</v>
      </c>
      <c r="E215" s="91" t="s">
        <v>29</v>
      </c>
      <c r="F215" s="91" t="s">
        <v>38</v>
      </c>
      <c r="G215" s="3">
        <v>980</v>
      </c>
      <c r="H215" s="2">
        <v>42440</v>
      </c>
      <c r="I215" s="2"/>
      <c r="J215" s="2">
        <v>42437</v>
      </c>
      <c r="L215" s="91" t="s">
        <v>31</v>
      </c>
      <c r="M215" s="91">
        <v>50</v>
      </c>
      <c r="N215" s="91">
        <v>164238</v>
      </c>
      <c r="P215" s="91">
        <v>0</v>
      </c>
      <c r="Q215" s="91">
        <v>18</v>
      </c>
      <c r="R215" s="91">
        <v>980.19</v>
      </c>
      <c r="S215" s="91">
        <v>18</v>
      </c>
      <c r="T215" s="91">
        <v>980</v>
      </c>
      <c r="U215" s="91">
        <v>15</v>
      </c>
      <c r="V215" s="2">
        <v>42446</v>
      </c>
      <c r="W215" s="2">
        <v>42447</v>
      </c>
      <c r="X215" s="91" t="s">
        <v>746</v>
      </c>
      <c r="Y215" s="91" t="s">
        <v>48</v>
      </c>
      <c r="Z215" s="91" t="s">
        <v>34</v>
      </c>
      <c r="AA215" s="91" t="s">
        <v>35</v>
      </c>
      <c r="AD215" s="95" t="s">
        <v>909</v>
      </c>
      <c r="AE215" s="95">
        <f t="shared" si="3"/>
        <v>3</v>
      </c>
    </row>
    <row r="216" spans="1:31" x14ac:dyDescent="0.25">
      <c r="A216" s="91" t="s">
        <v>747</v>
      </c>
      <c r="C216" s="91">
        <v>3</v>
      </c>
      <c r="D216" s="91" t="s">
        <v>748</v>
      </c>
      <c r="E216" s="91" t="s">
        <v>29</v>
      </c>
      <c r="F216" s="91" t="s">
        <v>38</v>
      </c>
      <c r="G216" s="3">
        <v>3875</v>
      </c>
      <c r="H216" s="2">
        <v>42440</v>
      </c>
      <c r="I216" s="2"/>
      <c r="J216" s="2">
        <v>42437</v>
      </c>
      <c r="K216" s="2"/>
      <c r="L216" s="91" t="s">
        <v>31</v>
      </c>
      <c r="M216" s="91">
        <v>50</v>
      </c>
      <c r="P216" s="91">
        <v>0</v>
      </c>
      <c r="Q216" s="91">
        <v>85</v>
      </c>
      <c r="R216" s="3">
        <v>3875.07</v>
      </c>
      <c r="S216" s="91">
        <v>0</v>
      </c>
      <c r="T216" s="91">
        <v>0</v>
      </c>
      <c r="U216" s="91">
        <v>0</v>
      </c>
      <c r="X216" s="91" t="s">
        <v>749</v>
      </c>
      <c r="Y216" s="91" t="s">
        <v>48</v>
      </c>
      <c r="Z216" s="91" t="s">
        <v>34</v>
      </c>
      <c r="AA216" s="91" t="s">
        <v>35</v>
      </c>
      <c r="AD216" s="95" t="s">
        <v>909</v>
      </c>
      <c r="AE216" s="95">
        <f t="shared" si="3"/>
        <v>3</v>
      </c>
    </row>
    <row r="217" spans="1:31" x14ac:dyDescent="0.25">
      <c r="A217" s="91" t="s">
        <v>750</v>
      </c>
      <c r="C217" s="91">
        <v>5</v>
      </c>
      <c r="D217" s="91" t="s">
        <v>751</v>
      </c>
      <c r="E217" s="91" t="s">
        <v>58</v>
      </c>
      <c r="F217" s="91" t="s">
        <v>30</v>
      </c>
      <c r="G217" s="3">
        <v>10970</v>
      </c>
      <c r="H217" s="2">
        <v>42440</v>
      </c>
      <c r="I217" s="2">
        <v>42447</v>
      </c>
      <c r="J217" s="2">
        <v>42451</v>
      </c>
      <c r="K217" s="2">
        <v>42460</v>
      </c>
      <c r="L217" s="91" t="s">
        <v>31</v>
      </c>
      <c r="M217" s="91">
        <v>30</v>
      </c>
      <c r="P217" s="91">
        <v>0</v>
      </c>
      <c r="Q217" s="91">
        <v>88</v>
      </c>
      <c r="R217" s="3">
        <v>10968.83</v>
      </c>
      <c r="S217" s="91">
        <v>0</v>
      </c>
      <c r="T217" s="3">
        <v>0</v>
      </c>
      <c r="U217" s="91">
        <v>0</v>
      </c>
      <c r="V217" s="2"/>
      <c r="W217" s="2"/>
      <c r="X217" s="91" t="s">
        <v>752</v>
      </c>
      <c r="Y217" s="91" t="s">
        <v>753</v>
      </c>
      <c r="Z217" s="91" t="s">
        <v>754</v>
      </c>
      <c r="AA217" s="91" t="s">
        <v>35</v>
      </c>
      <c r="AD217" s="95" t="s">
        <v>909</v>
      </c>
      <c r="AE217" s="95">
        <f t="shared" si="3"/>
        <v>3</v>
      </c>
    </row>
    <row r="218" spans="1:31" x14ac:dyDescent="0.25">
      <c r="A218" s="91" t="s">
        <v>755</v>
      </c>
      <c r="C218" s="91">
        <v>3</v>
      </c>
      <c r="D218" s="91" t="s">
        <v>756</v>
      </c>
      <c r="E218" s="91" t="s">
        <v>29</v>
      </c>
      <c r="F218" s="91" t="s">
        <v>38</v>
      </c>
      <c r="G218" s="3">
        <v>2745</v>
      </c>
      <c r="H218" s="2">
        <v>42440</v>
      </c>
      <c r="I218" s="2"/>
      <c r="J218" s="2">
        <v>42438</v>
      </c>
      <c r="K218" s="2"/>
      <c r="L218" s="91" t="s">
        <v>31</v>
      </c>
      <c r="M218" s="91">
        <v>50</v>
      </c>
      <c r="P218" s="91">
        <v>0</v>
      </c>
      <c r="Q218" s="91">
        <v>58</v>
      </c>
      <c r="R218" s="3">
        <v>2745.18</v>
      </c>
      <c r="S218" s="91">
        <v>0</v>
      </c>
      <c r="T218" s="91">
        <v>0</v>
      </c>
      <c r="U218" s="91">
        <v>0</v>
      </c>
      <c r="X218" s="91" t="s">
        <v>757</v>
      </c>
      <c r="Y218" s="91" t="s">
        <v>758</v>
      </c>
      <c r="Z218" s="91" t="s">
        <v>34</v>
      </c>
      <c r="AA218" s="91" t="s">
        <v>35</v>
      </c>
      <c r="AD218" s="95" t="s">
        <v>909</v>
      </c>
      <c r="AE218" s="95">
        <f t="shared" si="3"/>
        <v>3</v>
      </c>
    </row>
    <row r="219" spans="1:31" x14ac:dyDescent="0.25">
      <c r="A219" s="91" t="s">
        <v>759</v>
      </c>
      <c r="B219" s="91">
        <v>164242</v>
      </c>
      <c r="C219" s="91">
        <v>4</v>
      </c>
      <c r="D219" s="91" t="s">
        <v>760</v>
      </c>
      <c r="E219" s="91" t="s">
        <v>29</v>
      </c>
      <c r="F219" s="91" t="s">
        <v>38</v>
      </c>
      <c r="G219" s="3">
        <v>395</v>
      </c>
      <c r="H219" s="2">
        <v>42440</v>
      </c>
      <c r="I219" s="2"/>
      <c r="J219" s="2">
        <v>42439</v>
      </c>
      <c r="K219" s="2"/>
      <c r="L219" s="91" t="s">
        <v>31</v>
      </c>
      <c r="M219" s="91">
        <v>50</v>
      </c>
      <c r="N219" s="91">
        <v>164242</v>
      </c>
      <c r="P219" s="91">
        <v>0</v>
      </c>
      <c r="Q219" s="3">
        <v>8</v>
      </c>
      <c r="R219" s="3">
        <v>395.48</v>
      </c>
      <c r="S219" s="91">
        <v>8</v>
      </c>
      <c r="T219" s="91">
        <v>395</v>
      </c>
      <c r="U219" s="91">
        <v>8</v>
      </c>
      <c r="V219" s="2">
        <v>42473</v>
      </c>
      <c r="W219" s="2">
        <v>42473</v>
      </c>
      <c r="X219" s="91" t="s">
        <v>761</v>
      </c>
      <c r="Y219" s="91" t="s">
        <v>48</v>
      </c>
      <c r="Z219" s="91" t="s">
        <v>34</v>
      </c>
      <c r="AA219" s="91" t="s">
        <v>35</v>
      </c>
      <c r="AD219" s="95" t="s">
        <v>909</v>
      </c>
      <c r="AE219" s="95">
        <f t="shared" si="3"/>
        <v>3</v>
      </c>
    </row>
    <row r="220" spans="1:31" x14ac:dyDescent="0.25">
      <c r="A220" s="91" t="s">
        <v>762</v>
      </c>
      <c r="C220" s="91">
        <v>3</v>
      </c>
      <c r="D220" s="91" t="s">
        <v>763</v>
      </c>
      <c r="E220" s="91" t="s">
        <v>29</v>
      </c>
      <c r="F220" s="91" t="s">
        <v>38</v>
      </c>
      <c r="G220" s="3">
        <v>3980</v>
      </c>
      <c r="H220" s="2">
        <v>42440</v>
      </c>
      <c r="J220" s="2">
        <v>42439</v>
      </c>
      <c r="L220" s="91" t="s">
        <v>31</v>
      </c>
      <c r="M220" s="91">
        <v>50</v>
      </c>
      <c r="P220" s="91">
        <v>0</v>
      </c>
      <c r="Q220" s="91">
        <v>74</v>
      </c>
      <c r="R220" s="3">
        <v>3980.12</v>
      </c>
      <c r="S220" s="91">
        <v>0</v>
      </c>
      <c r="T220" s="91">
        <v>0</v>
      </c>
      <c r="U220" s="91">
        <v>0</v>
      </c>
      <c r="X220" s="91" t="s">
        <v>764</v>
      </c>
      <c r="Y220" s="91" t="s">
        <v>765</v>
      </c>
      <c r="Z220" s="91" t="s">
        <v>34</v>
      </c>
      <c r="AA220" s="91" t="s">
        <v>35</v>
      </c>
      <c r="AD220" s="95" t="s">
        <v>909</v>
      </c>
      <c r="AE220" s="95">
        <f t="shared" si="3"/>
        <v>3</v>
      </c>
    </row>
    <row r="221" spans="1:31" x14ac:dyDescent="0.25">
      <c r="A221" s="91" t="s">
        <v>766</v>
      </c>
      <c r="C221" s="91">
        <v>3</v>
      </c>
      <c r="D221" s="91" t="s">
        <v>767</v>
      </c>
      <c r="E221" s="91" t="s">
        <v>29</v>
      </c>
      <c r="F221" s="91" t="s">
        <v>38</v>
      </c>
      <c r="G221" s="3">
        <v>163800</v>
      </c>
      <c r="H221" s="2">
        <v>42440</v>
      </c>
      <c r="J221" s="2">
        <v>42445</v>
      </c>
      <c r="L221" s="91" t="s">
        <v>31</v>
      </c>
      <c r="M221" s="91">
        <v>50</v>
      </c>
      <c r="P221" s="91">
        <v>0</v>
      </c>
      <c r="Q221" s="3">
        <v>1520</v>
      </c>
      <c r="R221" s="3">
        <v>163800.53</v>
      </c>
      <c r="S221" s="91">
        <v>0</v>
      </c>
      <c r="T221" s="91">
        <v>0</v>
      </c>
      <c r="U221" s="91">
        <v>0</v>
      </c>
      <c r="X221" s="91" t="s">
        <v>768</v>
      </c>
      <c r="Y221" s="91" t="s">
        <v>93</v>
      </c>
      <c r="Z221" s="91" t="s">
        <v>34</v>
      </c>
      <c r="AA221" s="91" t="s">
        <v>35</v>
      </c>
      <c r="AD221" s="95" t="s">
        <v>909</v>
      </c>
      <c r="AE221" s="95">
        <f t="shared" si="3"/>
        <v>3</v>
      </c>
    </row>
    <row r="222" spans="1:31" x14ac:dyDescent="0.25">
      <c r="A222" s="91" t="s">
        <v>769</v>
      </c>
      <c r="B222" s="91">
        <v>161163</v>
      </c>
      <c r="C222" s="91">
        <v>4</v>
      </c>
      <c r="D222" s="91" t="s">
        <v>770</v>
      </c>
      <c r="E222" s="91" t="s">
        <v>58</v>
      </c>
      <c r="F222" s="91" t="s">
        <v>59</v>
      </c>
      <c r="G222" s="3">
        <v>0</v>
      </c>
      <c r="H222" s="2">
        <v>42443</v>
      </c>
      <c r="J222" s="2">
        <v>42443</v>
      </c>
      <c r="L222" s="91" t="s">
        <v>907</v>
      </c>
      <c r="M222" s="91">
        <v>0</v>
      </c>
      <c r="N222" s="91">
        <v>161163</v>
      </c>
      <c r="P222" s="91">
        <v>0</v>
      </c>
      <c r="Q222" s="91">
        <v>0</v>
      </c>
      <c r="R222" s="3">
        <v>0</v>
      </c>
      <c r="S222" s="91">
        <v>1</v>
      </c>
      <c r="T222" s="91">
        <v>0</v>
      </c>
      <c r="U222" s="91">
        <v>101.5</v>
      </c>
      <c r="V222" s="2">
        <v>42444</v>
      </c>
      <c r="W222" s="2">
        <v>42462</v>
      </c>
      <c r="X222" s="91" t="s">
        <v>100</v>
      </c>
      <c r="Y222" s="91" t="s">
        <v>471</v>
      </c>
      <c r="Z222" s="91" t="s">
        <v>472</v>
      </c>
      <c r="AA222" s="91" t="s">
        <v>35</v>
      </c>
      <c r="AD222" s="95" t="s">
        <v>909</v>
      </c>
      <c r="AE222" s="95">
        <f t="shared" si="3"/>
        <v>3</v>
      </c>
    </row>
    <row r="223" spans="1:31" x14ac:dyDescent="0.25">
      <c r="A223" s="91" t="s">
        <v>771</v>
      </c>
      <c r="B223" s="91">
        <v>160264</v>
      </c>
      <c r="C223" s="91">
        <v>4</v>
      </c>
      <c r="D223" s="91" t="s">
        <v>772</v>
      </c>
      <c r="E223" s="91" t="s">
        <v>29</v>
      </c>
      <c r="F223" s="91" t="s">
        <v>30</v>
      </c>
      <c r="G223" s="3">
        <v>2785</v>
      </c>
      <c r="H223" s="2">
        <v>42444</v>
      </c>
      <c r="I223" s="2">
        <v>42447</v>
      </c>
      <c r="J223" s="2">
        <v>42446</v>
      </c>
      <c r="K223" s="2">
        <v>42451</v>
      </c>
      <c r="L223" s="91" t="s">
        <v>31</v>
      </c>
      <c r="M223" s="91">
        <v>30</v>
      </c>
      <c r="N223" s="91">
        <v>160264</v>
      </c>
      <c r="P223" s="91">
        <v>0</v>
      </c>
      <c r="Q223" s="91">
        <v>50</v>
      </c>
      <c r="R223" s="3">
        <v>2784.05</v>
      </c>
      <c r="S223" s="91">
        <v>50</v>
      </c>
      <c r="T223" s="3">
        <v>2785</v>
      </c>
      <c r="U223" s="91">
        <v>52</v>
      </c>
      <c r="V223" s="2">
        <v>42453</v>
      </c>
      <c r="W223" s="2">
        <v>42459</v>
      </c>
      <c r="X223" s="91" t="s">
        <v>773</v>
      </c>
      <c r="Y223" s="91" t="s">
        <v>603</v>
      </c>
      <c r="Z223" s="91" t="s">
        <v>604</v>
      </c>
      <c r="AA223" s="91" t="s">
        <v>35</v>
      </c>
      <c r="AD223" s="95" t="s">
        <v>909</v>
      </c>
      <c r="AE223" s="95">
        <f t="shared" si="3"/>
        <v>3</v>
      </c>
    </row>
    <row r="224" spans="1:31" x14ac:dyDescent="0.25">
      <c r="A224" s="91" t="s">
        <v>774</v>
      </c>
      <c r="C224" s="91">
        <v>3</v>
      </c>
      <c r="D224" s="91" t="s">
        <v>775</v>
      </c>
      <c r="E224" s="91" t="s">
        <v>65</v>
      </c>
      <c r="F224" s="91" t="s">
        <v>66</v>
      </c>
      <c r="G224" s="3">
        <v>20365</v>
      </c>
      <c r="H224" s="2">
        <v>42444</v>
      </c>
      <c r="I224" s="2">
        <v>42451</v>
      </c>
      <c r="J224" s="2">
        <v>42459</v>
      </c>
      <c r="K224" s="2">
        <v>42461</v>
      </c>
      <c r="L224" s="91" t="s">
        <v>31</v>
      </c>
      <c r="M224" s="91">
        <v>50</v>
      </c>
      <c r="P224" s="91">
        <v>0</v>
      </c>
      <c r="Q224" s="91">
        <v>328</v>
      </c>
      <c r="R224" s="3">
        <v>20365.79</v>
      </c>
      <c r="S224" s="91">
        <v>0</v>
      </c>
      <c r="T224" s="91">
        <v>0</v>
      </c>
      <c r="U224" s="91">
        <v>0</v>
      </c>
      <c r="X224" s="91" t="s">
        <v>67</v>
      </c>
      <c r="Y224" s="91" t="s">
        <v>333</v>
      </c>
      <c r="Z224" s="91" t="s">
        <v>334</v>
      </c>
      <c r="AA224" s="91" t="s">
        <v>35</v>
      </c>
      <c r="AD224" s="95" t="s">
        <v>909</v>
      </c>
      <c r="AE224" s="95">
        <f t="shared" si="3"/>
        <v>3</v>
      </c>
    </row>
    <row r="225" spans="1:31" x14ac:dyDescent="0.25">
      <c r="A225" s="91" t="s">
        <v>776</v>
      </c>
      <c r="B225" s="91">
        <v>160257</v>
      </c>
      <c r="C225" s="91">
        <v>4</v>
      </c>
      <c r="D225" s="91" t="s">
        <v>777</v>
      </c>
      <c r="E225" s="91" t="s">
        <v>29</v>
      </c>
      <c r="F225" s="91" t="s">
        <v>364</v>
      </c>
      <c r="G225" s="3">
        <v>1440</v>
      </c>
      <c r="H225" s="2">
        <v>42445</v>
      </c>
      <c r="I225" s="2">
        <v>42450</v>
      </c>
      <c r="J225" s="2">
        <v>42446</v>
      </c>
      <c r="K225" s="2">
        <v>42460</v>
      </c>
      <c r="L225" s="91" t="s">
        <v>31</v>
      </c>
      <c r="M225" s="91">
        <v>80</v>
      </c>
      <c r="N225" s="91">
        <v>160257</v>
      </c>
      <c r="P225" s="91">
        <v>0</v>
      </c>
      <c r="Q225" s="91">
        <v>26</v>
      </c>
      <c r="R225" s="3">
        <v>1392.08</v>
      </c>
      <c r="S225" s="91">
        <v>26</v>
      </c>
      <c r="T225" s="3">
        <v>1440</v>
      </c>
      <c r="U225" s="91">
        <v>0</v>
      </c>
      <c r="X225" s="91" t="s">
        <v>778</v>
      </c>
      <c r="Y225" s="91" t="s">
        <v>779</v>
      </c>
      <c r="Z225" s="91" t="s">
        <v>367</v>
      </c>
      <c r="AA225" s="91" t="s">
        <v>35</v>
      </c>
      <c r="AD225" s="95" t="s">
        <v>909</v>
      </c>
      <c r="AE225" s="95">
        <f t="shared" si="3"/>
        <v>3</v>
      </c>
    </row>
    <row r="226" spans="1:31" x14ac:dyDescent="0.25">
      <c r="A226" s="91" t="s">
        <v>780</v>
      </c>
      <c r="B226" s="91">
        <v>160258</v>
      </c>
      <c r="C226" s="91">
        <v>4</v>
      </c>
      <c r="D226" s="91" t="s">
        <v>781</v>
      </c>
      <c r="E226" s="91" t="s">
        <v>29</v>
      </c>
      <c r="F226" s="91" t="s">
        <v>364</v>
      </c>
      <c r="G226" s="3">
        <v>2390</v>
      </c>
      <c r="H226" s="2">
        <v>42445</v>
      </c>
      <c r="I226" s="2">
        <v>42450</v>
      </c>
      <c r="J226" s="2">
        <v>42446</v>
      </c>
      <c r="K226" s="2">
        <v>42460</v>
      </c>
      <c r="L226" s="91" t="s">
        <v>31</v>
      </c>
      <c r="M226" s="91">
        <v>80</v>
      </c>
      <c r="N226" s="91">
        <v>160258</v>
      </c>
      <c r="P226" s="91">
        <v>0</v>
      </c>
      <c r="Q226" s="91">
        <v>30</v>
      </c>
      <c r="R226" s="3">
        <v>1693.99</v>
      </c>
      <c r="S226" s="91">
        <v>1</v>
      </c>
      <c r="T226" s="3">
        <v>2390</v>
      </c>
      <c r="U226" s="91">
        <v>0</v>
      </c>
      <c r="X226" s="91" t="s">
        <v>778</v>
      </c>
      <c r="Y226" s="91" t="s">
        <v>779</v>
      </c>
      <c r="Z226" s="91" t="s">
        <v>367</v>
      </c>
      <c r="AA226" s="91" t="s">
        <v>35</v>
      </c>
      <c r="AD226" s="95" t="s">
        <v>909</v>
      </c>
      <c r="AE226" s="95">
        <f t="shared" si="3"/>
        <v>3</v>
      </c>
    </row>
    <row r="227" spans="1:31" x14ac:dyDescent="0.25">
      <c r="A227" s="91" t="s">
        <v>782</v>
      </c>
      <c r="C227" s="91">
        <v>1</v>
      </c>
      <c r="D227" s="91" t="s">
        <v>783</v>
      </c>
      <c r="E227" s="91" t="s">
        <v>58</v>
      </c>
      <c r="F227" s="91" t="s">
        <v>59</v>
      </c>
      <c r="G227" s="3">
        <v>50000</v>
      </c>
      <c r="H227" s="2">
        <v>42446</v>
      </c>
      <c r="I227" s="2">
        <v>42461</v>
      </c>
      <c r="J227" s="2"/>
      <c r="K227" s="2"/>
      <c r="L227" s="91" t="s">
        <v>31</v>
      </c>
      <c r="M227" s="91">
        <v>60</v>
      </c>
      <c r="P227" s="91">
        <v>0</v>
      </c>
      <c r="Q227" s="91">
        <v>0</v>
      </c>
      <c r="R227" s="91">
        <v>0</v>
      </c>
      <c r="S227" s="91">
        <v>0</v>
      </c>
      <c r="T227" s="91">
        <v>0</v>
      </c>
      <c r="U227" s="91">
        <v>0</v>
      </c>
      <c r="X227" s="91" t="s">
        <v>100</v>
      </c>
      <c r="Y227" s="91" t="s">
        <v>784</v>
      </c>
      <c r="Z227" s="91" t="s">
        <v>202</v>
      </c>
      <c r="AA227" s="91" t="s">
        <v>35</v>
      </c>
      <c r="AD227" s="95" t="s">
        <v>909</v>
      </c>
      <c r="AE227" s="95">
        <f t="shared" si="3"/>
        <v>3</v>
      </c>
    </row>
    <row r="228" spans="1:31" x14ac:dyDescent="0.25">
      <c r="A228" s="91" t="s">
        <v>785</v>
      </c>
      <c r="C228" s="91">
        <v>3</v>
      </c>
      <c r="D228" s="91" t="s">
        <v>786</v>
      </c>
      <c r="E228" s="91" t="s">
        <v>58</v>
      </c>
      <c r="F228" s="91" t="s">
        <v>30</v>
      </c>
      <c r="G228" s="3">
        <v>9090</v>
      </c>
      <c r="H228" s="2">
        <v>42446</v>
      </c>
      <c r="I228" s="2">
        <v>42447</v>
      </c>
      <c r="J228" s="2">
        <v>42450</v>
      </c>
      <c r="K228" s="2">
        <v>42491</v>
      </c>
      <c r="L228" s="91" t="s">
        <v>31</v>
      </c>
      <c r="M228" s="91">
        <v>25</v>
      </c>
      <c r="P228" s="91">
        <v>0</v>
      </c>
      <c r="Q228" s="91">
        <v>62</v>
      </c>
      <c r="R228" s="3">
        <v>8837.7099999999991</v>
      </c>
      <c r="S228" s="91">
        <v>0</v>
      </c>
      <c r="T228" s="91">
        <v>0</v>
      </c>
      <c r="U228" s="91">
        <v>0</v>
      </c>
      <c r="X228" s="91" t="s">
        <v>787</v>
      </c>
      <c r="Y228" s="91" t="s">
        <v>788</v>
      </c>
      <c r="Z228" s="91" t="s">
        <v>789</v>
      </c>
      <c r="AA228" s="91" t="s">
        <v>35</v>
      </c>
      <c r="AD228" s="95" t="s">
        <v>909</v>
      </c>
      <c r="AE228" s="95">
        <f t="shared" si="3"/>
        <v>3</v>
      </c>
    </row>
    <row r="229" spans="1:31" x14ac:dyDescent="0.25">
      <c r="A229" s="91" t="s">
        <v>790</v>
      </c>
      <c r="B229" s="91">
        <v>160622</v>
      </c>
      <c r="C229" s="91">
        <v>4</v>
      </c>
      <c r="D229" s="91" t="s">
        <v>791</v>
      </c>
      <c r="E229" s="91" t="s">
        <v>58</v>
      </c>
      <c r="F229" s="91" t="s">
        <v>87</v>
      </c>
      <c r="G229" s="3">
        <v>26340</v>
      </c>
      <c r="H229" s="2">
        <v>42446</v>
      </c>
      <c r="I229" s="2"/>
      <c r="J229" s="2">
        <v>42446</v>
      </c>
      <c r="K229" s="2"/>
      <c r="L229" s="91" t="s">
        <v>31</v>
      </c>
      <c r="M229" s="91">
        <v>0</v>
      </c>
      <c r="N229" s="91">
        <v>160622</v>
      </c>
      <c r="P229" s="91">
        <v>0</v>
      </c>
      <c r="Q229" s="91">
        <v>0</v>
      </c>
      <c r="R229" s="91">
        <v>0</v>
      </c>
      <c r="S229" s="91">
        <v>1</v>
      </c>
      <c r="T229" s="3">
        <v>26340</v>
      </c>
      <c r="U229" s="91">
        <v>196</v>
      </c>
      <c r="V229" s="2">
        <v>42446</v>
      </c>
      <c r="W229" s="2">
        <v>42454</v>
      </c>
      <c r="Y229" s="91" t="s">
        <v>792</v>
      </c>
      <c r="Z229" s="91" t="s">
        <v>793</v>
      </c>
      <c r="AA229" s="91" t="s">
        <v>35</v>
      </c>
      <c r="AD229" s="95" t="s">
        <v>909</v>
      </c>
      <c r="AE229" s="95">
        <f t="shared" si="3"/>
        <v>3</v>
      </c>
    </row>
    <row r="230" spans="1:31" x14ac:dyDescent="0.25">
      <c r="A230" s="91" t="s">
        <v>794</v>
      </c>
      <c r="C230" s="91">
        <v>1</v>
      </c>
      <c r="D230" s="91" t="s">
        <v>795</v>
      </c>
      <c r="E230" s="91" t="s">
        <v>58</v>
      </c>
      <c r="F230" s="91" t="s">
        <v>30</v>
      </c>
      <c r="G230" s="3">
        <v>9000</v>
      </c>
      <c r="H230" s="2">
        <v>42447</v>
      </c>
      <c r="I230" s="2">
        <v>42468</v>
      </c>
      <c r="J230" s="2"/>
      <c r="K230" s="2">
        <v>42490</v>
      </c>
      <c r="L230" s="91" t="s">
        <v>31</v>
      </c>
      <c r="M230" s="91">
        <v>30</v>
      </c>
      <c r="P230" s="91">
        <v>0</v>
      </c>
      <c r="Q230" s="91">
        <v>0</v>
      </c>
      <c r="R230" s="91">
        <v>0</v>
      </c>
      <c r="S230" s="91">
        <v>0</v>
      </c>
      <c r="T230" s="91">
        <v>0</v>
      </c>
      <c r="U230" s="91">
        <v>0</v>
      </c>
      <c r="X230" s="91" t="s">
        <v>796</v>
      </c>
      <c r="Y230" s="91" t="s">
        <v>549</v>
      </c>
      <c r="Z230" s="91" t="s">
        <v>488</v>
      </c>
      <c r="AA230" s="91" t="s">
        <v>35</v>
      </c>
      <c r="AD230" s="95" t="s">
        <v>909</v>
      </c>
      <c r="AE230" s="95">
        <f t="shared" si="3"/>
        <v>3</v>
      </c>
    </row>
    <row r="231" spans="1:31" x14ac:dyDescent="0.25">
      <c r="A231" s="91" t="s">
        <v>797</v>
      </c>
      <c r="C231" s="91">
        <v>5</v>
      </c>
      <c r="D231" s="91" t="s">
        <v>798</v>
      </c>
      <c r="E231" s="91" t="s">
        <v>58</v>
      </c>
      <c r="F231" s="91" t="s">
        <v>59</v>
      </c>
      <c r="G231" s="3">
        <v>148045</v>
      </c>
      <c r="H231" s="2">
        <v>42447</v>
      </c>
      <c r="I231" s="2">
        <v>42450</v>
      </c>
      <c r="J231" s="2">
        <v>42450</v>
      </c>
      <c r="K231" s="2">
        <v>42467</v>
      </c>
      <c r="L231" s="91" t="s">
        <v>31</v>
      </c>
      <c r="M231" s="91">
        <v>0</v>
      </c>
      <c r="P231" s="91">
        <v>0</v>
      </c>
      <c r="Q231" s="3">
        <v>3082</v>
      </c>
      <c r="R231" s="3">
        <v>148018.09</v>
      </c>
      <c r="S231" s="91">
        <v>0</v>
      </c>
      <c r="T231" s="91">
        <v>0</v>
      </c>
      <c r="U231" s="91">
        <v>0</v>
      </c>
      <c r="X231" s="91" t="s">
        <v>799</v>
      </c>
      <c r="Y231" s="91" t="s">
        <v>800</v>
      </c>
      <c r="Z231" s="91" t="s">
        <v>488</v>
      </c>
      <c r="AA231" s="91" t="s">
        <v>35</v>
      </c>
      <c r="AD231" s="95" t="s">
        <v>909</v>
      </c>
      <c r="AE231" s="95">
        <f t="shared" si="3"/>
        <v>3</v>
      </c>
    </row>
    <row r="232" spans="1:31" x14ac:dyDescent="0.25">
      <c r="A232" s="91" t="s">
        <v>801</v>
      </c>
      <c r="C232" s="91">
        <v>3</v>
      </c>
      <c r="D232" s="91" t="s">
        <v>802</v>
      </c>
      <c r="E232" s="91" t="s">
        <v>29</v>
      </c>
      <c r="F232" s="91" t="s">
        <v>38</v>
      </c>
      <c r="G232" s="3">
        <v>5850</v>
      </c>
      <c r="H232" s="2">
        <v>42447</v>
      </c>
      <c r="J232" s="2">
        <v>42444</v>
      </c>
      <c r="L232" s="91" t="s">
        <v>31</v>
      </c>
      <c r="M232" s="91">
        <v>50</v>
      </c>
      <c r="P232" s="91">
        <v>0</v>
      </c>
      <c r="Q232" s="91">
        <v>60</v>
      </c>
      <c r="R232" s="3">
        <v>5850.21</v>
      </c>
      <c r="S232" s="91">
        <v>0</v>
      </c>
      <c r="T232" s="91">
        <v>0</v>
      </c>
      <c r="U232" s="91">
        <v>0</v>
      </c>
      <c r="X232" s="91" t="s">
        <v>803</v>
      </c>
      <c r="Y232" s="91" t="s">
        <v>163</v>
      </c>
      <c r="Z232" s="91" t="s">
        <v>34</v>
      </c>
      <c r="AA232" s="91" t="s">
        <v>35</v>
      </c>
      <c r="AD232" s="95" t="s">
        <v>909</v>
      </c>
      <c r="AE232" s="95">
        <f t="shared" si="3"/>
        <v>3</v>
      </c>
    </row>
    <row r="233" spans="1:31" x14ac:dyDescent="0.25">
      <c r="A233" s="91" t="s">
        <v>804</v>
      </c>
      <c r="C233" s="91">
        <v>3</v>
      </c>
      <c r="D233" s="91" t="s">
        <v>805</v>
      </c>
      <c r="E233" s="91" t="s">
        <v>29</v>
      </c>
      <c r="F233" s="91" t="s">
        <v>38</v>
      </c>
      <c r="G233" s="3">
        <v>4280</v>
      </c>
      <c r="H233" s="2">
        <v>42447</v>
      </c>
      <c r="J233" s="2">
        <v>42446</v>
      </c>
      <c r="L233" s="91" t="s">
        <v>31</v>
      </c>
      <c r="M233" s="91">
        <v>50</v>
      </c>
      <c r="P233" s="91">
        <v>0</v>
      </c>
      <c r="Q233" s="91">
        <v>84</v>
      </c>
      <c r="R233" s="3">
        <v>4280.67</v>
      </c>
      <c r="S233" s="91">
        <v>0</v>
      </c>
      <c r="T233" s="91">
        <v>0</v>
      </c>
      <c r="U233" s="91">
        <v>0</v>
      </c>
      <c r="X233" s="91" t="s">
        <v>806</v>
      </c>
      <c r="Y233" s="91" t="s">
        <v>163</v>
      </c>
      <c r="Z233" s="91" t="s">
        <v>34</v>
      </c>
      <c r="AA233" s="91" t="s">
        <v>35</v>
      </c>
      <c r="AD233" s="95" t="s">
        <v>909</v>
      </c>
      <c r="AE233" s="95">
        <f t="shared" si="3"/>
        <v>3</v>
      </c>
    </row>
    <row r="234" spans="1:31" x14ac:dyDescent="0.25">
      <c r="A234" s="91" t="s">
        <v>807</v>
      </c>
      <c r="C234" s="91">
        <v>3</v>
      </c>
      <c r="D234" s="91" t="s">
        <v>808</v>
      </c>
      <c r="E234" s="91" t="s">
        <v>29</v>
      </c>
      <c r="F234" s="91" t="s">
        <v>38</v>
      </c>
      <c r="G234" s="3">
        <v>2450</v>
      </c>
      <c r="H234" s="2">
        <v>42447</v>
      </c>
      <c r="J234" s="2">
        <v>42444</v>
      </c>
      <c r="L234" s="91" t="s">
        <v>31</v>
      </c>
      <c r="M234" s="91">
        <v>50</v>
      </c>
      <c r="P234" s="91">
        <v>0</v>
      </c>
      <c r="Q234" s="91">
        <v>50</v>
      </c>
      <c r="R234" s="3">
        <v>2450.4299999999998</v>
      </c>
      <c r="S234" s="91">
        <v>0</v>
      </c>
      <c r="T234" s="91">
        <v>0</v>
      </c>
      <c r="U234" s="91">
        <v>0</v>
      </c>
      <c r="X234" s="91" t="s">
        <v>809</v>
      </c>
      <c r="Y234" s="91" t="s">
        <v>810</v>
      </c>
      <c r="Z234" s="91" t="s">
        <v>34</v>
      </c>
      <c r="AA234" s="91" t="s">
        <v>35</v>
      </c>
      <c r="AD234" s="95" t="s">
        <v>909</v>
      </c>
      <c r="AE234" s="95">
        <f t="shared" si="3"/>
        <v>3</v>
      </c>
    </row>
    <row r="235" spans="1:31" x14ac:dyDescent="0.25">
      <c r="A235" s="91" t="s">
        <v>811</v>
      </c>
      <c r="C235" s="91">
        <v>3</v>
      </c>
      <c r="D235" s="91" t="s">
        <v>812</v>
      </c>
      <c r="E235" s="91" t="s">
        <v>65</v>
      </c>
      <c r="F235" s="91" t="s">
        <v>66</v>
      </c>
      <c r="G235" s="91">
        <v>0</v>
      </c>
      <c r="H235" s="2">
        <v>42447</v>
      </c>
      <c r="I235" s="2">
        <v>42461</v>
      </c>
      <c r="J235" s="2">
        <v>42460</v>
      </c>
      <c r="K235" s="2">
        <v>42480</v>
      </c>
      <c r="L235" s="91" t="s">
        <v>907</v>
      </c>
      <c r="M235" s="91">
        <v>50</v>
      </c>
      <c r="P235" s="91">
        <v>0</v>
      </c>
      <c r="Q235" s="91">
        <v>0</v>
      </c>
      <c r="R235" s="91">
        <v>0</v>
      </c>
      <c r="S235" s="91">
        <v>0</v>
      </c>
      <c r="T235" s="91">
        <v>0</v>
      </c>
      <c r="U235" s="91">
        <v>0</v>
      </c>
      <c r="X235" s="91" t="s">
        <v>81</v>
      </c>
      <c r="Y235" s="91" t="s">
        <v>82</v>
      </c>
      <c r="Z235" s="91" t="s">
        <v>83</v>
      </c>
      <c r="AA235" s="91" t="s">
        <v>35</v>
      </c>
      <c r="AD235" s="95" t="s">
        <v>909</v>
      </c>
      <c r="AE235" s="95">
        <f t="shared" si="3"/>
        <v>3</v>
      </c>
    </row>
    <row r="236" spans="1:31" x14ac:dyDescent="0.25">
      <c r="A236" s="91" t="s">
        <v>813</v>
      </c>
      <c r="C236" s="91">
        <v>1</v>
      </c>
      <c r="D236" s="91" t="s">
        <v>814</v>
      </c>
      <c r="E236" s="91" t="s">
        <v>29</v>
      </c>
      <c r="F236" s="91" t="s">
        <v>30</v>
      </c>
      <c r="G236" s="3">
        <v>5000</v>
      </c>
      <c r="H236" s="2">
        <v>42447</v>
      </c>
      <c r="I236" s="2">
        <v>42447</v>
      </c>
      <c r="K236" s="2">
        <v>42452</v>
      </c>
      <c r="L236" s="91" t="s">
        <v>31</v>
      </c>
      <c r="M236" s="91">
        <v>50</v>
      </c>
      <c r="P236" s="91">
        <v>0</v>
      </c>
      <c r="Q236" s="91">
        <v>0</v>
      </c>
      <c r="R236" s="91">
        <v>0</v>
      </c>
      <c r="S236" s="91">
        <v>0</v>
      </c>
      <c r="T236" s="91">
        <v>0</v>
      </c>
      <c r="U236" s="91">
        <v>0</v>
      </c>
      <c r="X236" s="91" t="s">
        <v>32</v>
      </c>
      <c r="Y236" s="91" t="s">
        <v>140</v>
      </c>
      <c r="Z236" s="91" t="s">
        <v>34</v>
      </c>
      <c r="AA236" s="91" t="s">
        <v>35</v>
      </c>
      <c r="AD236" s="95" t="s">
        <v>909</v>
      </c>
      <c r="AE236" s="95">
        <f t="shared" si="3"/>
        <v>3</v>
      </c>
    </row>
    <row r="237" spans="1:31" x14ac:dyDescent="0.25">
      <c r="A237" s="91" t="s">
        <v>815</v>
      </c>
      <c r="C237" s="91">
        <v>3</v>
      </c>
      <c r="D237" s="91" t="s">
        <v>816</v>
      </c>
      <c r="E237" s="91" t="s">
        <v>65</v>
      </c>
      <c r="F237" s="91" t="s">
        <v>80</v>
      </c>
      <c r="G237" s="3">
        <v>5360</v>
      </c>
      <c r="H237" s="2">
        <v>42451</v>
      </c>
      <c r="I237" s="2">
        <v>42454</v>
      </c>
      <c r="J237" s="2">
        <v>42454</v>
      </c>
      <c r="L237" s="91" t="s">
        <v>31</v>
      </c>
      <c r="M237" s="91">
        <v>0</v>
      </c>
      <c r="P237" s="91">
        <v>0</v>
      </c>
      <c r="Q237" s="91">
        <v>28</v>
      </c>
      <c r="R237" s="3">
        <v>5357.6</v>
      </c>
      <c r="S237" s="91">
        <v>0</v>
      </c>
      <c r="T237" s="91">
        <v>0</v>
      </c>
      <c r="U237" s="91">
        <v>0</v>
      </c>
      <c r="X237" s="91" t="s">
        <v>817</v>
      </c>
      <c r="Y237" s="91" t="s">
        <v>818</v>
      </c>
      <c r="Z237" s="91" t="s">
        <v>520</v>
      </c>
      <c r="AA237" s="91" t="s">
        <v>35</v>
      </c>
      <c r="AD237" s="95" t="s">
        <v>909</v>
      </c>
      <c r="AE237" s="95">
        <f t="shared" si="3"/>
        <v>3</v>
      </c>
    </row>
    <row r="238" spans="1:31" x14ac:dyDescent="0.25">
      <c r="A238" s="91" t="s">
        <v>819</v>
      </c>
      <c r="C238" s="91">
        <v>3</v>
      </c>
      <c r="D238" s="91" t="s">
        <v>820</v>
      </c>
      <c r="E238" s="91" t="s">
        <v>58</v>
      </c>
      <c r="F238" s="91" t="s">
        <v>59</v>
      </c>
      <c r="G238" s="3">
        <v>86900</v>
      </c>
      <c r="H238" s="2">
        <v>42451</v>
      </c>
      <c r="I238" s="2">
        <v>42451</v>
      </c>
      <c r="J238" s="2">
        <v>42453</v>
      </c>
      <c r="K238" s="2">
        <v>42614</v>
      </c>
      <c r="L238" s="91" t="s">
        <v>31</v>
      </c>
      <c r="M238" s="91">
        <v>45</v>
      </c>
      <c r="P238" s="91">
        <v>0</v>
      </c>
      <c r="Q238" s="91">
        <v>782</v>
      </c>
      <c r="R238" s="3">
        <v>85597.45</v>
      </c>
      <c r="S238" s="91">
        <v>0</v>
      </c>
      <c r="T238" s="91">
        <v>0</v>
      </c>
      <c r="U238" s="91">
        <v>0</v>
      </c>
      <c r="X238" s="91" t="s">
        <v>821</v>
      </c>
      <c r="Y238" s="91" t="s">
        <v>111</v>
      </c>
      <c r="Z238" s="91" t="s">
        <v>112</v>
      </c>
      <c r="AA238" s="91" t="s">
        <v>35</v>
      </c>
      <c r="AD238" s="95" t="s">
        <v>909</v>
      </c>
      <c r="AE238" s="95">
        <f t="shared" si="3"/>
        <v>3</v>
      </c>
    </row>
    <row r="239" spans="1:31" x14ac:dyDescent="0.25">
      <c r="A239" s="91" t="s">
        <v>822</v>
      </c>
      <c r="C239" s="91">
        <v>3</v>
      </c>
      <c r="D239" s="91" t="s">
        <v>823</v>
      </c>
      <c r="E239" s="91" t="s">
        <v>29</v>
      </c>
      <c r="F239" s="91" t="s">
        <v>138</v>
      </c>
      <c r="G239" s="3">
        <v>1346</v>
      </c>
      <c r="H239" s="2">
        <v>42451</v>
      </c>
      <c r="I239" s="2">
        <v>42459</v>
      </c>
      <c r="J239" s="2">
        <v>42459</v>
      </c>
      <c r="K239" s="2">
        <v>42551</v>
      </c>
      <c r="L239" s="91" t="s">
        <v>31</v>
      </c>
      <c r="M239" s="91">
        <v>50</v>
      </c>
      <c r="P239" s="91">
        <v>0</v>
      </c>
      <c r="Q239" s="91">
        <v>0</v>
      </c>
      <c r="R239" s="91">
        <v>0</v>
      </c>
      <c r="S239" s="91">
        <v>0</v>
      </c>
      <c r="T239" s="91">
        <v>0</v>
      </c>
      <c r="U239" s="91">
        <v>0</v>
      </c>
      <c r="X239" s="91" t="s">
        <v>353</v>
      </c>
      <c r="Y239" s="91" t="s">
        <v>824</v>
      </c>
      <c r="Z239" s="91" t="s">
        <v>34</v>
      </c>
      <c r="AA239" s="91" t="s">
        <v>35</v>
      </c>
      <c r="AD239" s="95" t="s">
        <v>909</v>
      </c>
      <c r="AE239" s="95">
        <f t="shared" si="3"/>
        <v>3</v>
      </c>
    </row>
    <row r="240" spans="1:31" x14ac:dyDescent="0.25">
      <c r="A240" s="91" t="s">
        <v>825</v>
      </c>
      <c r="C240" s="91">
        <v>4</v>
      </c>
      <c r="D240" s="91" t="s">
        <v>826</v>
      </c>
      <c r="E240" s="91" t="s">
        <v>29</v>
      </c>
      <c r="F240" s="91" t="s">
        <v>138</v>
      </c>
      <c r="G240" s="3">
        <v>5650</v>
      </c>
      <c r="H240" s="2">
        <v>42451</v>
      </c>
      <c r="I240" s="2">
        <v>42459</v>
      </c>
      <c r="J240" s="2">
        <v>42459</v>
      </c>
      <c r="K240" s="2">
        <v>42490</v>
      </c>
      <c r="L240" s="91" t="s">
        <v>31</v>
      </c>
      <c r="M240" s="91">
        <v>50</v>
      </c>
      <c r="N240" s="91">
        <v>164040</v>
      </c>
      <c r="P240" s="91">
        <v>0</v>
      </c>
      <c r="Q240" s="91">
        <v>0</v>
      </c>
      <c r="R240" s="91">
        <v>0</v>
      </c>
      <c r="S240" s="91">
        <v>7</v>
      </c>
      <c r="T240" s="3">
        <v>62394</v>
      </c>
      <c r="U240" s="91">
        <v>850.75</v>
      </c>
      <c r="V240" s="2">
        <v>42429</v>
      </c>
      <c r="W240" s="2">
        <v>42475</v>
      </c>
      <c r="X240" s="91" t="s">
        <v>353</v>
      </c>
      <c r="Y240" s="91" t="s">
        <v>140</v>
      </c>
      <c r="Z240" s="91" t="s">
        <v>34</v>
      </c>
      <c r="AA240" s="91" t="s">
        <v>35</v>
      </c>
      <c r="AD240" s="95" t="s">
        <v>909</v>
      </c>
      <c r="AE240" s="95">
        <f t="shared" si="3"/>
        <v>3</v>
      </c>
    </row>
    <row r="241" spans="1:31" x14ac:dyDescent="0.25">
      <c r="A241" s="91" t="s">
        <v>827</v>
      </c>
      <c r="C241" s="91">
        <v>3</v>
      </c>
      <c r="D241" s="91" t="s">
        <v>828</v>
      </c>
      <c r="E241" s="91" t="s">
        <v>29</v>
      </c>
      <c r="F241" s="91" t="s">
        <v>138</v>
      </c>
      <c r="G241" s="3">
        <v>4490</v>
      </c>
      <c r="H241" s="2">
        <v>42451</v>
      </c>
      <c r="I241" s="2">
        <v>42460</v>
      </c>
      <c r="J241" s="2">
        <v>42460</v>
      </c>
      <c r="K241" s="2">
        <v>42551</v>
      </c>
      <c r="L241" s="91" t="s">
        <v>31</v>
      </c>
      <c r="M241" s="91">
        <v>50</v>
      </c>
      <c r="P241" s="91">
        <v>0</v>
      </c>
      <c r="Q241" s="91">
        <v>66</v>
      </c>
      <c r="R241" s="3">
        <v>4483.7299999999996</v>
      </c>
      <c r="S241" s="91">
        <v>0</v>
      </c>
      <c r="T241" s="91">
        <v>0</v>
      </c>
      <c r="U241" s="91">
        <v>0</v>
      </c>
      <c r="X241" s="91" t="s">
        <v>353</v>
      </c>
      <c r="Y241" s="91" t="s">
        <v>829</v>
      </c>
      <c r="Z241" s="91" t="s">
        <v>34</v>
      </c>
      <c r="AA241" s="91" t="s">
        <v>35</v>
      </c>
      <c r="AD241" s="95" t="s">
        <v>909</v>
      </c>
      <c r="AE241" s="95">
        <f t="shared" si="3"/>
        <v>3</v>
      </c>
    </row>
    <row r="242" spans="1:31" x14ac:dyDescent="0.25">
      <c r="A242" s="91" t="s">
        <v>830</v>
      </c>
      <c r="B242" s="91">
        <v>164048</v>
      </c>
      <c r="C242" s="91">
        <v>4</v>
      </c>
      <c r="D242" s="91" t="s">
        <v>1056</v>
      </c>
      <c r="E242" s="91" t="s">
        <v>29</v>
      </c>
      <c r="F242" s="91" t="s">
        <v>138</v>
      </c>
      <c r="G242" s="3">
        <v>1196</v>
      </c>
      <c r="H242" s="2">
        <v>42451</v>
      </c>
      <c r="I242" s="2">
        <v>42464</v>
      </c>
      <c r="J242" s="2">
        <v>42464</v>
      </c>
      <c r="K242" s="2">
        <v>42490</v>
      </c>
      <c r="L242" s="91" t="s">
        <v>31</v>
      </c>
      <c r="M242" s="91">
        <v>50</v>
      </c>
      <c r="N242" s="91">
        <v>164048</v>
      </c>
      <c r="P242" s="91">
        <v>0</v>
      </c>
      <c r="Q242" s="91">
        <v>0</v>
      </c>
      <c r="R242" s="91">
        <v>0</v>
      </c>
      <c r="S242" s="91">
        <v>1</v>
      </c>
      <c r="T242" s="3">
        <v>1196</v>
      </c>
      <c r="U242" s="91">
        <v>22</v>
      </c>
      <c r="V242" s="2">
        <v>42464</v>
      </c>
      <c r="W242" s="2">
        <v>42466</v>
      </c>
      <c r="X242" s="91" t="s">
        <v>353</v>
      </c>
      <c r="Y242" s="91" t="s">
        <v>140</v>
      </c>
      <c r="Z242" s="91" t="s">
        <v>34</v>
      </c>
      <c r="AA242" s="91" t="s">
        <v>35</v>
      </c>
      <c r="AD242" s="95" t="s">
        <v>909</v>
      </c>
      <c r="AE242" s="95">
        <f t="shared" si="3"/>
        <v>3</v>
      </c>
    </row>
    <row r="243" spans="1:31" x14ac:dyDescent="0.25">
      <c r="A243" s="91" t="s">
        <v>832</v>
      </c>
      <c r="B243" s="91">
        <v>164051</v>
      </c>
      <c r="C243" s="91">
        <v>4</v>
      </c>
      <c r="D243" s="91" t="s">
        <v>1057</v>
      </c>
      <c r="E243" s="91" t="s">
        <v>29</v>
      </c>
      <c r="F243" s="91" t="s">
        <v>138</v>
      </c>
      <c r="G243" s="3">
        <v>1196</v>
      </c>
      <c r="H243" s="2">
        <v>42451</v>
      </c>
      <c r="I243" s="2">
        <v>42464</v>
      </c>
      <c r="J243" s="2">
        <v>42464</v>
      </c>
      <c r="K243" s="2">
        <v>42490</v>
      </c>
      <c r="L243" s="91" t="s">
        <v>31</v>
      </c>
      <c r="M243" s="91">
        <v>50</v>
      </c>
      <c r="N243" s="91">
        <v>164051</v>
      </c>
      <c r="P243" s="91">
        <v>0</v>
      </c>
      <c r="Q243" s="91">
        <v>0</v>
      </c>
      <c r="R243" s="91">
        <v>0</v>
      </c>
      <c r="S243" s="91">
        <v>1</v>
      </c>
      <c r="T243" s="3">
        <v>1196</v>
      </c>
      <c r="U243" s="91">
        <v>0</v>
      </c>
      <c r="X243" s="91" t="s">
        <v>353</v>
      </c>
      <c r="Y243" s="91" t="s">
        <v>140</v>
      </c>
      <c r="Z243" s="91" t="s">
        <v>34</v>
      </c>
      <c r="AA243" s="91" t="s">
        <v>35</v>
      </c>
      <c r="AD243" s="95" t="s">
        <v>909</v>
      </c>
      <c r="AE243" s="95">
        <f t="shared" si="3"/>
        <v>3</v>
      </c>
    </row>
    <row r="244" spans="1:31" x14ac:dyDescent="0.25">
      <c r="A244" s="91" t="s">
        <v>833</v>
      </c>
      <c r="C244" s="91">
        <v>3</v>
      </c>
      <c r="D244" s="91" t="s">
        <v>1058</v>
      </c>
      <c r="E244" s="91" t="s">
        <v>29</v>
      </c>
      <c r="F244" s="91" t="s">
        <v>138</v>
      </c>
      <c r="G244" s="3">
        <v>2495</v>
      </c>
      <c r="H244" s="2">
        <v>42451</v>
      </c>
      <c r="I244" s="2">
        <v>42464</v>
      </c>
      <c r="J244" s="2">
        <v>42464</v>
      </c>
      <c r="K244" s="2">
        <v>42551</v>
      </c>
      <c r="L244" s="91" t="s">
        <v>31</v>
      </c>
      <c r="M244" s="91">
        <v>50</v>
      </c>
      <c r="P244" s="91">
        <v>0</v>
      </c>
      <c r="Q244" s="91">
        <v>44</v>
      </c>
      <c r="R244" s="3">
        <v>2496.33</v>
      </c>
      <c r="S244" s="91">
        <v>0</v>
      </c>
      <c r="T244" s="91">
        <v>0</v>
      </c>
      <c r="U244" s="91">
        <v>0</v>
      </c>
      <c r="X244" s="91" t="s">
        <v>353</v>
      </c>
      <c r="Y244" s="91" t="s">
        <v>140</v>
      </c>
      <c r="Z244" s="91" t="s">
        <v>34</v>
      </c>
      <c r="AA244" s="91" t="s">
        <v>35</v>
      </c>
      <c r="AD244" s="95" t="s">
        <v>909</v>
      </c>
      <c r="AE244" s="95">
        <f t="shared" si="3"/>
        <v>3</v>
      </c>
    </row>
    <row r="245" spans="1:31" x14ac:dyDescent="0.25">
      <c r="A245" s="91" t="s">
        <v>834</v>
      </c>
      <c r="C245" s="91">
        <v>3</v>
      </c>
      <c r="D245" s="91" t="s">
        <v>1125</v>
      </c>
      <c r="E245" s="91" t="s">
        <v>29</v>
      </c>
      <c r="F245" s="91" t="s">
        <v>138</v>
      </c>
      <c r="G245" s="3">
        <v>17960</v>
      </c>
      <c r="H245" s="2">
        <v>42451</v>
      </c>
      <c r="I245" s="2">
        <v>42466</v>
      </c>
      <c r="J245" s="2">
        <v>42473</v>
      </c>
      <c r="K245" s="2">
        <v>42551</v>
      </c>
      <c r="L245" s="91" t="s">
        <v>31</v>
      </c>
      <c r="M245" s="91">
        <v>50</v>
      </c>
      <c r="P245" s="91">
        <v>0</v>
      </c>
      <c r="Q245" s="91">
        <v>290</v>
      </c>
      <c r="R245" s="3">
        <v>17966.38</v>
      </c>
      <c r="S245" s="91">
        <v>0</v>
      </c>
      <c r="T245" s="91">
        <v>0</v>
      </c>
      <c r="U245" s="91">
        <v>0</v>
      </c>
      <c r="X245" s="91" t="s">
        <v>1126</v>
      </c>
      <c r="Y245" s="91" t="s">
        <v>140</v>
      </c>
      <c r="Z245" s="91" t="s">
        <v>34</v>
      </c>
      <c r="AA245" s="91" t="s">
        <v>35</v>
      </c>
      <c r="AD245" s="95" t="s">
        <v>909</v>
      </c>
      <c r="AE245" s="95">
        <f t="shared" si="3"/>
        <v>3</v>
      </c>
    </row>
    <row r="246" spans="1:31" x14ac:dyDescent="0.25">
      <c r="A246" s="91" t="s">
        <v>835</v>
      </c>
      <c r="B246" s="91">
        <v>164052</v>
      </c>
      <c r="C246" s="91">
        <v>4</v>
      </c>
      <c r="D246" s="91" t="s">
        <v>1059</v>
      </c>
      <c r="E246" s="91" t="s">
        <v>29</v>
      </c>
      <c r="F246" s="91" t="s">
        <v>138</v>
      </c>
      <c r="G246" s="3">
        <v>5125</v>
      </c>
      <c r="H246" s="2">
        <v>42451</v>
      </c>
      <c r="I246" s="2">
        <v>42468</v>
      </c>
      <c r="J246" s="2">
        <v>42468</v>
      </c>
      <c r="K246" s="2">
        <v>42490</v>
      </c>
      <c r="L246" s="91" t="s">
        <v>31</v>
      </c>
      <c r="M246" s="91">
        <v>50</v>
      </c>
      <c r="N246" s="91">
        <v>164052</v>
      </c>
      <c r="P246" s="91">
        <v>0</v>
      </c>
      <c r="Q246" s="91">
        <v>80</v>
      </c>
      <c r="R246" s="3">
        <v>5120.93</v>
      </c>
      <c r="S246" s="91">
        <v>80</v>
      </c>
      <c r="T246" s="3">
        <v>5125</v>
      </c>
      <c r="U246" s="91">
        <v>77</v>
      </c>
      <c r="V246" s="2">
        <v>42472</v>
      </c>
      <c r="W246" s="2">
        <v>42475</v>
      </c>
      <c r="X246" s="91" t="s">
        <v>353</v>
      </c>
      <c r="Y246" s="91" t="s">
        <v>140</v>
      </c>
      <c r="Z246" s="91" t="s">
        <v>34</v>
      </c>
      <c r="AA246" s="91" t="s">
        <v>35</v>
      </c>
      <c r="AD246" s="95" t="s">
        <v>909</v>
      </c>
      <c r="AE246" s="95">
        <f t="shared" si="3"/>
        <v>3</v>
      </c>
    </row>
    <row r="247" spans="1:31" x14ac:dyDescent="0.25">
      <c r="A247" s="91" t="s">
        <v>836</v>
      </c>
      <c r="B247" s="91">
        <v>164050</v>
      </c>
      <c r="C247" s="91">
        <v>3</v>
      </c>
      <c r="D247" s="91" t="s">
        <v>1060</v>
      </c>
      <c r="E247" s="91" t="s">
        <v>29</v>
      </c>
      <c r="F247" s="91" t="s">
        <v>138</v>
      </c>
      <c r="G247" s="3">
        <v>4550</v>
      </c>
      <c r="H247" s="2">
        <v>42451</v>
      </c>
      <c r="I247" s="2"/>
      <c r="J247" s="2">
        <v>42468</v>
      </c>
      <c r="K247" s="2"/>
      <c r="L247" s="91" t="s">
        <v>31</v>
      </c>
      <c r="M247" s="91">
        <v>50</v>
      </c>
      <c r="N247" s="91">
        <v>164050</v>
      </c>
      <c r="P247" s="91">
        <v>0</v>
      </c>
      <c r="Q247" s="91">
        <v>0</v>
      </c>
      <c r="R247" s="91">
        <v>0</v>
      </c>
      <c r="S247" s="91">
        <v>1</v>
      </c>
      <c r="T247" s="3">
        <v>4550</v>
      </c>
      <c r="U247" s="91">
        <v>2</v>
      </c>
      <c r="X247" s="91" t="s">
        <v>353</v>
      </c>
      <c r="Y247" s="91" t="s">
        <v>140</v>
      </c>
      <c r="Z247" s="91" t="s">
        <v>34</v>
      </c>
      <c r="AA247" s="91" t="s">
        <v>35</v>
      </c>
      <c r="AD247" s="95" t="s">
        <v>909</v>
      </c>
      <c r="AE247" s="95">
        <f t="shared" si="3"/>
        <v>3</v>
      </c>
    </row>
    <row r="248" spans="1:31" x14ac:dyDescent="0.25">
      <c r="A248" s="91" t="s">
        <v>837</v>
      </c>
      <c r="C248" s="91">
        <v>3</v>
      </c>
      <c r="D248" s="91" t="s">
        <v>1127</v>
      </c>
      <c r="E248" s="91" t="s">
        <v>29</v>
      </c>
      <c r="F248" s="91" t="s">
        <v>138</v>
      </c>
      <c r="G248" s="91">
        <v>725</v>
      </c>
      <c r="H248" s="2">
        <v>42451</v>
      </c>
      <c r="I248" s="2">
        <v>42474</v>
      </c>
      <c r="J248" s="2">
        <v>42474</v>
      </c>
      <c r="K248" s="2">
        <v>42490</v>
      </c>
      <c r="L248" s="91" t="s">
        <v>31</v>
      </c>
      <c r="M248" s="91">
        <v>50</v>
      </c>
      <c r="P248" s="91">
        <v>0</v>
      </c>
      <c r="Q248" s="91">
        <v>1</v>
      </c>
      <c r="R248" s="91">
        <v>725</v>
      </c>
      <c r="S248" s="91">
        <v>0</v>
      </c>
      <c r="T248" s="91">
        <v>0</v>
      </c>
      <c r="U248" s="91">
        <v>0</v>
      </c>
      <c r="X248" s="91" t="s">
        <v>1128</v>
      </c>
      <c r="Y248" s="91" t="s">
        <v>140</v>
      </c>
      <c r="Z248" s="91" t="s">
        <v>34</v>
      </c>
      <c r="AA248" s="91" t="s">
        <v>35</v>
      </c>
      <c r="AD248" s="95" t="s">
        <v>909</v>
      </c>
      <c r="AE248" s="95">
        <f t="shared" si="3"/>
        <v>3</v>
      </c>
    </row>
    <row r="249" spans="1:31" x14ac:dyDescent="0.25">
      <c r="A249" s="91" t="s">
        <v>838</v>
      </c>
      <c r="C249" s="91">
        <v>3</v>
      </c>
      <c r="D249" s="91" t="s">
        <v>1129</v>
      </c>
      <c r="E249" s="91" t="s">
        <v>29</v>
      </c>
      <c r="F249" s="91" t="s">
        <v>138</v>
      </c>
      <c r="G249" s="91">
        <v>822</v>
      </c>
      <c r="H249" s="2">
        <v>42451</v>
      </c>
      <c r="I249" s="2">
        <v>42475</v>
      </c>
      <c r="J249" s="2">
        <v>42475</v>
      </c>
      <c r="K249" s="2">
        <v>42490</v>
      </c>
      <c r="L249" s="91" t="s">
        <v>31</v>
      </c>
      <c r="M249" s="91">
        <v>50</v>
      </c>
      <c r="P249" s="91">
        <v>0</v>
      </c>
      <c r="Q249" s="91">
        <v>0</v>
      </c>
      <c r="R249" s="91">
        <v>0</v>
      </c>
      <c r="S249" s="91">
        <v>0</v>
      </c>
      <c r="T249" s="91">
        <v>0</v>
      </c>
      <c r="U249" s="91">
        <v>0</v>
      </c>
      <c r="X249" s="91" t="s">
        <v>353</v>
      </c>
      <c r="Y249" s="91" t="s">
        <v>140</v>
      </c>
      <c r="Z249" s="91" t="s">
        <v>34</v>
      </c>
      <c r="AA249" s="91" t="s">
        <v>35</v>
      </c>
      <c r="AD249" s="95" t="s">
        <v>909</v>
      </c>
      <c r="AE249" s="95">
        <f t="shared" si="3"/>
        <v>3</v>
      </c>
    </row>
    <row r="250" spans="1:31" x14ac:dyDescent="0.25">
      <c r="A250" s="91" t="s">
        <v>839</v>
      </c>
      <c r="C250" s="91">
        <v>1</v>
      </c>
      <c r="D250" s="91" t="s">
        <v>831</v>
      </c>
      <c r="E250" s="91" t="s">
        <v>29</v>
      </c>
      <c r="F250" s="91" t="s">
        <v>138</v>
      </c>
      <c r="G250" s="91">
        <v>0</v>
      </c>
      <c r="H250" s="2">
        <v>42451</v>
      </c>
      <c r="L250" s="91" t="s">
        <v>31</v>
      </c>
      <c r="M250" s="91">
        <v>50</v>
      </c>
      <c r="P250" s="91">
        <v>0</v>
      </c>
      <c r="Q250" s="91">
        <v>0</v>
      </c>
      <c r="R250" s="91">
        <v>0</v>
      </c>
      <c r="S250" s="91">
        <v>0</v>
      </c>
      <c r="T250" s="91">
        <v>0</v>
      </c>
      <c r="U250" s="91">
        <v>0</v>
      </c>
      <c r="X250" s="91" t="s">
        <v>353</v>
      </c>
      <c r="Y250" s="91" t="s">
        <v>140</v>
      </c>
      <c r="Z250" s="91" t="s">
        <v>34</v>
      </c>
      <c r="AA250" s="91" t="s">
        <v>35</v>
      </c>
      <c r="AD250" s="95" t="s">
        <v>909</v>
      </c>
      <c r="AE250" s="95">
        <f t="shared" si="3"/>
        <v>3</v>
      </c>
    </row>
    <row r="251" spans="1:31" x14ac:dyDescent="0.25">
      <c r="A251" s="91" t="s">
        <v>840</v>
      </c>
      <c r="C251" s="91">
        <v>1</v>
      </c>
      <c r="D251" s="91" t="s">
        <v>831</v>
      </c>
      <c r="E251" s="91" t="s">
        <v>29</v>
      </c>
      <c r="F251" s="91" t="s">
        <v>138</v>
      </c>
      <c r="G251" s="91">
        <v>0</v>
      </c>
      <c r="H251" s="2">
        <v>42451</v>
      </c>
      <c r="L251" s="91" t="s">
        <v>31</v>
      </c>
      <c r="M251" s="91">
        <v>50</v>
      </c>
      <c r="P251" s="91">
        <v>0</v>
      </c>
      <c r="Q251" s="91">
        <v>0</v>
      </c>
      <c r="R251" s="91">
        <v>0</v>
      </c>
      <c r="S251" s="91">
        <v>0</v>
      </c>
      <c r="T251" s="91">
        <v>0</v>
      </c>
      <c r="U251" s="91">
        <v>0</v>
      </c>
      <c r="X251" s="91" t="s">
        <v>353</v>
      </c>
      <c r="Y251" s="91" t="s">
        <v>140</v>
      </c>
      <c r="Z251" s="91" t="s">
        <v>34</v>
      </c>
      <c r="AA251" s="91" t="s">
        <v>35</v>
      </c>
      <c r="AD251" s="95" t="s">
        <v>909</v>
      </c>
      <c r="AE251" s="95">
        <f t="shared" si="3"/>
        <v>3</v>
      </c>
    </row>
    <row r="252" spans="1:31" x14ac:dyDescent="0.25">
      <c r="A252" s="91" t="s">
        <v>841</v>
      </c>
      <c r="C252" s="91">
        <v>1</v>
      </c>
      <c r="D252" s="91" t="s">
        <v>831</v>
      </c>
      <c r="E252" s="91" t="s">
        <v>29</v>
      </c>
      <c r="F252" s="91" t="s">
        <v>138</v>
      </c>
      <c r="G252" s="91">
        <v>0</v>
      </c>
      <c r="H252" s="2">
        <v>42451</v>
      </c>
      <c r="L252" s="91" t="s">
        <v>31</v>
      </c>
      <c r="M252" s="91">
        <v>50</v>
      </c>
      <c r="P252" s="91">
        <v>0</v>
      </c>
      <c r="Q252" s="91">
        <v>0</v>
      </c>
      <c r="R252" s="91">
        <v>0</v>
      </c>
      <c r="S252" s="91">
        <v>0</v>
      </c>
      <c r="T252" s="91">
        <v>0</v>
      </c>
      <c r="U252" s="91">
        <v>0</v>
      </c>
      <c r="X252" s="91" t="s">
        <v>353</v>
      </c>
      <c r="Y252" s="91" t="s">
        <v>140</v>
      </c>
      <c r="Z252" s="91" t="s">
        <v>34</v>
      </c>
      <c r="AA252" s="91" t="s">
        <v>35</v>
      </c>
      <c r="AD252" s="95" t="s">
        <v>909</v>
      </c>
      <c r="AE252" s="95">
        <f t="shared" si="3"/>
        <v>3</v>
      </c>
    </row>
    <row r="253" spans="1:31" x14ac:dyDescent="0.25">
      <c r="A253" s="91" t="s">
        <v>842</v>
      </c>
      <c r="C253" s="91">
        <v>1</v>
      </c>
      <c r="D253" s="91" t="s">
        <v>831</v>
      </c>
      <c r="E253" s="91" t="s">
        <v>29</v>
      </c>
      <c r="F253" s="91" t="s">
        <v>138</v>
      </c>
      <c r="G253" s="91">
        <v>0</v>
      </c>
      <c r="H253" s="2">
        <v>42451</v>
      </c>
      <c r="L253" s="91" t="s">
        <v>31</v>
      </c>
      <c r="M253" s="91">
        <v>50</v>
      </c>
      <c r="P253" s="91">
        <v>0</v>
      </c>
      <c r="Q253" s="91">
        <v>0</v>
      </c>
      <c r="R253" s="91">
        <v>0</v>
      </c>
      <c r="S253" s="91">
        <v>0</v>
      </c>
      <c r="T253" s="91">
        <v>0</v>
      </c>
      <c r="U253" s="91">
        <v>0</v>
      </c>
      <c r="X253" s="91" t="s">
        <v>353</v>
      </c>
      <c r="Y253" s="91" t="s">
        <v>140</v>
      </c>
      <c r="Z253" s="91" t="s">
        <v>34</v>
      </c>
      <c r="AA253" s="91" t="s">
        <v>35</v>
      </c>
      <c r="AD253" s="95" t="s">
        <v>909</v>
      </c>
      <c r="AE253" s="95">
        <f t="shared" si="3"/>
        <v>3</v>
      </c>
    </row>
    <row r="254" spans="1:31" x14ac:dyDescent="0.25">
      <c r="A254" s="91" t="s">
        <v>843</v>
      </c>
      <c r="C254" s="91">
        <v>1</v>
      </c>
      <c r="D254" s="91" t="s">
        <v>831</v>
      </c>
      <c r="E254" s="91" t="s">
        <v>29</v>
      </c>
      <c r="F254" s="91" t="s">
        <v>138</v>
      </c>
      <c r="G254" s="91">
        <v>0</v>
      </c>
      <c r="H254" s="2">
        <v>42451</v>
      </c>
      <c r="L254" s="91" t="s">
        <v>31</v>
      </c>
      <c r="M254" s="91">
        <v>50</v>
      </c>
      <c r="P254" s="91">
        <v>0</v>
      </c>
      <c r="Q254" s="91">
        <v>0</v>
      </c>
      <c r="R254" s="91">
        <v>0</v>
      </c>
      <c r="S254" s="91">
        <v>0</v>
      </c>
      <c r="T254" s="91">
        <v>0</v>
      </c>
      <c r="U254" s="91">
        <v>0</v>
      </c>
      <c r="X254" s="91" t="s">
        <v>353</v>
      </c>
      <c r="Y254" s="91" t="s">
        <v>140</v>
      </c>
      <c r="Z254" s="91" t="s">
        <v>34</v>
      </c>
      <c r="AA254" s="91" t="s">
        <v>35</v>
      </c>
      <c r="AD254" s="95" t="s">
        <v>909</v>
      </c>
      <c r="AE254" s="95">
        <f t="shared" si="3"/>
        <v>3</v>
      </c>
    </row>
    <row r="255" spans="1:31" x14ac:dyDescent="0.25">
      <c r="A255" s="91" t="s">
        <v>844</v>
      </c>
      <c r="C255" s="91">
        <v>1</v>
      </c>
      <c r="D255" s="91" t="s">
        <v>831</v>
      </c>
      <c r="E255" s="91" t="s">
        <v>29</v>
      </c>
      <c r="F255" s="91" t="s">
        <v>138</v>
      </c>
      <c r="G255" s="91">
        <v>0</v>
      </c>
      <c r="H255" s="2">
        <v>42451</v>
      </c>
      <c r="L255" s="91" t="s">
        <v>31</v>
      </c>
      <c r="M255" s="91">
        <v>50</v>
      </c>
      <c r="P255" s="91">
        <v>0</v>
      </c>
      <c r="Q255" s="91">
        <v>0</v>
      </c>
      <c r="R255" s="91">
        <v>0</v>
      </c>
      <c r="S255" s="91">
        <v>0</v>
      </c>
      <c r="T255" s="91">
        <v>0</v>
      </c>
      <c r="U255" s="91">
        <v>0</v>
      </c>
      <c r="X255" s="91" t="s">
        <v>353</v>
      </c>
      <c r="Y255" s="91" t="s">
        <v>140</v>
      </c>
      <c r="Z255" s="91" t="s">
        <v>34</v>
      </c>
      <c r="AA255" s="91" t="s">
        <v>35</v>
      </c>
      <c r="AD255" s="95" t="s">
        <v>909</v>
      </c>
      <c r="AE255" s="95">
        <f t="shared" si="3"/>
        <v>3</v>
      </c>
    </row>
    <row r="256" spans="1:31" x14ac:dyDescent="0.25">
      <c r="A256" s="91" t="s">
        <v>845</v>
      </c>
      <c r="C256" s="91">
        <v>1</v>
      </c>
      <c r="D256" s="91" t="s">
        <v>831</v>
      </c>
      <c r="E256" s="91" t="s">
        <v>29</v>
      </c>
      <c r="F256" s="91" t="s">
        <v>138</v>
      </c>
      <c r="G256" s="91">
        <v>0</v>
      </c>
      <c r="H256" s="2">
        <v>42451</v>
      </c>
      <c r="L256" s="91" t="s">
        <v>31</v>
      </c>
      <c r="M256" s="91">
        <v>50</v>
      </c>
      <c r="P256" s="91">
        <v>0</v>
      </c>
      <c r="Q256" s="91">
        <v>0</v>
      </c>
      <c r="R256" s="91">
        <v>0</v>
      </c>
      <c r="S256" s="91">
        <v>0</v>
      </c>
      <c r="T256" s="91">
        <v>0</v>
      </c>
      <c r="U256" s="91">
        <v>0</v>
      </c>
      <c r="X256" s="91" t="s">
        <v>353</v>
      </c>
      <c r="Y256" s="91" t="s">
        <v>140</v>
      </c>
      <c r="Z256" s="91" t="s">
        <v>34</v>
      </c>
      <c r="AA256" s="91" t="s">
        <v>35</v>
      </c>
      <c r="AD256" s="95" t="s">
        <v>909</v>
      </c>
      <c r="AE256" s="95">
        <f t="shared" si="3"/>
        <v>3</v>
      </c>
    </row>
    <row r="257" spans="1:31" x14ac:dyDescent="0.25">
      <c r="A257" s="91" t="s">
        <v>846</v>
      </c>
      <c r="C257" s="91">
        <v>1</v>
      </c>
      <c r="D257" s="91" t="s">
        <v>831</v>
      </c>
      <c r="E257" s="91" t="s">
        <v>29</v>
      </c>
      <c r="F257" s="91" t="s">
        <v>138</v>
      </c>
      <c r="G257" s="91">
        <v>0</v>
      </c>
      <c r="H257" s="2">
        <v>42451</v>
      </c>
      <c r="L257" s="91" t="s">
        <v>31</v>
      </c>
      <c r="M257" s="91">
        <v>50</v>
      </c>
      <c r="P257" s="91">
        <v>0</v>
      </c>
      <c r="Q257" s="91">
        <v>0</v>
      </c>
      <c r="R257" s="91">
        <v>0</v>
      </c>
      <c r="S257" s="91">
        <v>0</v>
      </c>
      <c r="T257" s="91">
        <v>0</v>
      </c>
      <c r="U257" s="91">
        <v>0</v>
      </c>
      <c r="X257" s="91" t="s">
        <v>353</v>
      </c>
      <c r="Y257" s="91" t="s">
        <v>140</v>
      </c>
      <c r="Z257" s="91" t="s">
        <v>34</v>
      </c>
      <c r="AA257" s="91" t="s">
        <v>35</v>
      </c>
      <c r="AD257" s="95" t="s">
        <v>909</v>
      </c>
      <c r="AE257" s="95">
        <f t="shared" si="3"/>
        <v>3</v>
      </c>
    </row>
    <row r="258" spans="1:31" x14ac:dyDescent="0.25">
      <c r="A258" s="91" t="s">
        <v>847</v>
      </c>
      <c r="C258" s="91">
        <v>1</v>
      </c>
      <c r="D258" s="91" t="s">
        <v>831</v>
      </c>
      <c r="E258" s="91" t="s">
        <v>29</v>
      </c>
      <c r="F258" s="91" t="s">
        <v>138</v>
      </c>
      <c r="G258" s="3">
        <v>0</v>
      </c>
      <c r="H258" s="2">
        <v>42451</v>
      </c>
      <c r="J258" s="2"/>
      <c r="L258" s="91" t="s">
        <v>31</v>
      </c>
      <c r="M258" s="91">
        <v>50</v>
      </c>
      <c r="P258" s="91">
        <v>0</v>
      </c>
      <c r="Q258" s="91">
        <v>0</v>
      </c>
      <c r="R258" s="91">
        <v>0</v>
      </c>
      <c r="S258" s="91">
        <v>0</v>
      </c>
      <c r="T258" s="91">
        <v>0</v>
      </c>
      <c r="U258" s="91">
        <v>0</v>
      </c>
      <c r="X258" s="91" t="s">
        <v>353</v>
      </c>
      <c r="Y258" s="91" t="s">
        <v>140</v>
      </c>
      <c r="Z258" s="91" t="s">
        <v>34</v>
      </c>
      <c r="AA258" s="91" t="s">
        <v>35</v>
      </c>
      <c r="AD258" s="95" t="s">
        <v>909</v>
      </c>
      <c r="AE258" s="95">
        <f t="shared" si="3"/>
        <v>3</v>
      </c>
    </row>
    <row r="259" spans="1:31" x14ac:dyDescent="0.25">
      <c r="A259" s="91" t="s">
        <v>848</v>
      </c>
      <c r="B259" s="91">
        <v>160019</v>
      </c>
      <c r="C259" s="91">
        <v>4</v>
      </c>
      <c r="D259" s="91" t="s">
        <v>849</v>
      </c>
      <c r="E259" s="91" t="s">
        <v>65</v>
      </c>
      <c r="F259" s="91" t="s">
        <v>80</v>
      </c>
      <c r="G259" s="3">
        <v>2640</v>
      </c>
      <c r="H259" s="2">
        <v>42451</v>
      </c>
      <c r="I259" s="2">
        <v>42473</v>
      </c>
      <c r="J259" s="2">
        <v>42473</v>
      </c>
      <c r="K259" s="2">
        <v>42470</v>
      </c>
      <c r="L259" s="91" t="s">
        <v>31</v>
      </c>
      <c r="M259" s="91">
        <v>50</v>
      </c>
      <c r="N259" s="91">
        <v>160019</v>
      </c>
      <c r="P259" s="91">
        <v>0</v>
      </c>
      <c r="Q259" s="91">
        <v>48</v>
      </c>
      <c r="R259" s="3">
        <v>2600</v>
      </c>
      <c r="S259" s="91">
        <v>48</v>
      </c>
      <c r="T259" s="3">
        <v>2640</v>
      </c>
      <c r="U259" s="91">
        <v>0</v>
      </c>
      <c r="X259" s="91" t="s">
        <v>81</v>
      </c>
      <c r="Y259" s="91" t="s">
        <v>850</v>
      </c>
      <c r="Z259" s="91" t="s">
        <v>1124</v>
      </c>
      <c r="AA259" s="91" t="s">
        <v>35</v>
      </c>
      <c r="AD259" s="95" t="s">
        <v>909</v>
      </c>
      <c r="AE259" s="95">
        <f t="shared" ref="AE259:AE322" si="4">MONTH(H259)</f>
        <v>3</v>
      </c>
    </row>
    <row r="260" spans="1:31" x14ac:dyDescent="0.25">
      <c r="A260" s="91" t="s">
        <v>851</v>
      </c>
      <c r="C260" s="91">
        <v>3</v>
      </c>
      <c r="D260" s="91" t="s">
        <v>852</v>
      </c>
      <c r="E260" s="91" t="s">
        <v>65</v>
      </c>
      <c r="F260" s="91" t="s">
        <v>66</v>
      </c>
      <c r="G260" s="3">
        <v>1475</v>
      </c>
      <c r="H260" s="2">
        <v>42451</v>
      </c>
      <c r="I260" s="2">
        <v>42459</v>
      </c>
      <c r="J260" s="2">
        <v>42458</v>
      </c>
      <c r="K260" s="2"/>
      <c r="L260" s="91" t="s">
        <v>31</v>
      </c>
      <c r="M260" s="91">
        <v>20</v>
      </c>
      <c r="P260" s="91">
        <v>0</v>
      </c>
      <c r="Q260" s="91">
        <v>1</v>
      </c>
      <c r="R260" s="3">
        <v>1475.45</v>
      </c>
      <c r="S260" s="91">
        <v>0</v>
      </c>
      <c r="T260" s="3">
        <v>0</v>
      </c>
      <c r="U260" s="91">
        <v>0</v>
      </c>
      <c r="X260" s="91" t="s">
        <v>853</v>
      </c>
      <c r="Y260" s="91" t="s">
        <v>854</v>
      </c>
      <c r="Z260" s="91" t="s">
        <v>129</v>
      </c>
      <c r="AA260" s="91" t="s">
        <v>35</v>
      </c>
      <c r="AD260" s="95" t="s">
        <v>909</v>
      </c>
      <c r="AE260" s="95">
        <f t="shared" si="4"/>
        <v>3</v>
      </c>
    </row>
    <row r="261" spans="1:31" x14ac:dyDescent="0.25">
      <c r="A261" s="91" t="s">
        <v>855</v>
      </c>
      <c r="C261" s="91">
        <v>3</v>
      </c>
      <c r="D261" s="91" t="s">
        <v>856</v>
      </c>
      <c r="E261" s="91" t="s">
        <v>65</v>
      </c>
      <c r="F261" s="91" t="s">
        <v>30</v>
      </c>
      <c r="G261" s="3">
        <v>114715</v>
      </c>
      <c r="H261" s="2">
        <v>42452</v>
      </c>
      <c r="I261" s="2">
        <v>42468</v>
      </c>
      <c r="J261" s="2">
        <v>42479</v>
      </c>
      <c r="K261" s="2">
        <v>42521</v>
      </c>
      <c r="L261" s="91" t="s">
        <v>31</v>
      </c>
      <c r="M261" s="91">
        <v>25</v>
      </c>
      <c r="P261" s="91">
        <v>0</v>
      </c>
      <c r="Q261" s="91">
        <v>920</v>
      </c>
      <c r="R261" s="3">
        <v>114712.58</v>
      </c>
      <c r="S261" s="91">
        <v>0</v>
      </c>
      <c r="T261" s="91">
        <v>0</v>
      </c>
      <c r="U261" s="91">
        <v>0</v>
      </c>
      <c r="X261" s="91" t="s">
        <v>1130</v>
      </c>
      <c r="Y261" s="91" t="s">
        <v>857</v>
      </c>
      <c r="Z261" s="91" t="s">
        <v>858</v>
      </c>
      <c r="AA261" s="91" t="s">
        <v>35</v>
      </c>
      <c r="AD261" s="95" t="s">
        <v>909</v>
      </c>
      <c r="AE261" s="95">
        <f t="shared" si="4"/>
        <v>3</v>
      </c>
    </row>
    <row r="262" spans="1:31" x14ac:dyDescent="0.25">
      <c r="A262" s="91" t="s">
        <v>859</v>
      </c>
      <c r="C262" s="91">
        <v>1</v>
      </c>
      <c r="D262" s="91" t="s">
        <v>860</v>
      </c>
      <c r="E262" s="91" t="s">
        <v>29</v>
      </c>
      <c r="F262" s="91" t="s">
        <v>364</v>
      </c>
      <c r="G262" s="3">
        <v>0</v>
      </c>
      <c r="H262" s="2">
        <v>42452</v>
      </c>
      <c r="I262" s="2"/>
      <c r="J262" s="2"/>
      <c r="K262" s="2"/>
      <c r="L262" s="91" t="s">
        <v>31</v>
      </c>
      <c r="M262" s="91">
        <v>50</v>
      </c>
      <c r="P262" s="91">
        <v>0</v>
      </c>
      <c r="Q262" s="91">
        <v>0</v>
      </c>
      <c r="R262" s="3">
        <v>0</v>
      </c>
      <c r="S262" s="91">
        <v>0</v>
      </c>
      <c r="T262" s="91">
        <v>0</v>
      </c>
      <c r="U262" s="91">
        <v>0</v>
      </c>
      <c r="X262" s="91" t="s">
        <v>353</v>
      </c>
      <c r="Y262" s="91" t="s">
        <v>861</v>
      </c>
      <c r="Z262" s="91" t="s">
        <v>367</v>
      </c>
      <c r="AA262" s="91" t="s">
        <v>35</v>
      </c>
      <c r="AD262" s="95" t="s">
        <v>909</v>
      </c>
      <c r="AE262" s="95">
        <f t="shared" si="4"/>
        <v>3</v>
      </c>
    </row>
    <row r="263" spans="1:31" x14ac:dyDescent="0.25">
      <c r="A263" s="91" t="s">
        <v>862</v>
      </c>
      <c r="C263" s="91">
        <v>1</v>
      </c>
      <c r="D263" s="91" t="s">
        <v>860</v>
      </c>
      <c r="E263" s="91" t="s">
        <v>29</v>
      </c>
      <c r="F263" s="91" t="s">
        <v>364</v>
      </c>
      <c r="G263" s="3">
        <v>0</v>
      </c>
      <c r="H263" s="2">
        <v>42452</v>
      </c>
      <c r="I263" s="2"/>
      <c r="L263" s="91" t="s">
        <v>31</v>
      </c>
      <c r="M263" s="91">
        <v>0</v>
      </c>
      <c r="P263" s="91">
        <v>0</v>
      </c>
      <c r="Q263" s="91">
        <v>0</v>
      </c>
      <c r="R263" s="91">
        <v>0</v>
      </c>
      <c r="S263" s="91">
        <v>0</v>
      </c>
      <c r="T263" s="91">
        <v>0</v>
      </c>
      <c r="U263" s="91">
        <v>0</v>
      </c>
      <c r="X263" s="91" t="s">
        <v>353</v>
      </c>
      <c r="Y263" s="91" t="s">
        <v>861</v>
      </c>
      <c r="Z263" s="91" t="s">
        <v>367</v>
      </c>
      <c r="AA263" s="91" t="s">
        <v>35</v>
      </c>
      <c r="AD263" s="95" t="s">
        <v>909</v>
      </c>
      <c r="AE263" s="95">
        <f t="shared" si="4"/>
        <v>3</v>
      </c>
    </row>
    <row r="264" spans="1:31" x14ac:dyDescent="0.25">
      <c r="A264" s="91" t="s">
        <v>863</v>
      </c>
      <c r="C264" s="91">
        <v>1</v>
      </c>
      <c r="D264" s="91" t="s">
        <v>860</v>
      </c>
      <c r="E264" s="91" t="s">
        <v>29</v>
      </c>
      <c r="F264" s="91" t="s">
        <v>364</v>
      </c>
      <c r="G264" s="3">
        <v>0</v>
      </c>
      <c r="H264" s="2">
        <v>42452</v>
      </c>
      <c r="I264" s="2"/>
      <c r="K264" s="2"/>
      <c r="L264" s="91" t="s">
        <v>31</v>
      </c>
      <c r="M264" s="91">
        <v>0</v>
      </c>
      <c r="P264" s="91">
        <v>0</v>
      </c>
      <c r="Q264" s="91">
        <v>0</v>
      </c>
      <c r="R264" s="91">
        <v>0</v>
      </c>
      <c r="S264" s="91">
        <v>0</v>
      </c>
      <c r="T264" s="91">
        <v>0</v>
      </c>
      <c r="U264" s="91">
        <v>0</v>
      </c>
      <c r="X264" s="91" t="s">
        <v>353</v>
      </c>
      <c r="Y264" s="91" t="s">
        <v>861</v>
      </c>
      <c r="Z264" s="91" t="s">
        <v>367</v>
      </c>
      <c r="AA264" s="91" t="s">
        <v>35</v>
      </c>
      <c r="AD264" s="95" t="s">
        <v>909</v>
      </c>
      <c r="AE264" s="95">
        <f t="shared" si="4"/>
        <v>3</v>
      </c>
    </row>
    <row r="265" spans="1:31" x14ac:dyDescent="0.25">
      <c r="A265" s="91" t="s">
        <v>864</v>
      </c>
      <c r="C265" s="91">
        <v>1</v>
      </c>
      <c r="D265" s="91" t="s">
        <v>860</v>
      </c>
      <c r="E265" s="91" t="s">
        <v>29</v>
      </c>
      <c r="F265" s="91" t="s">
        <v>364</v>
      </c>
      <c r="G265" s="3">
        <v>0</v>
      </c>
      <c r="H265" s="2">
        <v>42452</v>
      </c>
      <c r="J265" s="2"/>
      <c r="L265" s="91" t="s">
        <v>31</v>
      </c>
      <c r="M265" s="91">
        <v>0</v>
      </c>
      <c r="P265" s="91">
        <v>0</v>
      </c>
      <c r="Q265" s="91">
        <v>0</v>
      </c>
      <c r="R265" s="3">
        <v>0</v>
      </c>
      <c r="S265" s="91">
        <v>0</v>
      </c>
      <c r="T265" s="3">
        <v>0</v>
      </c>
      <c r="U265" s="91">
        <v>0</v>
      </c>
      <c r="V265" s="2"/>
      <c r="W265" s="2"/>
      <c r="X265" s="91" t="s">
        <v>353</v>
      </c>
      <c r="Y265" s="91" t="s">
        <v>861</v>
      </c>
      <c r="Z265" s="91" t="s">
        <v>367</v>
      </c>
      <c r="AA265" s="91" t="s">
        <v>35</v>
      </c>
      <c r="AD265" s="95" t="s">
        <v>909</v>
      </c>
      <c r="AE265" s="95">
        <f t="shared" si="4"/>
        <v>3</v>
      </c>
    </row>
    <row r="266" spans="1:31" x14ac:dyDescent="0.25">
      <c r="A266" s="91" t="s">
        <v>865</v>
      </c>
      <c r="C266" s="91">
        <v>1</v>
      </c>
      <c r="D266" s="91" t="s">
        <v>860</v>
      </c>
      <c r="E266" s="91" t="s">
        <v>29</v>
      </c>
      <c r="F266" s="91" t="s">
        <v>364</v>
      </c>
      <c r="G266" s="3">
        <v>0</v>
      </c>
      <c r="H266" s="2">
        <v>42452</v>
      </c>
      <c r="I266" s="2"/>
      <c r="J266" s="2"/>
      <c r="K266" s="2"/>
      <c r="L266" s="91" t="s">
        <v>31</v>
      </c>
      <c r="M266" s="91">
        <v>0</v>
      </c>
      <c r="P266" s="91">
        <v>0</v>
      </c>
      <c r="Q266" s="91">
        <v>0</v>
      </c>
      <c r="R266" s="3">
        <v>0</v>
      </c>
      <c r="S266" s="91">
        <v>0</v>
      </c>
      <c r="T266" s="91">
        <v>0</v>
      </c>
      <c r="U266" s="91">
        <v>0</v>
      </c>
      <c r="X266" s="91" t="s">
        <v>353</v>
      </c>
      <c r="Y266" s="91" t="s">
        <v>861</v>
      </c>
      <c r="Z266" s="91" t="s">
        <v>367</v>
      </c>
      <c r="AA266" s="91" t="s">
        <v>35</v>
      </c>
      <c r="AD266" s="95" t="s">
        <v>909</v>
      </c>
      <c r="AE266" s="95">
        <f t="shared" si="4"/>
        <v>3</v>
      </c>
    </row>
    <row r="267" spans="1:31" x14ac:dyDescent="0.25">
      <c r="A267" s="91" t="s">
        <v>866</v>
      </c>
      <c r="C267" s="91">
        <v>1</v>
      </c>
      <c r="D267" s="91" t="s">
        <v>860</v>
      </c>
      <c r="E267" s="91" t="s">
        <v>29</v>
      </c>
      <c r="F267" s="91" t="s">
        <v>364</v>
      </c>
      <c r="G267" s="91">
        <v>0</v>
      </c>
      <c r="H267" s="2">
        <v>42452</v>
      </c>
      <c r="I267" s="2"/>
      <c r="K267" s="2"/>
      <c r="L267" s="91" t="s">
        <v>31</v>
      </c>
      <c r="M267" s="91">
        <v>0</v>
      </c>
      <c r="P267" s="91">
        <v>0</v>
      </c>
      <c r="Q267" s="91">
        <v>0</v>
      </c>
      <c r="R267" s="91">
        <v>0</v>
      </c>
      <c r="S267" s="91">
        <v>0</v>
      </c>
      <c r="T267" s="91">
        <v>0</v>
      </c>
      <c r="U267" s="91">
        <v>0</v>
      </c>
      <c r="X267" s="91" t="s">
        <v>353</v>
      </c>
      <c r="Y267" s="91" t="s">
        <v>861</v>
      </c>
      <c r="Z267" s="91" t="s">
        <v>367</v>
      </c>
      <c r="AA267" s="91" t="s">
        <v>35</v>
      </c>
      <c r="AD267" s="95" t="s">
        <v>909</v>
      </c>
      <c r="AE267" s="95">
        <f t="shared" si="4"/>
        <v>3</v>
      </c>
    </row>
    <row r="268" spans="1:31" x14ac:dyDescent="0.25">
      <c r="A268" s="91" t="s">
        <v>867</v>
      </c>
      <c r="C268" s="91">
        <v>1</v>
      </c>
      <c r="D268" s="91" t="s">
        <v>860</v>
      </c>
      <c r="E268" s="91" t="s">
        <v>29</v>
      </c>
      <c r="F268" s="91" t="s">
        <v>364</v>
      </c>
      <c r="G268" s="3">
        <v>0</v>
      </c>
      <c r="H268" s="2">
        <v>42452</v>
      </c>
      <c r="I268" s="2"/>
      <c r="J268" s="2"/>
      <c r="K268" s="2"/>
      <c r="L268" s="91" t="s">
        <v>31</v>
      </c>
      <c r="M268" s="91">
        <v>0</v>
      </c>
      <c r="P268" s="91">
        <v>0</v>
      </c>
      <c r="Q268" s="91">
        <v>0</v>
      </c>
      <c r="R268" s="3">
        <v>0</v>
      </c>
      <c r="S268" s="91">
        <v>0</v>
      </c>
      <c r="T268" s="91">
        <v>0</v>
      </c>
      <c r="U268" s="91">
        <v>0</v>
      </c>
      <c r="X268" s="91" t="s">
        <v>353</v>
      </c>
      <c r="Y268" s="91" t="s">
        <v>861</v>
      </c>
      <c r="Z268" s="91" t="s">
        <v>367</v>
      </c>
      <c r="AA268" s="91" t="s">
        <v>35</v>
      </c>
      <c r="AD268" s="95" t="s">
        <v>909</v>
      </c>
      <c r="AE268" s="95">
        <f t="shared" si="4"/>
        <v>3</v>
      </c>
    </row>
    <row r="269" spans="1:31" x14ac:dyDescent="0.25">
      <c r="A269" s="91" t="s">
        <v>868</v>
      </c>
      <c r="C269" s="91">
        <v>1</v>
      </c>
      <c r="D269" s="91" t="s">
        <v>860</v>
      </c>
      <c r="E269" s="91" t="s">
        <v>29</v>
      </c>
      <c r="F269" s="91" t="s">
        <v>364</v>
      </c>
      <c r="G269" s="3">
        <v>0</v>
      </c>
      <c r="H269" s="2">
        <v>42452</v>
      </c>
      <c r="I269" s="2"/>
      <c r="J269" s="2"/>
      <c r="K269" s="2"/>
      <c r="L269" s="91" t="s">
        <v>31</v>
      </c>
      <c r="M269" s="91">
        <v>0</v>
      </c>
      <c r="P269" s="91">
        <v>0</v>
      </c>
      <c r="Q269" s="91">
        <v>0</v>
      </c>
      <c r="R269" s="91">
        <v>0</v>
      </c>
      <c r="S269" s="91">
        <v>0</v>
      </c>
      <c r="T269" s="91">
        <v>0</v>
      </c>
      <c r="U269" s="91">
        <v>0</v>
      </c>
      <c r="X269" s="91" t="s">
        <v>353</v>
      </c>
      <c r="Y269" s="91" t="s">
        <v>861</v>
      </c>
      <c r="Z269" s="91" t="s">
        <v>367</v>
      </c>
      <c r="AA269" s="91" t="s">
        <v>35</v>
      </c>
      <c r="AD269" s="95" t="s">
        <v>909</v>
      </c>
      <c r="AE269" s="95">
        <f t="shared" si="4"/>
        <v>3</v>
      </c>
    </row>
    <row r="270" spans="1:31" x14ac:dyDescent="0.25">
      <c r="A270" s="91" t="s">
        <v>869</v>
      </c>
      <c r="C270" s="91">
        <v>1</v>
      </c>
      <c r="D270" s="91" t="s">
        <v>860</v>
      </c>
      <c r="E270" s="91" t="s">
        <v>29</v>
      </c>
      <c r="F270" s="91" t="s">
        <v>364</v>
      </c>
      <c r="G270" s="91">
        <v>0</v>
      </c>
      <c r="H270" s="2">
        <v>42452</v>
      </c>
      <c r="I270" s="2"/>
      <c r="J270" s="2"/>
      <c r="K270" s="2"/>
      <c r="L270" s="91" t="s">
        <v>31</v>
      </c>
      <c r="M270" s="91">
        <v>0</v>
      </c>
      <c r="P270" s="91">
        <v>0</v>
      </c>
      <c r="Q270" s="91">
        <v>0</v>
      </c>
      <c r="R270" s="91">
        <v>0</v>
      </c>
      <c r="S270" s="91">
        <v>0</v>
      </c>
      <c r="T270" s="91">
        <v>0</v>
      </c>
      <c r="U270" s="91">
        <v>0</v>
      </c>
      <c r="X270" s="91" t="s">
        <v>353</v>
      </c>
      <c r="Y270" s="91" t="s">
        <v>861</v>
      </c>
      <c r="Z270" s="91" t="s">
        <v>367</v>
      </c>
      <c r="AA270" s="91" t="s">
        <v>35</v>
      </c>
      <c r="AD270" s="95" t="s">
        <v>909</v>
      </c>
      <c r="AE270" s="95">
        <f t="shared" si="4"/>
        <v>3</v>
      </c>
    </row>
    <row r="271" spans="1:31" x14ac:dyDescent="0.25">
      <c r="A271" s="91" t="s">
        <v>870</v>
      </c>
      <c r="C271" s="91">
        <v>1</v>
      </c>
      <c r="D271" s="91" t="s">
        <v>860</v>
      </c>
      <c r="E271" s="91" t="s">
        <v>29</v>
      </c>
      <c r="F271" s="91" t="s">
        <v>364</v>
      </c>
      <c r="G271" s="91">
        <v>0</v>
      </c>
      <c r="H271" s="2">
        <v>42452</v>
      </c>
      <c r="I271" s="2"/>
      <c r="L271" s="91" t="s">
        <v>31</v>
      </c>
      <c r="M271" s="91">
        <v>0</v>
      </c>
      <c r="P271" s="91">
        <v>0</v>
      </c>
      <c r="Q271" s="91">
        <v>0</v>
      </c>
      <c r="R271" s="91">
        <v>0</v>
      </c>
      <c r="S271" s="91">
        <v>0</v>
      </c>
      <c r="T271" s="91">
        <v>0</v>
      </c>
      <c r="U271" s="91">
        <v>0</v>
      </c>
      <c r="X271" s="91" t="s">
        <v>353</v>
      </c>
      <c r="Y271" s="91" t="s">
        <v>861</v>
      </c>
      <c r="Z271" s="91" t="s">
        <v>367</v>
      </c>
      <c r="AA271" s="91" t="s">
        <v>35</v>
      </c>
      <c r="AD271" s="95" t="s">
        <v>909</v>
      </c>
      <c r="AE271" s="95">
        <f t="shared" si="4"/>
        <v>3</v>
      </c>
    </row>
    <row r="272" spans="1:31" x14ac:dyDescent="0.25">
      <c r="A272" s="91" t="s">
        <v>871</v>
      </c>
      <c r="C272" s="91">
        <v>3</v>
      </c>
      <c r="D272" s="91" t="s">
        <v>872</v>
      </c>
      <c r="E272" s="91" t="s">
        <v>29</v>
      </c>
      <c r="F272" s="91" t="s">
        <v>38</v>
      </c>
      <c r="G272" s="3">
        <v>1780</v>
      </c>
      <c r="H272" s="2">
        <v>42453</v>
      </c>
      <c r="I272" s="2"/>
      <c r="J272" s="2">
        <v>42452</v>
      </c>
      <c r="K272" s="2"/>
      <c r="L272" s="91" t="s">
        <v>31</v>
      </c>
      <c r="M272" s="91">
        <v>50</v>
      </c>
      <c r="P272" s="91">
        <v>0</v>
      </c>
      <c r="Q272" s="91">
        <v>0</v>
      </c>
      <c r="R272" s="91">
        <v>0</v>
      </c>
      <c r="S272" s="91">
        <v>0</v>
      </c>
      <c r="T272" s="91">
        <v>0</v>
      </c>
      <c r="U272" s="91">
        <v>0</v>
      </c>
      <c r="X272" s="91" t="s">
        <v>873</v>
      </c>
      <c r="Y272" s="91" t="s">
        <v>480</v>
      </c>
      <c r="Z272" s="91" t="s">
        <v>34</v>
      </c>
      <c r="AA272" s="91" t="s">
        <v>35</v>
      </c>
      <c r="AD272" s="95" t="s">
        <v>909</v>
      </c>
      <c r="AE272" s="95">
        <f t="shared" si="4"/>
        <v>3</v>
      </c>
    </row>
    <row r="273" spans="1:31" x14ac:dyDescent="0.25">
      <c r="A273" s="91" t="s">
        <v>874</v>
      </c>
      <c r="C273" s="91">
        <v>3</v>
      </c>
      <c r="D273" s="91" t="s">
        <v>875</v>
      </c>
      <c r="E273" s="91" t="s">
        <v>58</v>
      </c>
      <c r="F273" s="91" t="s">
        <v>30</v>
      </c>
      <c r="G273" s="3">
        <v>27360</v>
      </c>
      <c r="H273" s="2">
        <v>42453</v>
      </c>
      <c r="I273" s="2">
        <v>42468</v>
      </c>
      <c r="J273" s="2">
        <v>42465</v>
      </c>
      <c r="K273" s="2">
        <v>42522</v>
      </c>
      <c r="L273" s="91" t="s">
        <v>31</v>
      </c>
      <c r="M273" s="91">
        <v>30</v>
      </c>
      <c r="P273" s="91">
        <v>0</v>
      </c>
      <c r="Q273" s="91">
        <v>166</v>
      </c>
      <c r="R273" s="3">
        <v>27362.75</v>
      </c>
      <c r="S273" s="91">
        <v>0</v>
      </c>
      <c r="T273" s="91">
        <v>0</v>
      </c>
      <c r="U273" s="91">
        <v>0</v>
      </c>
      <c r="X273" s="91" t="s">
        <v>32</v>
      </c>
      <c r="Y273" s="91" t="s">
        <v>1061</v>
      </c>
      <c r="Z273" s="91" t="s">
        <v>202</v>
      </c>
      <c r="AA273" s="91" t="s">
        <v>35</v>
      </c>
      <c r="AD273" s="95" t="s">
        <v>909</v>
      </c>
      <c r="AE273" s="95">
        <f t="shared" si="4"/>
        <v>3</v>
      </c>
    </row>
    <row r="274" spans="1:31" x14ac:dyDescent="0.25">
      <c r="A274" s="91" t="s">
        <v>876</v>
      </c>
      <c r="B274" s="91">
        <v>160626</v>
      </c>
      <c r="C274" s="91">
        <v>4</v>
      </c>
      <c r="D274" s="91" t="s">
        <v>877</v>
      </c>
      <c r="E274" s="91" t="s">
        <v>58</v>
      </c>
      <c r="F274" s="91" t="s">
        <v>59</v>
      </c>
      <c r="G274" s="3">
        <v>3250</v>
      </c>
      <c r="H274" s="2">
        <v>42454</v>
      </c>
      <c r="I274" s="2">
        <v>42459</v>
      </c>
      <c r="J274" s="2">
        <v>42461</v>
      </c>
      <c r="K274" s="2">
        <v>42461</v>
      </c>
      <c r="L274" s="91" t="s">
        <v>31</v>
      </c>
      <c r="M274" s="91">
        <v>80</v>
      </c>
      <c r="N274" s="91">
        <v>160626</v>
      </c>
      <c r="P274" s="91">
        <v>0</v>
      </c>
      <c r="Q274" s="91">
        <v>32</v>
      </c>
      <c r="R274" s="3">
        <v>2815.02</v>
      </c>
      <c r="S274" s="91">
        <v>33</v>
      </c>
      <c r="T274" s="3">
        <v>3250</v>
      </c>
      <c r="U274" s="91">
        <v>28</v>
      </c>
      <c r="V274" s="2">
        <v>42475</v>
      </c>
      <c r="W274" s="2">
        <v>42475</v>
      </c>
      <c r="X274" s="91" t="s">
        <v>100</v>
      </c>
      <c r="Y274" s="91" t="s">
        <v>227</v>
      </c>
      <c r="Z274" s="91" t="s">
        <v>228</v>
      </c>
      <c r="AA274" s="91" t="s">
        <v>35</v>
      </c>
      <c r="AD274" s="95" t="s">
        <v>909</v>
      </c>
      <c r="AE274" s="95">
        <f t="shared" si="4"/>
        <v>3</v>
      </c>
    </row>
    <row r="275" spans="1:31" x14ac:dyDescent="0.25">
      <c r="A275" s="91" t="s">
        <v>878</v>
      </c>
      <c r="C275" s="91">
        <v>1</v>
      </c>
      <c r="D275" s="91" t="s">
        <v>879</v>
      </c>
      <c r="E275" s="91" t="s">
        <v>65</v>
      </c>
      <c r="F275" s="91" t="s">
        <v>66</v>
      </c>
      <c r="G275" s="3">
        <v>18000</v>
      </c>
      <c r="H275" s="2">
        <v>42458</v>
      </c>
      <c r="I275" s="2">
        <v>42465</v>
      </c>
      <c r="J275" s="2"/>
      <c r="K275" s="2"/>
      <c r="L275" s="91" t="s">
        <v>31</v>
      </c>
      <c r="M275" s="91">
        <v>20</v>
      </c>
      <c r="P275" s="91">
        <v>0</v>
      </c>
      <c r="Q275" s="91">
        <v>0</v>
      </c>
      <c r="R275" s="3">
        <v>0</v>
      </c>
      <c r="S275" s="91">
        <v>0</v>
      </c>
      <c r="T275" s="3">
        <v>0</v>
      </c>
      <c r="U275" s="91">
        <v>0</v>
      </c>
      <c r="X275" s="91" t="s">
        <v>880</v>
      </c>
      <c r="Y275" s="91" t="s">
        <v>492</v>
      </c>
      <c r="Z275" s="91" t="s">
        <v>129</v>
      </c>
      <c r="AA275" s="91" t="s">
        <v>35</v>
      </c>
      <c r="AD275" s="95" t="s">
        <v>909</v>
      </c>
      <c r="AE275" s="95">
        <f t="shared" si="4"/>
        <v>3</v>
      </c>
    </row>
    <row r="276" spans="1:31" x14ac:dyDescent="0.25">
      <c r="A276" s="91" t="s">
        <v>881</v>
      </c>
      <c r="B276" s="91">
        <v>160628</v>
      </c>
      <c r="C276" s="91">
        <v>4</v>
      </c>
      <c r="D276" s="91" t="s">
        <v>882</v>
      </c>
      <c r="E276" s="91" t="s">
        <v>58</v>
      </c>
      <c r="F276" s="91" t="s">
        <v>59</v>
      </c>
      <c r="G276" s="3">
        <v>12560</v>
      </c>
      <c r="H276" s="2">
        <v>42459</v>
      </c>
      <c r="I276" s="2">
        <v>42461</v>
      </c>
      <c r="J276" s="2">
        <v>42461</v>
      </c>
      <c r="K276" s="2">
        <v>42478</v>
      </c>
      <c r="L276" s="91" t="s">
        <v>31</v>
      </c>
      <c r="M276" s="91">
        <v>60</v>
      </c>
      <c r="N276" s="91">
        <v>160628</v>
      </c>
      <c r="P276" s="91">
        <v>0</v>
      </c>
      <c r="Q276" s="91">
        <v>160</v>
      </c>
      <c r="R276" s="3">
        <v>12311.34</v>
      </c>
      <c r="S276" s="91">
        <v>160</v>
      </c>
      <c r="T276" s="3">
        <v>12560</v>
      </c>
      <c r="U276" s="91">
        <v>0.5</v>
      </c>
      <c r="X276" s="91" t="s">
        <v>630</v>
      </c>
      <c r="Y276" s="91" t="s">
        <v>337</v>
      </c>
      <c r="Z276" s="91" t="s">
        <v>202</v>
      </c>
      <c r="AA276" s="91" t="s">
        <v>35</v>
      </c>
      <c r="AD276" s="95" t="s">
        <v>909</v>
      </c>
      <c r="AE276" s="95">
        <f t="shared" si="4"/>
        <v>3</v>
      </c>
    </row>
    <row r="277" spans="1:31" x14ac:dyDescent="0.25">
      <c r="A277" s="91" t="s">
        <v>883</v>
      </c>
      <c r="C277" s="91">
        <v>3</v>
      </c>
      <c r="D277" s="91" t="s">
        <v>884</v>
      </c>
      <c r="E277" s="91" t="s">
        <v>65</v>
      </c>
      <c r="F277" s="91" t="s">
        <v>66</v>
      </c>
      <c r="G277" s="3">
        <v>60215</v>
      </c>
      <c r="H277" s="2">
        <v>42459</v>
      </c>
      <c r="I277" s="2">
        <v>42471</v>
      </c>
      <c r="J277" s="2">
        <v>42482</v>
      </c>
      <c r="K277" s="2"/>
      <c r="L277" s="91" t="s">
        <v>31</v>
      </c>
      <c r="M277" s="91">
        <v>25</v>
      </c>
      <c r="P277" s="91">
        <v>0</v>
      </c>
      <c r="Q277" s="91">
        <v>220</v>
      </c>
      <c r="R277" s="3">
        <v>60191.73</v>
      </c>
      <c r="S277" s="91">
        <v>0</v>
      </c>
      <c r="T277" s="91">
        <v>0</v>
      </c>
      <c r="U277" s="91">
        <v>0</v>
      </c>
      <c r="X277" s="91" t="s">
        <v>885</v>
      </c>
      <c r="Y277" s="91" t="s">
        <v>492</v>
      </c>
      <c r="Z277" s="91" t="s">
        <v>129</v>
      </c>
      <c r="AA277" s="91" t="s">
        <v>35</v>
      </c>
      <c r="AD277" s="95" t="s">
        <v>909</v>
      </c>
      <c r="AE277" s="95">
        <f t="shared" si="4"/>
        <v>3</v>
      </c>
    </row>
    <row r="278" spans="1:31" x14ac:dyDescent="0.25">
      <c r="A278" s="91" t="s">
        <v>886</v>
      </c>
      <c r="C278" s="91">
        <v>1</v>
      </c>
      <c r="D278" s="91" t="s">
        <v>887</v>
      </c>
      <c r="E278" s="91" t="s">
        <v>58</v>
      </c>
      <c r="F278" s="91" t="s">
        <v>59</v>
      </c>
      <c r="G278" s="3">
        <v>20000</v>
      </c>
      <c r="H278" s="2">
        <v>42459</v>
      </c>
      <c r="I278" s="2">
        <v>42461</v>
      </c>
      <c r="K278" s="2">
        <v>42506</v>
      </c>
      <c r="L278" s="91" t="s">
        <v>31</v>
      </c>
      <c r="M278" s="91">
        <v>45</v>
      </c>
      <c r="P278" s="91">
        <v>0</v>
      </c>
      <c r="Q278" s="91">
        <v>0</v>
      </c>
      <c r="R278" s="91">
        <v>0</v>
      </c>
      <c r="S278" s="91">
        <v>0</v>
      </c>
      <c r="T278" s="91">
        <v>0</v>
      </c>
      <c r="U278" s="91">
        <v>0</v>
      </c>
      <c r="X278" s="91" t="s">
        <v>100</v>
      </c>
      <c r="Y278" s="91" t="s">
        <v>888</v>
      </c>
      <c r="Z278" s="91" t="s">
        <v>889</v>
      </c>
      <c r="AA278" s="91" t="s">
        <v>35</v>
      </c>
      <c r="AD278" s="95" t="s">
        <v>909</v>
      </c>
      <c r="AE278" s="95">
        <f t="shared" si="4"/>
        <v>3</v>
      </c>
    </row>
    <row r="279" spans="1:31" x14ac:dyDescent="0.25">
      <c r="A279" s="91" t="s">
        <v>890</v>
      </c>
      <c r="B279" s="91">
        <v>164250</v>
      </c>
      <c r="C279" s="91">
        <v>4</v>
      </c>
      <c r="D279" s="91" t="s">
        <v>891</v>
      </c>
      <c r="E279" s="91" t="s">
        <v>29</v>
      </c>
      <c r="F279" s="91" t="s">
        <v>38</v>
      </c>
      <c r="G279" s="3">
        <v>2990</v>
      </c>
      <c r="H279" s="2">
        <v>42459</v>
      </c>
      <c r="J279" s="2">
        <v>42458</v>
      </c>
      <c r="K279" s="2"/>
      <c r="L279" s="91" t="s">
        <v>31</v>
      </c>
      <c r="M279" s="2">
        <v>50</v>
      </c>
      <c r="N279" s="91">
        <v>164250</v>
      </c>
      <c r="P279" s="91">
        <v>0</v>
      </c>
      <c r="Q279" s="91">
        <v>60</v>
      </c>
      <c r="R279" s="3">
        <v>2990.13</v>
      </c>
      <c r="S279" s="91">
        <v>60</v>
      </c>
      <c r="T279" s="3">
        <v>2990</v>
      </c>
      <c r="U279" s="3">
        <v>58</v>
      </c>
      <c r="V279" s="2">
        <v>42458</v>
      </c>
      <c r="W279" s="2">
        <v>42467</v>
      </c>
      <c r="X279" s="91" t="s">
        <v>892</v>
      </c>
      <c r="Y279" s="91" t="s">
        <v>48</v>
      </c>
      <c r="Z279" s="91" t="s">
        <v>34</v>
      </c>
      <c r="AA279" s="91" t="s">
        <v>35</v>
      </c>
      <c r="AD279" s="95" t="s">
        <v>909</v>
      </c>
      <c r="AE279" s="95">
        <f t="shared" si="4"/>
        <v>3</v>
      </c>
    </row>
    <row r="280" spans="1:31" x14ac:dyDescent="0.25">
      <c r="A280" s="91" t="s">
        <v>893</v>
      </c>
      <c r="C280" s="91">
        <v>3</v>
      </c>
      <c r="D280" s="91" t="s">
        <v>894</v>
      </c>
      <c r="E280" s="91" t="s">
        <v>58</v>
      </c>
      <c r="F280" s="91" t="s">
        <v>59</v>
      </c>
      <c r="G280" s="3">
        <v>2675</v>
      </c>
      <c r="H280" s="2">
        <v>42461</v>
      </c>
      <c r="I280" s="2">
        <v>42461</v>
      </c>
      <c r="J280" s="2">
        <v>42461</v>
      </c>
      <c r="K280" s="2">
        <v>42463</v>
      </c>
      <c r="L280" s="91" t="s">
        <v>31</v>
      </c>
      <c r="M280" s="91">
        <v>80</v>
      </c>
      <c r="P280" s="91">
        <v>0</v>
      </c>
      <c r="Q280" s="91">
        <v>32</v>
      </c>
      <c r="R280" s="3">
        <v>2672.43</v>
      </c>
      <c r="S280" s="91">
        <v>0</v>
      </c>
      <c r="T280" s="91">
        <v>0</v>
      </c>
      <c r="U280" s="91">
        <v>0</v>
      </c>
      <c r="X280" s="91" t="s">
        <v>100</v>
      </c>
      <c r="Y280" s="91" t="s">
        <v>227</v>
      </c>
      <c r="Z280" s="91" t="s">
        <v>228</v>
      </c>
      <c r="AA280" s="91" t="s">
        <v>35</v>
      </c>
      <c r="AD280" s="95" t="s">
        <v>909</v>
      </c>
      <c r="AE280" s="95">
        <f t="shared" si="4"/>
        <v>4</v>
      </c>
    </row>
    <row r="281" spans="1:31" x14ac:dyDescent="0.25">
      <c r="A281" s="91" t="s">
        <v>895</v>
      </c>
      <c r="C281" s="91">
        <v>1</v>
      </c>
      <c r="D281" s="91" t="s">
        <v>896</v>
      </c>
      <c r="E281" s="91" t="s">
        <v>58</v>
      </c>
      <c r="F281" s="91" t="s">
        <v>59</v>
      </c>
      <c r="G281" s="3">
        <v>0</v>
      </c>
      <c r="H281" s="2">
        <v>42461</v>
      </c>
      <c r="I281" s="2">
        <v>42479</v>
      </c>
      <c r="J281" s="2"/>
      <c r="K281" s="2">
        <v>42658</v>
      </c>
      <c r="L281" s="91" t="s">
        <v>31</v>
      </c>
      <c r="M281" s="91">
        <v>0</v>
      </c>
      <c r="P281" s="91">
        <v>0</v>
      </c>
      <c r="Q281" s="91">
        <v>0</v>
      </c>
      <c r="R281" s="3">
        <v>0</v>
      </c>
      <c r="S281" s="91">
        <v>0</v>
      </c>
      <c r="T281" s="91">
        <v>0</v>
      </c>
      <c r="U281" s="91">
        <v>0</v>
      </c>
      <c r="X281" s="91">
        <v>6000467134</v>
      </c>
      <c r="Y281" s="91" t="s">
        <v>385</v>
      </c>
      <c r="Z281" s="91" t="s">
        <v>386</v>
      </c>
      <c r="AA281" s="91" t="s">
        <v>35</v>
      </c>
      <c r="AD281" s="95" t="s">
        <v>909</v>
      </c>
      <c r="AE281" s="95">
        <f t="shared" si="4"/>
        <v>4</v>
      </c>
    </row>
    <row r="282" spans="1:31" x14ac:dyDescent="0.25">
      <c r="A282" s="91" t="s">
        <v>897</v>
      </c>
      <c r="C282" s="91">
        <v>3</v>
      </c>
      <c r="D282" s="91" t="s">
        <v>898</v>
      </c>
      <c r="E282" s="91" t="s">
        <v>29</v>
      </c>
      <c r="F282" s="91" t="s">
        <v>30</v>
      </c>
      <c r="G282" s="3">
        <v>6230</v>
      </c>
      <c r="H282" s="2">
        <v>42461</v>
      </c>
      <c r="I282" s="2">
        <v>42468</v>
      </c>
      <c r="J282" s="2">
        <v>42464</v>
      </c>
      <c r="K282" s="2">
        <v>42491</v>
      </c>
      <c r="L282" s="91" t="s">
        <v>31</v>
      </c>
      <c r="M282" s="91">
        <v>30</v>
      </c>
      <c r="P282" s="91">
        <v>0</v>
      </c>
      <c r="Q282" s="91">
        <v>92</v>
      </c>
      <c r="R282" s="3">
        <v>6228.14</v>
      </c>
      <c r="S282" s="91">
        <v>0</v>
      </c>
      <c r="T282" s="91">
        <v>0</v>
      </c>
      <c r="U282" s="91">
        <v>0</v>
      </c>
      <c r="X282" s="91" t="s">
        <v>1062</v>
      </c>
      <c r="Y282" s="91" t="s">
        <v>163</v>
      </c>
      <c r="Z282" s="91" t="s">
        <v>34</v>
      </c>
      <c r="AA282" s="91" t="s">
        <v>35</v>
      </c>
      <c r="AD282" s="95" t="s">
        <v>909</v>
      </c>
      <c r="AE282" s="95">
        <f t="shared" si="4"/>
        <v>4</v>
      </c>
    </row>
    <row r="283" spans="1:31" x14ac:dyDescent="0.25">
      <c r="A283" s="91" t="s">
        <v>899</v>
      </c>
      <c r="B283" s="91">
        <v>160631</v>
      </c>
      <c r="C283" s="91">
        <v>3</v>
      </c>
      <c r="D283" s="91" t="s">
        <v>900</v>
      </c>
      <c r="E283" s="91" t="s">
        <v>58</v>
      </c>
      <c r="F283" s="91" t="s">
        <v>59</v>
      </c>
      <c r="G283" s="3">
        <v>2350</v>
      </c>
      <c r="H283" s="2">
        <v>42461</v>
      </c>
      <c r="I283" s="2">
        <v>42468</v>
      </c>
      <c r="J283" s="2">
        <v>42461</v>
      </c>
      <c r="K283" s="2">
        <v>42506</v>
      </c>
      <c r="L283" s="91" t="s">
        <v>31</v>
      </c>
      <c r="M283" s="91">
        <v>50</v>
      </c>
      <c r="N283" s="91">
        <v>160631</v>
      </c>
      <c r="P283" s="91">
        <v>0</v>
      </c>
      <c r="Q283" s="91">
        <v>0</v>
      </c>
      <c r="R283" s="91">
        <v>0</v>
      </c>
      <c r="S283" s="91">
        <v>1</v>
      </c>
      <c r="T283" s="3">
        <v>2350</v>
      </c>
      <c r="U283" s="91">
        <v>0</v>
      </c>
      <c r="X283" s="91" t="s">
        <v>100</v>
      </c>
      <c r="Y283" s="91" t="s">
        <v>901</v>
      </c>
      <c r="Z283" s="91" t="s">
        <v>202</v>
      </c>
      <c r="AA283" s="91" t="s">
        <v>35</v>
      </c>
      <c r="AD283" s="95" t="s">
        <v>909</v>
      </c>
      <c r="AE283" s="95">
        <f t="shared" si="4"/>
        <v>4</v>
      </c>
    </row>
    <row r="284" spans="1:31" x14ac:dyDescent="0.25">
      <c r="A284" s="91" t="s">
        <v>902</v>
      </c>
      <c r="B284" s="91">
        <v>160627</v>
      </c>
      <c r="C284" s="91">
        <v>4</v>
      </c>
      <c r="D284" s="91" t="s">
        <v>903</v>
      </c>
      <c r="E284" s="91" t="s">
        <v>58</v>
      </c>
      <c r="F284" s="91" t="s">
        <v>59</v>
      </c>
      <c r="G284" s="3">
        <v>750</v>
      </c>
      <c r="H284" s="2">
        <v>42461</v>
      </c>
      <c r="I284" s="2">
        <v>42468</v>
      </c>
      <c r="J284" s="2">
        <v>42461</v>
      </c>
      <c r="K284" s="2">
        <v>42506</v>
      </c>
      <c r="L284" s="91" t="s">
        <v>31</v>
      </c>
      <c r="M284" s="91">
        <v>50</v>
      </c>
      <c r="N284" s="91">
        <v>160627</v>
      </c>
      <c r="P284" s="91">
        <v>0</v>
      </c>
      <c r="Q284" s="91">
        <v>0</v>
      </c>
      <c r="R284" s="91">
        <v>0</v>
      </c>
      <c r="S284" s="91">
        <v>1</v>
      </c>
      <c r="T284" s="91">
        <v>750</v>
      </c>
      <c r="U284" s="91">
        <v>1.5</v>
      </c>
      <c r="X284" s="91" t="s">
        <v>100</v>
      </c>
      <c r="Y284" s="91" t="s">
        <v>901</v>
      </c>
      <c r="Z284" s="91" t="s">
        <v>202</v>
      </c>
      <c r="AA284" s="91" t="s">
        <v>35</v>
      </c>
      <c r="AD284" s="95" t="s">
        <v>909</v>
      </c>
      <c r="AE284" s="95">
        <f t="shared" si="4"/>
        <v>4</v>
      </c>
    </row>
    <row r="285" spans="1:31" x14ac:dyDescent="0.25">
      <c r="A285" s="91" t="s">
        <v>1063</v>
      </c>
      <c r="C285" s="91">
        <v>1</v>
      </c>
      <c r="D285" s="91" t="s">
        <v>1064</v>
      </c>
      <c r="E285" s="91" t="s">
        <v>58</v>
      </c>
      <c r="F285" s="91" t="s">
        <v>87</v>
      </c>
      <c r="G285" s="3">
        <v>0</v>
      </c>
      <c r="H285" s="2">
        <v>42464</v>
      </c>
      <c r="I285" s="2">
        <v>42480</v>
      </c>
      <c r="J285" s="2"/>
      <c r="L285" s="91" t="s">
        <v>31</v>
      </c>
      <c r="M285" s="91">
        <v>0</v>
      </c>
      <c r="P285" s="91">
        <v>0</v>
      </c>
      <c r="Q285" s="91">
        <v>0</v>
      </c>
      <c r="R285" s="3">
        <v>0</v>
      </c>
      <c r="S285" s="91">
        <v>0</v>
      </c>
      <c r="T285" s="91">
        <v>0</v>
      </c>
      <c r="U285" s="91">
        <v>0</v>
      </c>
      <c r="Y285" s="91" t="s">
        <v>1065</v>
      </c>
      <c r="Z285" s="91" t="s">
        <v>390</v>
      </c>
      <c r="AA285" s="91" t="s">
        <v>391</v>
      </c>
      <c r="AB285" s="91" t="s">
        <v>35</v>
      </c>
      <c r="AD285" s="95" t="s">
        <v>909</v>
      </c>
      <c r="AE285" s="95">
        <f t="shared" si="4"/>
        <v>4</v>
      </c>
    </row>
    <row r="286" spans="1:31" x14ac:dyDescent="0.25">
      <c r="A286" s="91" t="s">
        <v>1066</v>
      </c>
      <c r="C286" s="91">
        <v>1</v>
      </c>
      <c r="D286" s="91" t="s">
        <v>1067</v>
      </c>
      <c r="E286" s="91" t="s">
        <v>58</v>
      </c>
      <c r="F286" s="91" t="s">
        <v>30</v>
      </c>
      <c r="G286" s="3">
        <v>30000</v>
      </c>
      <c r="H286" s="2">
        <v>42465</v>
      </c>
      <c r="I286" s="2">
        <v>42468</v>
      </c>
      <c r="J286" s="2"/>
      <c r="K286" s="2">
        <v>42476</v>
      </c>
      <c r="L286" s="91" t="s">
        <v>31</v>
      </c>
      <c r="M286" s="91">
        <v>30</v>
      </c>
      <c r="P286" s="91">
        <v>0</v>
      </c>
      <c r="Q286" s="91">
        <v>0</v>
      </c>
      <c r="R286" s="3">
        <v>0</v>
      </c>
      <c r="S286" s="91">
        <v>0</v>
      </c>
      <c r="T286" s="91">
        <v>0</v>
      </c>
      <c r="U286" s="91">
        <v>0</v>
      </c>
      <c r="X286" s="91" t="s">
        <v>32</v>
      </c>
      <c r="Y286" s="91" t="s">
        <v>1068</v>
      </c>
      <c r="Z286" s="91" t="s">
        <v>1069</v>
      </c>
      <c r="AA286" s="91" t="s">
        <v>35</v>
      </c>
      <c r="AD286" s="95" t="s">
        <v>909</v>
      </c>
      <c r="AE286" s="95">
        <f t="shared" si="4"/>
        <v>4</v>
      </c>
    </row>
    <row r="287" spans="1:31" x14ac:dyDescent="0.25">
      <c r="A287" s="91" t="s">
        <v>1070</v>
      </c>
      <c r="C287" s="91">
        <v>1</v>
      </c>
      <c r="D287" s="91" t="s">
        <v>1071</v>
      </c>
      <c r="E287" s="91" t="s">
        <v>58</v>
      </c>
      <c r="F287" s="91" t="s">
        <v>59</v>
      </c>
      <c r="G287" s="3">
        <v>0</v>
      </c>
      <c r="H287" s="2">
        <v>42465</v>
      </c>
      <c r="I287" s="2">
        <v>42478</v>
      </c>
      <c r="K287" s="2">
        <v>42522</v>
      </c>
      <c r="L287" s="91" t="s">
        <v>31</v>
      </c>
      <c r="M287" s="91">
        <v>0</v>
      </c>
      <c r="P287" s="91">
        <v>0</v>
      </c>
      <c r="Q287" s="91">
        <v>0</v>
      </c>
      <c r="R287" s="91">
        <v>0</v>
      </c>
      <c r="S287" s="91">
        <v>0</v>
      </c>
      <c r="T287" s="91">
        <v>0</v>
      </c>
      <c r="U287" s="91">
        <v>0</v>
      </c>
      <c r="X287" s="91" t="s">
        <v>1072</v>
      </c>
      <c r="Y287" s="91" t="s">
        <v>101</v>
      </c>
      <c r="Z287" s="91" t="s">
        <v>102</v>
      </c>
      <c r="AA287" s="91" t="s">
        <v>35</v>
      </c>
      <c r="AD287" s="95" t="s">
        <v>909</v>
      </c>
      <c r="AE287" s="95">
        <f t="shared" si="4"/>
        <v>4</v>
      </c>
    </row>
    <row r="288" spans="1:31" x14ac:dyDescent="0.25">
      <c r="A288" s="91" t="s">
        <v>1073</v>
      </c>
      <c r="C288" s="91">
        <v>1</v>
      </c>
      <c r="D288" s="91" t="s">
        <v>1074</v>
      </c>
      <c r="E288" s="91" t="s">
        <v>58</v>
      </c>
      <c r="F288" s="91" t="s">
        <v>59</v>
      </c>
      <c r="G288" s="3">
        <v>3500</v>
      </c>
      <c r="H288" s="2">
        <v>42465</v>
      </c>
      <c r="I288" s="2">
        <v>42468</v>
      </c>
      <c r="K288" s="2">
        <v>42736</v>
      </c>
      <c r="L288" s="91" t="s">
        <v>31</v>
      </c>
      <c r="M288" s="91">
        <v>45</v>
      </c>
      <c r="P288" s="91">
        <v>0</v>
      </c>
      <c r="Q288" s="91">
        <v>0</v>
      </c>
      <c r="R288" s="91">
        <v>0</v>
      </c>
      <c r="S288" s="91">
        <v>0</v>
      </c>
      <c r="T288" s="91">
        <v>0</v>
      </c>
      <c r="U288" s="91">
        <v>0</v>
      </c>
      <c r="X288" s="91" t="s">
        <v>100</v>
      </c>
      <c r="Y288" s="91" t="s">
        <v>227</v>
      </c>
      <c r="Z288" s="91" t="s">
        <v>228</v>
      </c>
      <c r="AA288" s="91" t="s">
        <v>35</v>
      </c>
      <c r="AD288" s="95" t="s">
        <v>909</v>
      </c>
      <c r="AE288" s="95">
        <f t="shared" si="4"/>
        <v>4</v>
      </c>
    </row>
    <row r="289" spans="1:31" x14ac:dyDescent="0.25">
      <c r="A289" s="91" t="s">
        <v>1075</v>
      </c>
      <c r="B289" s="91">
        <v>160269</v>
      </c>
      <c r="C289" s="91">
        <v>4</v>
      </c>
      <c r="D289" s="91" t="s">
        <v>1076</v>
      </c>
      <c r="E289" s="91" t="s">
        <v>29</v>
      </c>
      <c r="F289" s="91" t="s">
        <v>30</v>
      </c>
      <c r="G289" s="3">
        <v>1460</v>
      </c>
      <c r="H289" s="2">
        <v>42465</v>
      </c>
      <c r="I289" s="2">
        <v>42465</v>
      </c>
      <c r="J289" s="2">
        <v>42465</v>
      </c>
      <c r="K289" s="2">
        <v>42467</v>
      </c>
      <c r="L289" s="91" t="s">
        <v>31</v>
      </c>
      <c r="M289" s="91">
        <v>100</v>
      </c>
      <c r="N289" s="91">
        <v>160269</v>
      </c>
      <c r="P289" s="91">
        <v>0</v>
      </c>
      <c r="Q289" s="91">
        <v>24</v>
      </c>
      <c r="R289" s="3">
        <v>1463.68</v>
      </c>
      <c r="S289" s="91">
        <v>24</v>
      </c>
      <c r="T289" s="3">
        <v>1460</v>
      </c>
      <c r="U289" s="91">
        <v>24</v>
      </c>
      <c r="V289" s="2">
        <v>42467</v>
      </c>
      <c r="W289" s="2">
        <v>42467</v>
      </c>
      <c r="X289" s="91" t="s">
        <v>32</v>
      </c>
      <c r="Y289" s="91" t="s">
        <v>33</v>
      </c>
      <c r="Z289" s="91" t="s">
        <v>34</v>
      </c>
      <c r="AA289" s="91" t="s">
        <v>35</v>
      </c>
      <c r="AD289" s="95" t="s">
        <v>909</v>
      </c>
      <c r="AE289" s="95">
        <f t="shared" si="4"/>
        <v>4</v>
      </c>
    </row>
    <row r="290" spans="1:31" x14ac:dyDescent="0.25">
      <c r="A290" s="91" t="s">
        <v>1077</v>
      </c>
      <c r="C290" s="91">
        <v>3</v>
      </c>
      <c r="D290" s="91" t="s">
        <v>1078</v>
      </c>
      <c r="E290" s="91" t="s">
        <v>65</v>
      </c>
      <c r="F290" s="91" t="s">
        <v>30</v>
      </c>
      <c r="G290" s="3">
        <v>3870</v>
      </c>
      <c r="H290" s="2">
        <v>42465</v>
      </c>
      <c r="I290" s="2">
        <v>42468</v>
      </c>
      <c r="J290" s="2">
        <v>42466</v>
      </c>
      <c r="K290" s="2">
        <v>42475</v>
      </c>
      <c r="L290" s="91" t="s">
        <v>31</v>
      </c>
      <c r="M290" s="91">
        <v>50</v>
      </c>
      <c r="P290" s="91">
        <v>0</v>
      </c>
      <c r="Q290" s="91">
        <v>16</v>
      </c>
      <c r="R290" s="3">
        <v>3872.11</v>
      </c>
      <c r="S290" s="91">
        <v>0</v>
      </c>
      <c r="T290" s="91">
        <v>0</v>
      </c>
      <c r="U290" s="91">
        <v>0</v>
      </c>
      <c r="X290" s="91" t="s">
        <v>32</v>
      </c>
      <c r="Y290" s="91" t="s">
        <v>265</v>
      </c>
      <c r="Z290" s="91" t="s">
        <v>266</v>
      </c>
      <c r="AA290" s="91" t="s">
        <v>35</v>
      </c>
      <c r="AD290" s="95" t="s">
        <v>909</v>
      </c>
      <c r="AE290" s="95">
        <f t="shared" si="4"/>
        <v>4</v>
      </c>
    </row>
    <row r="291" spans="1:31" x14ac:dyDescent="0.25">
      <c r="A291" s="91" t="s">
        <v>1079</v>
      </c>
      <c r="C291" s="91">
        <v>3</v>
      </c>
      <c r="D291" s="91" t="s">
        <v>1080</v>
      </c>
      <c r="E291" s="91" t="s">
        <v>58</v>
      </c>
      <c r="F291" s="91" t="s">
        <v>59</v>
      </c>
      <c r="G291" s="3">
        <v>21880</v>
      </c>
      <c r="H291" s="2">
        <v>42465</v>
      </c>
      <c r="I291" s="2">
        <v>42473</v>
      </c>
      <c r="J291" s="2">
        <v>42467</v>
      </c>
      <c r="K291" s="2">
        <v>42478</v>
      </c>
      <c r="L291" s="91" t="s">
        <v>31</v>
      </c>
      <c r="M291" s="91">
        <v>55</v>
      </c>
      <c r="P291" s="91">
        <v>0</v>
      </c>
      <c r="Q291" s="91">
        <v>64</v>
      </c>
      <c r="R291" s="3">
        <v>21875.91</v>
      </c>
      <c r="S291" s="91">
        <v>0</v>
      </c>
      <c r="T291" s="91">
        <v>0</v>
      </c>
      <c r="U291" s="91">
        <v>0</v>
      </c>
      <c r="X291" s="91" t="s">
        <v>100</v>
      </c>
      <c r="Y291" s="91" t="s">
        <v>1081</v>
      </c>
      <c r="Z291" s="91" t="s">
        <v>202</v>
      </c>
      <c r="AA291" s="91" t="s">
        <v>35</v>
      </c>
      <c r="AD291" s="95" t="s">
        <v>909</v>
      </c>
      <c r="AE291" s="95">
        <f t="shared" si="4"/>
        <v>4</v>
      </c>
    </row>
    <row r="292" spans="1:31" x14ac:dyDescent="0.25">
      <c r="A292" s="91" t="s">
        <v>1082</v>
      </c>
      <c r="C292" s="91">
        <v>3</v>
      </c>
      <c r="D292" s="91" t="s">
        <v>1083</v>
      </c>
      <c r="E292" s="91" t="s">
        <v>58</v>
      </c>
      <c r="F292" s="91" t="s">
        <v>30</v>
      </c>
      <c r="G292" s="3">
        <v>69000</v>
      </c>
      <c r="H292" s="2">
        <v>42466</v>
      </c>
      <c r="I292" s="2">
        <v>42478</v>
      </c>
      <c r="J292" s="2">
        <v>42480</v>
      </c>
      <c r="K292" s="2">
        <v>42491</v>
      </c>
      <c r="L292" s="91" t="s">
        <v>31</v>
      </c>
      <c r="M292" s="91">
        <v>25</v>
      </c>
      <c r="P292" s="91">
        <v>0</v>
      </c>
      <c r="Q292" s="3">
        <v>1018</v>
      </c>
      <c r="R292" s="3">
        <v>69898.8</v>
      </c>
      <c r="S292" s="91">
        <v>0</v>
      </c>
      <c r="T292" s="91">
        <v>0</v>
      </c>
      <c r="U292" s="91">
        <v>0</v>
      </c>
      <c r="X292" s="91" t="s">
        <v>1084</v>
      </c>
      <c r="Y292" s="91" t="s">
        <v>1085</v>
      </c>
      <c r="Z292" s="91" t="s">
        <v>1086</v>
      </c>
      <c r="AA292" s="91" t="s">
        <v>35</v>
      </c>
      <c r="AD292" s="95" t="s">
        <v>909</v>
      </c>
      <c r="AE292" s="95">
        <f t="shared" si="4"/>
        <v>4</v>
      </c>
    </row>
    <row r="293" spans="1:31" x14ac:dyDescent="0.25">
      <c r="A293" s="91" t="s">
        <v>1087</v>
      </c>
      <c r="C293" s="91">
        <v>3</v>
      </c>
      <c r="D293" s="91" t="s">
        <v>1088</v>
      </c>
      <c r="E293" s="91" t="s">
        <v>29</v>
      </c>
      <c r="F293" s="91" t="s">
        <v>38</v>
      </c>
      <c r="G293" s="3">
        <v>1850</v>
      </c>
      <c r="H293" s="2">
        <v>42466</v>
      </c>
      <c r="J293" s="2">
        <v>42465</v>
      </c>
      <c r="L293" s="91" t="s">
        <v>31</v>
      </c>
      <c r="M293" s="91">
        <v>50</v>
      </c>
      <c r="P293" s="91">
        <v>0</v>
      </c>
      <c r="Q293" s="91">
        <v>34</v>
      </c>
      <c r="R293" s="3">
        <v>1850.18</v>
      </c>
      <c r="S293" s="91">
        <v>0</v>
      </c>
      <c r="T293" s="91">
        <v>0</v>
      </c>
      <c r="U293" s="91">
        <v>0</v>
      </c>
      <c r="X293" s="91" t="s">
        <v>1089</v>
      </c>
      <c r="Y293" s="91" t="s">
        <v>163</v>
      </c>
      <c r="Z293" s="91" t="s">
        <v>34</v>
      </c>
      <c r="AA293" s="91" t="s">
        <v>35</v>
      </c>
      <c r="AD293" s="95" t="s">
        <v>909</v>
      </c>
      <c r="AE293" s="95">
        <f t="shared" si="4"/>
        <v>4</v>
      </c>
    </row>
    <row r="294" spans="1:31" x14ac:dyDescent="0.25">
      <c r="A294" s="91" t="s">
        <v>1090</v>
      </c>
      <c r="C294" s="91">
        <v>3</v>
      </c>
      <c r="D294" s="91" t="s">
        <v>1091</v>
      </c>
      <c r="E294" s="91" t="s">
        <v>29</v>
      </c>
      <c r="F294" s="91" t="s">
        <v>38</v>
      </c>
      <c r="G294" s="3">
        <v>4055</v>
      </c>
      <c r="H294" s="2">
        <v>42466</v>
      </c>
      <c r="J294" s="2">
        <v>42465</v>
      </c>
      <c r="L294" s="91" t="s">
        <v>31</v>
      </c>
      <c r="M294" s="91">
        <v>50</v>
      </c>
      <c r="P294" s="91">
        <v>0</v>
      </c>
      <c r="Q294" s="91">
        <v>82</v>
      </c>
      <c r="R294" s="3">
        <v>4055.37</v>
      </c>
      <c r="S294" s="91">
        <v>0</v>
      </c>
      <c r="T294" s="91">
        <v>0</v>
      </c>
      <c r="U294" s="91">
        <v>0</v>
      </c>
      <c r="X294" s="91" t="s">
        <v>1092</v>
      </c>
      <c r="Y294" s="91" t="s">
        <v>1093</v>
      </c>
      <c r="Z294" s="91" t="s">
        <v>34</v>
      </c>
      <c r="AA294" s="91" t="s">
        <v>35</v>
      </c>
      <c r="AD294" s="95" t="s">
        <v>909</v>
      </c>
      <c r="AE294" s="95">
        <f t="shared" si="4"/>
        <v>4</v>
      </c>
    </row>
    <row r="295" spans="1:31" x14ac:dyDescent="0.25">
      <c r="A295" s="91" t="s">
        <v>1094</v>
      </c>
      <c r="C295" s="91">
        <v>3</v>
      </c>
      <c r="D295" s="91" t="s">
        <v>1095</v>
      </c>
      <c r="E295" s="91" t="s">
        <v>29</v>
      </c>
      <c r="F295" s="91" t="s">
        <v>38</v>
      </c>
      <c r="G295" s="3">
        <v>5350</v>
      </c>
      <c r="H295" s="2">
        <v>42466</v>
      </c>
      <c r="J295" s="2">
        <v>42465</v>
      </c>
      <c r="L295" s="91" t="s">
        <v>31</v>
      </c>
      <c r="M295" s="91">
        <v>50</v>
      </c>
      <c r="P295" s="91">
        <v>0</v>
      </c>
      <c r="Q295" s="91">
        <v>104</v>
      </c>
      <c r="R295" s="3">
        <v>5350.94</v>
      </c>
      <c r="S295" s="91">
        <v>0</v>
      </c>
      <c r="T295" s="91">
        <v>0</v>
      </c>
      <c r="U295" s="91">
        <v>0</v>
      </c>
      <c r="X295" s="91" t="s">
        <v>1096</v>
      </c>
      <c r="Y295" s="91" t="s">
        <v>1097</v>
      </c>
      <c r="Z295" s="91" t="s">
        <v>34</v>
      </c>
      <c r="AA295" s="91" t="s">
        <v>35</v>
      </c>
      <c r="AD295" s="95" t="s">
        <v>909</v>
      </c>
      <c r="AE295" s="95">
        <f t="shared" si="4"/>
        <v>4</v>
      </c>
    </row>
    <row r="296" spans="1:31" x14ac:dyDescent="0.25">
      <c r="A296" s="91" t="s">
        <v>1098</v>
      </c>
      <c r="C296" s="91">
        <v>3</v>
      </c>
      <c r="D296" s="91" t="s">
        <v>1099</v>
      </c>
      <c r="E296" s="91" t="s">
        <v>29</v>
      </c>
      <c r="F296" s="91" t="s">
        <v>38</v>
      </c>
      <c r="G296" s="3">
        <v>7400</v>
      </c>
      <c r="H296" s="2">
        <v>42466</v>
      </c>
      <c r="J296" s="2">
        <v>42465</v>
      </c>
      <c r="L296" s="91" t="s">
        <v>31</v>
      </c>
      <c r="M296" s="91">
        <v>50</v>
      </c>
      <c r="P296" s="91">
        <v>0</v>
      </c>
      <c r="Q296" s="91">
        <v>80</v>
      </c>
      <c r="R296" s="3">
        <v>7400.67</v>
      </c>
      <c r="S296" s="91">
        <v>0</v>
      </c>
      <c r="T296" s="91">
        <v>0</v>
      </c>
      <c r="U296" s="91">
        <v>0</v>
      </c>
      <c r="X296" s="91" t="s">
        <v>1100</v>
      </c>
      <c r="Y296" s="91" t="s">
        <v>1097</v>
      </c>
      <c r="Z296" s="91" t="s">
        <v>34</v>
      </c>
      <c r="AA296" s="91" t="s">
        <v>35</v>
      </c>
      <c r="AD296" s="95" t="s">
        <v>909</v>
      </c>
      <c r="AE296" s="95">
        <f t="shared" si="4"/>
        <v>4</v>
      </c>
    </row>
    <row r="297" spans="1:31" x14ac:dyDescent="0.25">
      <c r="A297" s="91" t="s">
        <v>1101</v>
      </c>
      <c r="C297" s="91">
        <v>1</v>
      </c>
      <c r="D297" s="91" t="s">
        <v>1102</v>
      </c>
      <c r="E297" s="91" t="s">
        <v>58</v>
      </c>
      <c r="F297" s="91" t="s">
        <v>59</v>
      </c>
      <c r="G297" s="91">
        <v>0</v>
      </c>
      <c r="H297" s="2">
        <v>42467</v>
      </c>
      <c r="I297" s="2">
        <v>42489</v>
      </c>
      <c r="L297" s="91" t="s">
        <v>31</v>
      </c>
      <c r="M297" s="91">
        <v>0</v>
      </c>
      <c r="P297" s="91">
        <v>0</v>
      </c>
      <c r="Q297" s="91">
        <v>0</v>
      </c>
      <c r="R297" s="91">
        <v>0</v>
      </c>
      <c r="S297" s="91">
        <v>0</v>
      </c>
      <c r="T297" s="91">
        <v>0</v>
      </c>
      <c r="U297" s="91">
        <v>0</v>
      </c>
      <c r="X297" s="91">
        <v>6000467646</v>
      </c>
      <c r="Y297" s="91" t="s">
        <v>347</v>
      </c>
      <c r="Z297" s="91" t="s">
        <v>386</v>
      </c>
      <c r="AA297" s="91" t="s">
        <v>35</v>
      </c>
      <c r="AD297" s="95" t="s">
        <v>909</v>
      </c>
      <c r="AE297" s="95">
        <f t="shared" si="4"/>
        <v>4</v>
      </c>
    </row>
    <row r="298" spans="1:31" x14ac:dyDescent="0.25">
      <c r="A298" s="91" t="s">
        <v>1103</v>
      </c>
      <c r="C298" s="91">
        <v>3</v>
      </c>
      <c r="D298" s="91" t="s">
        <v>1104</v>
      </c>
      <c r="E298" s="91" t="s">
        <v>58</v>
      </c>
      <c r="F298" s="91" t="s">
        <v>30</v>
      </c>
      <c r="G298" s="3">
        <v>4190</v>
      </c>
      <c r="H298" s="2">
        <v>42467</v>
      </c>
      <c r="I298" s="2">
        <v>42472</v>
      </c>
      <c r="J298" s="2">
        <v>42471</v>
      </c>
      <c r="L298" s="91" t="s">
        <v>31</v>
      </c>
      <c r="M298" s="91">
        <v>0</v>
      </c>
      <c r="P298" s="91">
        <v>0</v>
      </c>
      <c r="Q298" s="91">
        <v>56</v>
      </c>
      <c r="R298" s="3">
        <v>4192.92</v>
      </c>
      <c r="S298" s="91">
        <v>0</v>
      </c>
      <c r="T298" s="91">
        <v>0</v>
      </c>
      <c r="U298" s="91">
        <v>0</v>
      </c>
      <c r="X298" s="91">
        <v>6000467432</v>
      </c>
      <c r="Y298" s="91" t="s">
        <v>483</v>
      </c>
      <c r="Z298" s="91" t="s">
        <v>202</v>
      </c>
      <c r="AA298" s="91" t="s">
        <v>35</v>
      </c>
      <c r="AD298" s="95" t="s">
        <v>909</v>
      </c>
      <c r="AE298" s="95">
        <f t="shared" si="4"/>
        <v>4</v>
      </c>
    </row>
    <row r="299" spans="1:31" x14ac:dyDescent="0.25">
      <c r="A299" s="91" t="s">
        <v>1105</v>
      </c>
      <c r="C299" s="91">
        <v>3</v>
      </c>
      <c r="D299" s="91" t="s">
        <v>1106</v>
      </c>
      <c r="E299" s="91" t="s">
        <v>58</v>
      </c>
      <c r="F299" s="91" t="s">
        <v>59</v>
      </c>
      <c r="G299" s="3">
        <v>2930</v>
      </c>
      <c r="H299" s="2">
        <v>42467</v>
      </c>
      <c r="I299" s="2">
        <v>42475</v>
      </c>
      <c r="J299" s="2">
        <v>42468</v>
      </c>
      <c r="L299" s="91" t="s">
        <v>31</v>
      </c>
      <c r="M299" s="91">
        <v>40</v>
      </c>
      <c r="P299" s="91">
        <v>0</v>
      </c>
      <c r="Q299" s="91">
        <v>16</v>
      </c>
      <c r="R299" s="3">
        <v>2928.76</v>
      </c>
      <c r="S299" s="91">
        <v>0</v>
      </c>
      <c r="T299" s="91">
        <v>0</v>
      </c>
      <c r="U299" s="91">
        <v>0</v>
      </c>
      <c r="X299" s="91" t="s">
        <v>100</v>
      </c>
      <c r="Y299" s="91" t="s">
        <v>625</v>
      </c>
      <c r="Z299" s="91" t="s">
        <v>411</v>
      </c>
      <c r="AA299" s="91" t="s">
        <v>35</v>
      </c>
      <c r="AD299" s="95" t="s">
        <v>909</v>
      </c>
      <c r="AE299" s="95">
        <f t="shared" si="4"/>
        <v>4</v>
      </c>
    </row>
    <row r="300" spans="1:31" x14ac:dyDescent="0.25">
      <c r="A300" s="91" t="s">
        <v>1107</v>
      </c>
      <c r="C300" s="91">
        <v>3</v>
      </c>
      <c r="D300" s="91" t="s">
        <v>1131</v>
      </c>
      <c r="E300" s="91" t="s">
        <v>29</v>
      </c>
      <c r="F300" s="91" t="s">
        <v>38</v>
      </c>
      <c r="G300" s="3">
        <v>1960</v>
      </c>
      <c r="H300" s="2">
        <v>42467</v>
      </c>
      <c r="J300" s="2">
        <v>42467</v>
      </c>
      <c r="L300" s="91" t="s">
        <v>31</v>
      </c>
      <c r="M300" s="91">
        <v>50</v>
      </c>
      <c r="P300" s="91">
        <v>0</v>
      </c>
      <c r="Q300" s="91">
        <v>36</v>
      </c>
      <c r="R300" s="3">
        <v>1960.96</v>
      </c>
      <c r="S300" s="91">
        <v>0</v>
      </c>
      <c r="T300" s="91">
        <v>0</v>
      </c>
      <c r="U300" s="91">
        <v>0</v>
      </c>
      <c r="X300" s="91" t="s">
        <v>1108</v>
      </c>
      <c r="Y300" s="91" t="s">
        <v>512</v>
      </c>
      <c r="Z300" s="91" t="s">
        <v>34</v>
      </c>
      <c r="AA300" s="91" t="s">
        <v>35</v>
      </c>
      <c r="AD300" s="95" t="s">
        <v>909</v>
      </c>
      <c r="AE300" s="95">
        <f t="shared" si="4"/>
        <v>4</v>
      </c>
    </row>
    <row r="301" spans="1:31" x14ac:dyDescent="0.25">
      <c r="A301" s="91" t="s">
        <v>1109</v>
      </c>
      <c r="C301" s="91">
        <v>3</v>
      </c>
      <c r="D301" s="91" t="s">
        <v>1132</v>
      </c>
      <c r="E301" s="91" t="s">
        <v>29</v>
      </c>
      <c r="F301" s="91" t="s">
        <v>38</v>
      </c>
      <c r="G301" s="3">
        <v>3555</v>
      </c>
      <c r="H301" s="2">
        <v>42467</v>
      </c>
      <c r="J301" s="2">
        <v>42467</v>
      </c>
      <c r="L301" s="91" t="s">
        <v>31</v>
      </c>
      <c r="M301" s="91">
        <v>50</v>
      </c>
      <c r="P301" s="91">
        <v>0</v>
      </c>
      <c r="Q301" s="91">
        <v>74</v>
      </c>
      <c r="R301" s="3">
        <v>3555.02</v>
      </c>
      <c r="S301" s="91">
        <v>0</v>
      </c>
      <c r="T301" s="91">
        <v>0</v>
      </c>
      <c r="U301" s="91">
        <v>0</v>
      </c>
      <c r="X301" s="91" t="s">
        <v>1110</v>
      </c>
      <c r="Y301" s="91" t="s">
        <v>1111</v>
      </c>
      <c r="Z301" s="91" t="s">
        <v>34</v>
      </c>
      <c r="AA301" s="91" t="s">
        <v>35</v>
      </c>
      <c r="AD301" s="95" t="s">
        <v>909</v>
      </c>
      <c r="AE301" s="95">
        <f t="shared" si="4"/>
        <v>4</v>
      </c>
    </row>
    <row r="302" spans="1:31" x14ac:dyDescent="0.25">
      <c r="A302" s="91" t="s">
        <v>1133</v>
      </c>
      <c r="C302" s="91">
        <v>1</v>
      </c>
      <c r="D302" s="91" t="s">
        <v>1134</v>
      </c>
      <c r="E302" s="91" t="s">
        <v>65</v>
      </c>
      <c r="F302" s="91" t="s">
        <v>80</v>
      </c>
      <c r="G302" s="3">
        <v>25000</v>
      </c>
      <c r="H302" s="2">
        <v>42468</v>
      </c>
      <c r="K302" s="2">
        <v>42507</v>
      </c>
      <c r="L302" s="91" t="s">
        <v>31</v>
      </c>
      <c r="M302" s="91">
        <v>30</v>
      </c>
      <c r="P302" s="91">
        <v>0</v>
      </c>
      <c r="Q302" s="91">
        <v>0</v>
      </c>
      <c r="R302" s="91">
        <v>0</v>
      </c>
      <c r="S302" s="91">
        <v>0</v>
      </c>
      <c r="T302" s="91">
        <v>0</v>
      </c>
      <c r="U302" s="91">
        <v>0</v>
      </c>
      <c r="Y302" s="91" t="s">
        <v>1135</v>
      </c>
      <c r="Z302" s="91" t="s">
        <v>1136</v>
      </c>
      <c r="AA302" s="91" t="s">
        <v>35</v>
      </c>
      <c r="AD302" s="95" t="s">
        <v>909</v>
      </c>
      <c r="AE302" s="95">
        <f t="shared" si="4"/>
        <v>4</v>
      </c>
    </row>
    <row r="303" spans="1:31" x14ac:dyDescent="0.25">
      <c r="A303" s="91" t="s">
        <v>1112</v>
      </c>
      <c r="B303" s="91">
        <v>160629</v>
      </c>
      <c r="C303" s="91">
        <v>4</v>
      </c>
      <c r="D303" s="91" t="s">
        <v>1113</v>
      </c>
      <c r="E303" s="91" t="s">
        <v>58</v>
      </c>
      <c r="F303" s="91" t="s">
        <v>59</v>
      </c>
      <c r="G303" s="3">
        <v>4755</v>
      </c>
      <c r="H303" s="2">
        <v>42468</v>
      </c>
      <c r="I303" s="2">
        <v>42475</v>
      </c>
      <c r="J303" s="2">
        <v>42471</v>
      </c>
      <c r="L303" s="91" t="s">
        <v>31</v>
      </c>
      <c r="M303" s="91">
        <v>50</v>
      </c>
      <c r="N303" s="91">
        <v>160629</v>
      </c>
      <c r="P303" s="91">
        <v>0</v>
      </c>
      <c r="Q303" s="91">
        <v>0</v>
      </c>
      <c r="R303" s="91">
        <v>0</v>
      </c>
      <c r="S303" s="91">
        <v>1</v>
      </c>
      <c r="T303" s="3">
        <v>4755</v>
      </c>
      <c r="U303" s="91">
        <v>2.5</v>
      </c>
      <c r="X303" s="91" t="s">
        <v>100</v>
      </c>
      <c r="Y303" s="91" t="s">
        <v>471</v>
      </c>
      <c r="Z303" s="91" t="s">
        <v>472</v>
      </c>
      <c r="AA303" s="91" t="s">
        <v>35</v>
      </c>
      <c r="AD303" s="95" t="s">
        <v>909</v>
      </c>
      <c r="AE303" s="95">
        <f t="shared" si="4"/>
        <v>4</v>
      </c>
    </row>
    <row r="304" spans="1:31" x14ac:dyDescent="0.25">
      <c r="A304" s="91" t="s">
        <v>1114</v>
      </c>
      <c r="C304" s="91">
        <v>1</v>
      </c>
      <c r="D304" s="91" t="s">
        <v>1115</v>
      </c>
      <c r="E304" s="91" t="s">
        <v>58</v>
      </c>
      <c r="F304" s="91" t="s">
        <v>59</v>
      </c>
      <c r="G304" s="3">
        <v>6000</v>
      </c>
      <c r="H304" s="2">
        <v>42468</v>
      </c>
      <c r="I304" s="2">
        <v>42473</v>
      </c>
      <c r="K304" s="2">
        <v>42478</v>
      </c>
      <c r="L304" s="91" t="s">
        <v>31</v>
      </c>
      <c r="M304" s="91">
        <v>60</v>
      </c>
      <c r="P304" s="91">
        <v>0</v>
      </c>
      <c r="Q304" s="91">
        <v>0</v>
      </c>
      <c r="R304" s="91">
        <v>0</v>
      </c>
      <c r="S304" s="91">
        <v>0</v>
      </c>
      <c r="T304" s="91">
        <v>0</v>
      </c>
      <c r="U304" s="91">
        <v>0</v>
      </c>
      <c r="X304" s="91" t="s">
        <v>100</v>
      </c>
      <c r="Y304" s="91" t="s">
        <v>337</v>
      </c>
      <c r="Z304" s="91" t="s">
        <v>202</v>
      </c>
      <c r="AD304" s="95" t="s">
        <v>909</v>
      </c>
      <c r="AE304" s="95">
        <f t="shared" si="4"/>
        <v>4</v>
      </c>
    </row>
    <row r="305" spans="1:31" x14ac:dyDescent="0.25">
      <c r="A305" s="91" t="s">
        <v>1137</v>
      </c>
      <c r="C305" s="91">
        <v>1</v>
      </c>
      <c r="D305" s="91" t="s">
        <v>1138</v>
      </c>
      <c r="E305" s="91" t="s">
        <v>65</v>
      </c>
      <c r="F305" s="91" t="s">
        <v>66</v>
      </c>
      <c r="G305" s="3">
        <v>20000</v>
      </c>
      <c r="H305" s="2">
        <v>42472</v>
      </c>
      <c r="I305" s="2">
        <v>42487</v>
      </c>
      <c r="K305" s="2">
        <v>42536</v>
      </c>
      <c r="L305" s="91" t="s">
        <v>31</v>
      </c>
      <c r="M305" s="91">
        <v>25</v>
      </c>
      <c r="P305" s="91">
        <v>0</v>
      </c>
      <c r="Q305" s="91">
        <v>0</v>
      </c>
      <c r="R305" s="91">
        <v>0</v>
      </c>
      <c r="S305" s="91">
        <v>0</v>
      </c>
      <c r="T305" s="91">
        <v>0</v>
      </c>
      <c r="U305" s="91">
        <v>0</v>
      </c>
      <c r="X305" s="91" t="s">
        <v>1139</v>
      </c>
      <c r="Y305" s="91" t="s">
        <v>492</v>
      </c>
      <c r="Z305" s="91" t="s">
        <v>129</v>
      </c>
      <c r="AD305" s="95" t="s">
        <v>909</v>
      </c>
      <c r="AE305" s="95">
        <f t="shared" si="4"/>
        <v>4</v>
      </c>
    </row>
    <row r="306" spans="1:31" x14ac:dyDescent="0.25">
      <c r="A306" s="91" t="s">
        <v>1140</v>
      </c>
      <c r="B306" s="91">
        <v>160270</v>
      </c>
      <c r="C306" s="91">
        <v>4</v>
      </c>
      <c r="D306" s="91" t="s">
        <v>1141</v>
      </c>
      <c r="E306" s="91" t="s">
        <v>29</v>
      </c>
      <c r="F306" s="91" t="s">
        <v>30</v>
      </c>
      <c r="G306" s="91">
        <v>800</v>
      </c>
      <c r="H306" s="2">
        <v>42472</v>
      </c>
      <c r="I306" s="2">
        <v>42472</v>
      </c>
      <c r="J306" s="2">
        <v>42473</v>
      </c>
      <c r="K306" s="2">
        <v>42490</v>
      </c>
      <c r="L306" s="91" t="s">
        <v>31</v>
      </c>
      <c r="M306" s="91">
        <v>30</v>
      </c>
      <c r="N306" s="91">
        <v>160270</v>
      </c>
      <c r="P306" s="91">
        <v>0</v>
      </c>
      <c r="Q306" s="91">
        <v>12</v>
      </c>
      <c r="R306" s="91">
        <v>798.84</v>
      </c>
      <c r="S306" s="91">
        <v>12</v>
      </c>
      <c r="T306" s="91">
        <v>800</v>
      </c>
      <c r="U306" s="91">
        <v>0</v>
      </c>
      <c r="X306" s="91" t="s">
        <v>1142</v>
      </c>
      <c r="Y306" s="91" t="s">
        <v>140</v>
      </c>
      <c r="Z306" s="91" t="s">
        <v>34</v>
      </c>
      <c r="AD306" s="95" t="s">
        <v>909</v>
      </c>
      <c r="AE306" s="95">
        <f t="shared" si="4"/>
        <v>4</v>
      </c>
    </row>
    <row r="307" spans="1:31" x14ac:dyDescent="0.25">
      <c r="A307" s="91" t="s">
        <v>1143</v>
      </c>
      <c r="B307" s="91">
        <v>160272</v>
      </c>
      <c r="C307" s="91">
        <v>4</v>
      </c>
      <c r="D307" s="91" t="s">
        <v>1144</v>
      </c>
      <c r="E307" s="91" t="s">
        <v>29</v>
      </c>
      <c r="F307" s="91" t="s">
        <v>30</v>
      </c>
      <c r="G307" s="91">
        <v>795</v>
      </c>
      <c r="H307" s="2">
        <v>42472</v>
      </c>
      <c r="I307" s="2">
        <v>42472</v>
      </c>
      <c r="J307" s="2">
        <v>42473</v>
      </c>
      <c r="K307" s="2">
        <v>42489</v>
      </c>
      <c r="L307" s="91" t="s">
        <v>31</v>
      </c>
      <c r="M307" s="91">
        <v>100</v>
      </c>
      <c r="N307" s="91">
        <v>160272</v>
      </c>
      <c r="P307" s="91">
        <v>0</v>
      </c>
      <c r="Q307" s="91">
        <v>16</v>
      </c>
      <c r="R307" s="91">
        <v>795.25</v>
      </c>
      <c r="S307" s="91">
        <v>16</v>
      </c>
      <c r="T307" s="91">
        <v>795</v>
      </c>
      <c r="U307" s="91">
        <v>16</v>
      </c>
      <c r="V307" s="2">
        <v>42471</v>
      </c>
      <c r="W307" s="2">
        <v>42471</v>
      </c>
      <c r="X307" s="91" t="s">
        <v>32</v>
      </c>
      <c r="Y307" s="91" t="s">
        <v>33</v>
      </c>
      <c r="Z307" s="91" t="s">
        <v>34</v>
      </c>
      <c r="AD307" s="95" t="s">
        <v>909</v>
      </c>
      <c r="AE307" s="95">
        <f t="shared" si="4"/>
        <v>4</v>
      </c>
    </row>
    <row r="308" spans="1:31" x14ac:dyDescent="0.25">
      <c r="A308" s="91" t="s">
        <v>1145</v>
      </c>
      <c r="B308" s="91">
        <v>160271</v>
      </c>
      <c r="C308" s="91">
        <v>4</v>
      </c>
      <c r="D308" s="91" t="s">
        <v>1146</v>
      </c>
      <c r="E308" s="91" t="s">
        <v>29</v>
      </c>
      <c r="F308" s="91" t="s">
        <v>30</v>
      </c>
      <c r="G308" s="3">
        <v>3560</v>
      </c>
      <c r="H308" s="2">
        <v>42472</v>
      </c>
      <c r="I308" s="2">
        <v>42473</v>
      </c>
      <c r="J308" s="2">
        <v>42473</v>
      </c>
      <c r="K308" s="2">
        <v>42478</v>
      </c>
      <c r="L308" s="91" t="s">
        <v>31</v>
      </c>
      <c r="M308" s="91">
        <v>50</v>
      </c>
      <c r="N308" s="91">
        <v>160271</v>
      </c>
      <c r="P308" s="91">
        <v>0</v>
      </c>
      <c r="Q308" s="91">
        <v>50</v>
      </c>
      <c r="R308" s="3">
        <v>3561.93</v>
      </c>
      <c r="S308" s="91">
        <v>50</v>
      </c>
      <c r="T308" s="3">
        <v>3560</v>
      </c>
      <c r="U308" s="91">
        <v>0</v>
      </c>
      <c r="X308" s="91" t="s">
        <v>32</v>
      </c>
      <c r="Y308" s="91" t="s">
        <v>140</v>
      </c>
      <c r="Z308" s="91" t="s">
        <v>34</v>
      </c>
      <c r="AD308" s="95" t="s">
        <v>909</v>
      </c>
      <c r="AE308" s="95">
        <f t="shared" si="4"/>
        <v>4</v>
      </c>
    </row>
    <row r="309" spans="1:31" x14ac:dyDescent="0.25">
      <c r="A309" s="91" t="s">
        <v>1147</v>
      </c>
      <c r="C309" s="91">
        <v>1</v>
      </c>
      <c r="D309" s="91" t="s">
        <v>1148</v>
      </c>
      <c r="E309" s="91" t="s">
        <v>65</v>
      </c>
      <c r="F309" s="91" t="s">
        <v>66</v>
      </c>
      <c r="G309" s="91">
        <v>0</v>
      </c>
      <c r="H309" s="2">
        <v>42472</v>
      </c>
      <c r="I309" s="2">
        <v>42492</v>
      </c>
      <c r="L309" s="91" t="s">
        <v>31</v>
      </c>
      <c r="M309" s="91">
        <v>0</v>
      </c>
      <c r="P309" s="91">
        <v>0</v>
      </c>
      <c r="Q309" s="91">
        <v>0</v>
      </c>
      <c r="R309" s="91">
        <v>0</v>
      </c>
      <c r="S309" s="91">
        <v>0</v>
      </c>
      <c r="T309" s="91">
        <v>0</v>
      </c>
      <c r="U309" s="91">
        <v>0</v>
      </c>
      <c r="X309" s="91" t="s">
        <v>1149</v>
      </c>
      <c r="Y309" s="91" t="s">
        <v>1150</v>
      </c>
      <c r="Z309" s="91" t="s">
        <v>1151</v>
      </c>
      <c r="AD309" s="95" t="s">
        <v>909</v>
      </c>
      <c r="AE309" s="95">
        <f t="shared" si="4"/>
        <v>4</v>
      </c>
    </row>
    <row r="310" spans="1:31" x14ac:dyDescent="0.25">
      <c r="A310" s="91" t="s">
        <v>1152</v>
      </c>
      <c r="C310" s="91">
        <v>3</v>
      </c>
      <c r="D310" s="91" t="s">
        <v>1153</v>
      </c>
      <c r="E310" s="91" t="s">
        <v>58</v>
      </c>
      <c r="F310" s="91" t="s">
        <v>59</v>
      </c>
      <c r="G310" s="3">
        <v>3293</v>
      </c>
      <c r="H310" s="2">
        <v>42473</v>
      </c>
      <c r="I310" s="2">
        <v>42475</v>
      </c>
      <c r="J310" s="2">
        <v>42473</v>
      </c>
      <c r="K310" s="2">
        <v>42485</v>
      </c>
      <c r="L310" s="91" t="s">
        <v>31</v>
      </c>
      <c r="M310" s="91">
        <v>60</v>
      </c>
      <c r="P310" s="91">
        <v>0</v>
      </c>
      <c r="Q310" s="91">
        <v>0</v>
      </c>
      <c r="R310" s="91">
        <v>0</v>
      </c>
      <c r="S310" s="91">
        <v>0</v>
      </c>
      <c r="T310" s="91">
        <v>0</v>
      </c>
      <c r="U310" s="91">
        <v>0</v>
      </c>
      <c r="X310" s="91" t="s">
        <v>100</v>
      </c>
      <c r="Y310" s="91" t="s">
        <v>337</v>
      </c>
      <c r="Z310" s="91" t="s">
        <v>202</v>
      </c>
      <c r="AD310" s="95" t="s">
        <v>909</v>
      </c>
      <c r="AE310" s="95">
        <f t="shared" si="4"/>
        <v>4</v>
      </c>
    </row>
    <row r="311" spans="1:31" x14ac:dyDescent="0.25">
      <c r="A311" s="91" t="s">
        <v>1154</v>
      </c>
      <c r="C311" s="91">
        <v>3</v>
      </c>
      <c r="D311" s="91" t="s">
        <v>1155</v>
      </c>
      <c r="E311" s="91" t="s">
        <v>65</v>
      </c>
      <c r="F311" s="91" t="s">
        <v>80</v>
      </c>
      <c r="G311" s="3">
        <v>33500</v>
      </c>
      <c r="H311" s="2">
        <v>42473</v>
      </c>
      <c r="I311" s="2">
        <v>42479</v>
      </c>
      <c r="J311" s="2">
        <v>42482</v>
      </c>
      <c r="K311" s="2">
        <v>42552</v>
      </c>
      <c r="L311" s="91" t="s">
        <v>31</v>
      </c>
      <c r="M311" s="91">
        <v>25</v>
      </c>
      <c r="P311" s="91">
        <v>0</v>
      </c>
      <c r="Q311" s="91">
        <v>0</v>
      </c>
      <c r="R311" s="91">
        <v>0</v>
      </c>
      <c r="S311" s="91">
        <v>0</v>
      </c>
      <c r="T311" s="91">
        <v>0</v>
      </c>
      <c r="U311" s="91">
        <v>0</v>
      </c>
      <c r="X311" s="91" t="s">
        <v>81</v>
      </c>
      <c r="Y311" s="91" t="s">
        <v>686</v>
      </c>
      <c r="Z311" s="91" t="s">
        <v>687</v>
      </c>
      <c r="AD311" s="95" t="s">
        <v>909</v>
      </c>
      <c r="AE311" s="95">
        <f t="shared" si="4"/>
        <v>4</v>
      </c>
    </row>
    <row r="312" spans="1:31" x14ac:dyDescent="0.25">
      <c r="A312" s="91" t="s">
        <v>1156</v>
      </c>
      <c r="C312" s="91">
        <v>3</v>
      </c>
      <c r="D312" s="91" t="s">
        <v>1157</v>
      </c>
      <c r="E312" s="91" t="s">
        <v>58</v>
      </c>
      <c r="F312" s="91" t="s">
        <v>87</v>
      </c>
      <c r="G312" s="91">
        <v>0</v>
      </c>
      <c r="H312" s="2">
        <v>42473</v>
      </c>
      <c r="I312" s="2">
        <v>42473</v>
      </c>
      <c r="J312" s="2">
        <v>42473</v>
      </c>
      <c r="K312" s="2">
        <v>42474</v>
      </c>
      <c r="L312" s="91" t="s">
        <v>907</v>
      </c>
      <c r="M312" s="91">
        <v>80</v>
      </c>
      <c r="P312" s="91">
        <v>0</v>
      </c>
      <c r="Q312" s="91">
        <v>0</v>
      </c>
      <c r="R312" s="91">
        <v>0</v>
      </c>
      <c r="S312" s="91">
        <v>0</v>
      </c>
      <c r="T312" s="91">
        <v>0</v>
      </c>
      <c r="U312" s="91">
        <v>0</v>
      </c>
      <c r="X312" s="91" t="s">
        <v>316</v>
      </c>
      <c r="Y312" s="91" t="s">
        <v>1158</v>
      </c>
      <c r="Z312" s="91" t="s">
        <v>1124</v>
      </c>
      <c r="AD312" s="95" t="s">
        <v>909</v>
      </c>
      <c r="AE312" s="95">
        <f t="shared" si="4"/>
        <v>4</v>
      </c>
    </row>
    <row r="313" spans="1:31" x14ac:dyDescent="0.25">
      <c r="A313" s="91" t="s">
        <v>1159</v>
      </c>
      <c r="C313" s="91">
        <v>1</v>
      </c>
      <c r="D313" s="91" t="s">
        <v>1160</v>
      </c>
      <c r="E313" s="91" t="s">
        <v>58</v>
      </c>
      <c r="F313" s="91" t="s">
        <v>59</v>
      </c>
      <c r="G313" s="91">
        <v>0</v>
      </c>
      <c r="H313" s="2">
        <v>42474</v>
      </c>
      <c r="I313" s="2">
        <v>42482</v>
      </c>
      <c r="L313" s="91" t="s">
        <v>31</v>
      </c>
      <c r="M313" s="91">
        <v>0</v>
      </c>
      <c r="P313" s="91">
        <v>0</v>
      </c>
      <c r="Q313" s="91">
        <v>0</v>
      </c>
      <c r="R313" s="91">
        <v>0</v>
      </c>
      <c r="S313" s="91">
        <v>0</v>
      </c>
      <c r="T313" s="91">
        <v>0</v>
      </c>
      <c r="U313" s="91">
        <v>0</v>
      </c>
      <c r="X313" s="91" t="s">
        <v>1161</v>
      </c>
      <c r="Y313" s="91" t="s">
        <v>1162</v>
      </c>
      <c r="Z313" s="91" t="s">
        <v>102</v>
      </c>
      <c r="AD313" s="95" t="s">
        <v>909</v>
      </c>
      <c r="AE313" s="95">
        <f t="shared" si="4"/>
        <v>4</v>
      </c>
    </row>
    <row r="314" spans="1:31" x14ac:dyDescent="0.25">
      <c r="A314" s="91" t="s">
        <v>1163</v>
      </c>
      <c r="B314" s="91">
        <v>160630</v>
      </c>
      <c r="C314" s="91">
        <v>4</v>
      </c>
      <c r="D314" s="91" t="s">
        <v>1164</v>
      </c>
      <c r="E314" s="91" t="s">
        <v>58</v>
      </c>
      <c r="F314" s="91" t="s">
        <v>30</v>
      </c>
      <c r="G314" s="3">
        <v>4050</v>
      </c>
      <c r="H314" s="2">
        <v>42474</v>
      </c>
      <c r="I314" s="2">
        <v>42480</v>
      </c>
      <c r="J314" s="2">
        <v>42474</v>
      </c>
      <c r="L314" s="91" t="s">
        <v>31</v>
      </c>
      <c r="M314" s="91">
        <v>0</v>
      </c>
      <c r="N314" s="91">
        <v>160630</v>
      </c>
      <c r="P314" s="91">
        <v>0</v>
      </c>
      <c r="Q314" s="91">
        <v>28</v>
      </c>
      <c r="R314" s="3">
        <v>4048.54</v>
      </c>
      <c r="S314" s="91">
        <v>28</v>
      </c>
      <c r="T314" s="3">
        <v>4055</v>
      </c>
      <c r="U314" s="91">
        <v>3</v>
      </c>
      <c r="X314" s="91" t="s">
        <v>1165</v>
      </c>
      <c r="Y314" s="91" t="s">
        <v>101</v>
      </c>
      <c r="Z314" s="91" t="s">
        <v>102</v>
      </c>
      <c r="AD314" s="95" t="s">
        <v>909</v>
      </c>
      <c r="AE314" s="95">
        <f t="shared" si="4"/>
        <v>4</v>
      </c>
    </row>
    <row r="315" spans="1:31" x14ac:dyDescent="0.25">
      <c r="A315" s="91" t="s">
        <v>1166</v>
      </c>
      <c r="C315" s="91">
        <v>3</v>
      </c>
      <c r="D315" s="91" t="s">
        <v>1167</v>
      </c>
      <c r="E315" s="91" t="s">
        <v>29</v>
      </c>
      <c r="F315" s="91" t="s">
        <v>38</v>
      </c>
      <c r="G315" s="3">
        <v>12400</v>
      </c>
      <c r="H315" s="2">
        <v>42474</v>
      </c>
      <c r="J315" s="2">
        <v>42472</v>
      </c>
      <c r="L315" s="91" t="s">
        <v>31</v>
      </c>
      <c r="M315" s="91">
        <v>50</v>
      </c>
      <c r="P315" s="91">
        <v>0</v>
      </c>
      <c r="Q315" s="91">
        <v>84</v>
      </c>
      <c r="R315" s="3">
        <v>12400.77</v>
      </c>
      <c r="S315" s="91">
        <v>0</v>
      </c>
      <c r="T315" s="91">
        <v>0</v>
      </c>
      <c r="U315" s="91">
        <v>0</v>
      </c>
      <c r="X315" s="91" t="s">
        <v>1168</v>
      </c>
      <c r="Y315" s="91" t="s">
        <v>163</v>
      </c>
      <c r="Z315" s="91" t="s">
        <v>34</v>
      </c>
      <c r="AD315" s="95" t="s">
        <v>909</v>
      </c>
      <c r="AE315" s="95">
        <f t="shared" si="4"/>
        <v>4</v>
      </c>
    </row>
    <row r="316" spans="1:31" x14ac:dyDescent="0.25">
      <c r="A316" s="91" t="s">
        <v>1169</v>
      </c>
      <c r="C316" s="91">
        <v>3</v>
      </c>
      <c r="D316" s="91" t="s">
        <v>1170</v>
      </c>
      <c r="E316" s="91" t="s">
        <v>58</v>
      </c>
      <c r="F316" s="91" t="s">
        <v>87</v>
      </c>
      <c r="G316" s="91">
        <v>0</v>
      </c>
      <c r="H316" s="2">
        <v>42474</v>
      </c>
      <c r="I316" s="2">
        <v>42475</v>
      </c>
      <c r="J316" s="2">
        <v>42473</v>
      </c>
      <c r="K316" s="2">
        <v>42478</v>
      </c>
      <c r="L316" s="91" t="s">
        <v>907</v>
      </c>
      <c r="M316" s="91">
        <v>0</v>
      </c>
      <c r="P316" s="91">
        <v>0</v>
      </c>
      <c r="Q316" s="3">
        <v>1000</v>
      </c>
      <c r="R316" s="3">
        <v>45972.36</v>
      </c>
      <c r="S316" s="91">
        <v>0</v>
      </c>
      <c r="T316" s="91">
        <v>0</v>
      </c>
      <c r="U316" s="91">
        <v>0</v>
      </c>
      <c r="X316" s="91" t="s">
        <v>105</v>
      </c>
      <c r="Y316" s="91" t="s">
        <v>1171</v>
      </c>
      <c r="Z316" s="91" t="s">
        <v>1172</v>
      </c>
      <c r="AD316" s="95" t="s">
        <v>909</v>
      </c>
      <c r="AE316" s="95">
        <f t="shared" si="4"/>
        <v>4</v>
      </c>
    </row>
    <row r="317" spans="1:31" x14ac:dyDescent="0.25">
      <c r="A317" s="91" t="s">
        <v>1173</v>
      </c>
      <c r="C317" s="91">
        <v>3</v>
      </c>
      <c r="D317" s="91" t="s">
        <v>1174</v>
      </c>
      <c r="E317" s="91" t="s">
        <v>29</v>
      </c>
      <c r="F317" s="91" t="s">
        <v>138</v>
      </c>
      <c r="G317" s="3">
        <v>1895</v>
      </c>
      <c r="H317" s="2">
        <v>42478</v>
      </c>
      <c r="J317" s="2">
        <v>42474</v>
      </c>
      <c r="L317" s="91" t="s">
        <v>31</v>
      </c>
      <c r="M317" s="91">
        <v>50</v>
      </c>
      <c r="P317" s="91">
        <v>0</v>
      </c>
      <c r="Q317" s="91">
        <v>1</v>
      </c>
      <c r="R317" s="3">
        <v>1894.64</v>
      </c>
      <c r="S317" s="91">
        <v>0</v>
      </c>
      <c r="T317" s="91">
        <v>0</v>
      </c>
      <c r="U317" s="91">
        <v>0</v>
      </c>
      <c r="X317" s="91" t="s">
        <v>1175</v>
      </c>
      <c r="Y317" s="91" t="s">
        <v>155</v>
      </c>
      <c r="Z317" s="91" t="s">
        <v>34</v>
      </c>
      <c r="AD317" s="95" t="s">
        <v>909</v>
      </c>
      <c r="AE317" s="95">
        <f t="shared" si="4"/>
        <v>4</v>
      </c>
    </row>
    <row r="318" spans="1:31" x14ac:dyDescent="0.25">
      <c r="A318" s="91" t="s">
        <v>1176</v>
      </c>
      <c r="C318" s="91">
        <v>1</v>
      </c>
      <c r="D318" s="91" t="s">
        <v>1177</v>
      </c>
      <c r="E318" s="91" t="s">
        <v>29</v>
      </c>
      <c r="F318" s="91" t="s">
        <v>30</v>
      </c>
      <c r="G318" s="3">
        <v>6000</v>
      </c>
      <c r="H318" s="2">
        <v>42478</v>
      </c>
      <c r="I318" s="2">
        <v>42482</v>
      </c>
      <c r="K318" s="2">
        <v>42505</v>
      </c>
      <c r="L318" s="91" t="s">
        <v>31</v>
      </c>
      <c r="M318" s="91">
        <v>30</v>
      </c>
      <c r="P318" s="91">
        <v>0</v>
      </c>
      <c r="Q318" s="91">
        <v>0</v>
      </c>
      <c r="R318" s="91">
        <v>0</v>
      </c>
      <c r="S318" s="91">
        <v>0</v>
      </c>
      <c r="T318" s="91">
        <v>0</v>
      </c>
      <c r="U318" s="91">
        <v>0</v>
      </c>
      <c r="X318" s="91" t="s">
        <v>32</v>
      </c>
      <c r="Y318" s="91" t="s">
        <v>33</v>
      </c>
      <c r="Z318" s="91" t="s">
        <v>34</v>
      </c>
      <c r="AD318" s="95" t="s">
        <v>909</v>
      </c>
      <c r="AE318" s="95">
        <f t="shared" si="4"/>
        <v>4</v>
      </c>
    </row>
    <row r="319" spans="1:31" x14ac:dyDescent="0.25">
      <c r="A319" s="91" t="s">
        <v>1178</v>
      </c>
      <c r="C319" s="91">
        <v>1</v>
      </c>
      <c r="D319" s="91" t="s">
        <v>1179</v>
      </c>
      <c r="E319" s="91" t="s">
        <v>58</v>
      </c>
      <c r="F319" s="91" t="s">
        <v>59</v>
      </c>
      <c r="G319" s="91">
        <v>0</v>
      </c>
      <c r="H319" s="2">
        <v>42478</v>
      </c>
      <c r="I319" s="2">
        <v>42486</v>
      </c>
      <c r="K319" s="2">
        <v>42522</v>
      </c>
      <c r="L319" s="91" t="s">
        <v>31</v>
      </c>
      <c r="M319" s="91">
        <v>0</v>
      </c>
      <c r="P319" s="91">
        <v>0</v>
      </c>
      <c r="Q319" s="91">
        <v>0</v>
      </c>
      <c r="R319" s="91">
        <v>0</v>
      </c>
      <c r="S319" s="91">
        <v>0</v>
      </c>
      <c r="T319" s="91">
        <v>0</v>
      </c>
      <c r="U319" s="91">
        <v>0</v>
      </c>
      <c r="X319" s="91" t="s">
        <v>1180</v>
      </c>
      <c r="Y319" s="91" t="s">
        <v>101</v>
      </c>
      <c r="Z319" s="91" t="s">
        <v>102</v>
      </c>
      <c r="AD319" s="95" t="s">
        <v>909</v>
      </c>
      <c r="AE319" s="95">
        <f t="shared" si="4"/>
        <v>4</v>
      </c>
    </row>
    <row r="320" spans="1:31" x14ac:dyDescent="0.25">
      <c r="A320" s="91" t="s">
        <v>1181</v>
      </c>
      <c r="C320" s="91">
        <v>3</v>
      </c>
      <c r="D320" s="91" t="s">
        <v>1182</v>
      </c>
      <c r="E320" s="91" t="s">
        <v>29</v>
      </c>
      <c r="F320" s="91" t="s">
        <v>38</v>
      </c>
      <c r="G320" s="3">
        <v>41350</v>
      </c>
      <c r="H320" s="2">
        <v>42478</v>
      </c>
      <c r="J320" s="2">
        <v>42479</v>
      </c>
      <c r="L320" s="91" t="s">
        <v>31</v>
      </c>
      <c r="M320" s="91">
        <v>50</v>
      </c>
      <c r="P320" s="91">
        <v>0</v>
      </c>
      <c r="Q320" s="91">
        <v>704</v>
      </c>
      <c r="R320" s="3">
        <v>41350.49</v>
      </c>
      <c r="S320" s="91">
        <v>0</v>
      </c>
      <c r="T320" s="91">
        <v>0</v>
      </c>
      <c r="U320" s="91">
        <v>0</v>
      </c>
      <c r="X320" s="91" t="s">
        <v>1183</v>
      </c>
      <c r="Y320" s="91" t="s">
        <v>163</v>
      </c>
      <c r="Z320" s="91" t="s">
        <v>34</v>
      </c>
      <c r="AD320" s="95" t="s">
        <v>909</v>
      </c>
      <c r="AE320" s="95">
        <f t="shared" si="4"/>
        <v>4</v>
      </c>
    </row>
    <row r="321" spans="1:31" x14ac:dyDescent="0.25">
      <c r="A321" s="91" t="s">
        <v>1184</v>
      </c>
      <c r="B321" s="91">
        <v>161120</v>
      </c>
      <c r="C321" s="91">
        <v>4</v>
      </c>
      <c r="D321" s="91" t="s">
        <v>1185</v>
      </c>
      <c r="E321" s="91" t="s">
        <v>58</v>
      </c>
      <c r="F321" s="91" t="s">
        <v>87</v>
      </c>
      <c r="G321" s="91">
        <v>0</v>
      </c>
      <c r="H321" s="2">
        <v>42479</v>
      </c>
      <c r="I321" s="2">
        <v>42478</v>
      </c>
      <c r="J321" s="2">
        <v>42478</v>
      </c>
      <c r="K321" s="2">
        <v>42481</v>
      </c>
      <c r="L321" s="91" t="s">
        <v>907</v>
      </c>
      <c r="M321" s="91">
        <v>0</v>
      </c>
      <c r="N321" s="91">
        <v>161120</v>
      </c>
      <c r="P321" s="91">
        <v>0</v>
      </c>
      <c r="Q321" s="91">
        <v>16</v>
      </c>
      <c r="R321" s="3">
        <v>1158.42</v>
      </c>
      <c r="S321" s="91">
        <v>16</v>
      </c>
      <c r="T321" s="91">
        <v>0</v>
      </c>
      <c r="U321" s="91">
        <v>0</v>
      </c>
      <c r="X321" s="91" t="s">
        <v>1186</v>
      </c>
      <c r="Y321" s="91" t="s">
        <v>1187</v>
      </c>
      <c r="Z321" s="91" t="s">
        <v>1188</v>
      </c>
      <c r="AD321" s="95" t="s">
        <v>909</v>
      </c>
      <c r="AE321" s="95">
        <f t="shared" si="4"/>
        <v>4</v>
      </c>
    </row>
    <row r="322" spans="1:31" x14ac:dyDescent="0.25">
      <c r="A322" s="91" t="s">
        <v>1189</v>
      </c>
      <c r="B322" s="91">
        <v>160632</v>
      </c>
      <c r="C322" s="91">
        <v>4</v>
      </c>
      <c r="D322" s="91" t="s">
        <v>1190</v>
      </c>
      <c r="E322" s="91" t="s">
        <v>58</v>
      </c>
      <c r="F322" s="91" t="s">
        <v>59</v>
      </c>
      <c r="G322" s="3">
        <v>4435</v>
      </c>
      <c r="H322" s="2">
        <v>42479</v>
      </c>
      <c r="I322" s="2">
        <v>42479</v>
      </c>
      <c r="J322" s="2">
        <v>42479</v>
      </c>
      <c r="K322" s="2">
        <v>42479</v>
      </c>
      <c r="L322" s="91" t="s">
        <v>31</v>
      </c>
      <c r="M322" s="91">
        <v>0</v>
      </c>
      <c r="N322" s="91">
        <v>160632</v>
      </c>
      <c r="P322" s="91">
        <v>0</v>
      </c>
      <c r="Q322" s="91">
        <v>0</v>
      </c>
      <c r="R322" s="91">
        <v>0</v>
      </c>
      <c r="S322" s="91">
        <v>40</v>
      </c>
      <c r="T322" s="3">
        <v>4435</v>
      </c>
      <c r="U322" s="91">
        <v>0</v>
      </c>
      <c r="X322" s="91" t="s">
        <v>100</v>
      </c>
      <c r="Y322" s="91" t="s">
        <v>471</v>
      </c>
      <c r="Z322" s="91" t="s">
        <v>472</v>
      </c>
      <c r="AD322" s="95" t="s">
        <v>909</v>
      </c>
      <c r="AE322" s="95">
        <f t="shared" si="4"/>
        <v>4</v>
      </c>
    </row>
    <row r="323" spans="1:31" x14ac:dyDescent="0.25">
      <c r="A323" s="91" t="s">
        <v>1191</v>
      </c>
      <c r="C323" s="91">
        <v>1</v>
      </c>
      <c r="D323" s="91" t="s">
        <v>1192</v>
      </c>
      <c r="E323" s="91" t="s">
        <v>58</v>
      </c>
      <c r="F323" s="91" t="s">
        <v>30</v>
      </c>
      <c r="G323" s="91">
        <v>0</v>
      </c>
      <c r="H323" s="2">
        <v>42482</v>
      </c>
      <c r="L323" s="91" t="s">
        <v>31</v>
      </c>
      <c r="M323" s="91">
        <v>0</v>
      </c>
      <c r="P323" s="91">
        <v>0</v>
      </c>
      <c r="Q323" s="91">
        <v>0</v>
      </c>
      <c r="R323" s="91">
        <v>0</v>
      </c>
      <c r="S323" s="91">
        <v>0</v>
      </c>
      <c r="T323" s="91">
        <v>0</v>
      </c>
      <c r="U323" s="91">
        <v>0</v>
      </c>
      <c r="X323" s="91" t="s">
        <v>1193</v>
      </c>
      <c r="Y323" s="91" t="s">
        <v>549</v>
      </c>
      <c r="Z323" s="91" t="s">
        <v>488</v>
      </c>
      <c r="AD323" s="95" t="s">
        <v>909</v>
      </c>
      <c r="AE323" s="95">
        <f t="shared" ref="AE323:AE328" si="5">MONTH(H323)</f>
        <v>4</v>
      </c>
    </row>
    <row r="324" spans="1:31" x14ac:dyDescent="0.25">
      <c r="A324" s="91" t="s">
        <v>1194</v>
      </c>
      <c r="C324" s="91">
        <v>1</v>
      </c>
      <c r="D324" s="91" t="s">
        <v>1195</v>
      </c>
      <c r="E324" s="91" t="s">
        <v>58</v>
      </c>
      <c r="F324" s="91" t="s">
        <v>59</v>
      </c>
      <c r="G324" s="3">
        <v>5000</v>
      </c>
      <c r="H324" s="2">
        <v>42482</v>
      </c>
      <c r="I324" s="2">
        <v>42495</v>
      </c>
      <c r="K324" s="2">
        <v>42499</v>
      </c>
      <c r="L324" s="91" t="s">
        <v>31</v>
      </c>
      <c r="M324" s="91">
        <v>50</v>
      </c>
      <c r="P324" s="91">
        <v>0</v>
      </c>
      <c r="Q324" s="91">
        <v>0</v>
      </c>
      <c r="R324" s="91">
        <v>0</v>
      </c>
      <c r="S324" s="91">
        <v>0</v>
      </c>
      <c r="T324" s="91">
        <v>0</v>
      </c>
      <c r="U324" s="91">
        <v>0</v>
      </c>
      <c r="X324" s="91" t="s">
        <v>100</v>
      </c>
      <c r="Y324" s="91" t="s">
        <v>1196</v>
      </c>
      <c r="Z324" s="91" t="s">
        <v>472</v>
      </c>
      <c r="AD324" s="95" t="s">
        <v>909</v>
      </c>
      <c r="AE324" s="95">
        <f t="shared" si="5"/>
        <v>4</v>
      </c>
    </row>
    <row r="325" spans="1:31" x14ac:dyDescent="0.25">
      <c r="A325" s="91" t="s">
        <v>1197</v>
      </c>
      <c r="C325" s="91">
        <v>1</v>
      </c>
      <c r="D325" s="91" t="s">
        <v>1198</v>
      </c>
      <c r="E325" s="91" t="s">
        <v>58</v>
      </c>
      <c r="F325" s="91" t="s">
        <v>59</v>
      </c>
      <c r="G325" s="3">
        <v>25000</v>
      </c>
      <c r="H325" s="2">
        <v>42482</v>
      </c>
      <c r="I325" s="2">
        <v>42496</v>
      </c>
      <c r="K325" s="2">
        <v>42536</v>
      </c>
      <c r="L325" s="91" t="s">
        <v>31</v>
      </c>
      <c r="M325" s="91">
        <v>60</v>
      </c>
      <c r="P325" s="91">
        <v>0</v>
      </c>
      <c r="Q325" s="91">
        <v>0</v>
      </c>
      <c r="R325" s="91">
        <v>0</v>
      </c>
      <c r="S325" s="91">
        <v>0</v>
      </c>
      <c r="T325" s="91">
        <v>0</v>
      </c>
      <c r="U325" s="91">
        <v>0</v>
      </c>
      <c r="X325" s="91" t="s">
        <v>100</v>
      </c>
      <c r="Y325" s="91" t="s">
        <v>471</v>
      </c>
      <c r="Z325" s="91" t="s">
        <v>472</v>
      </c>
      <c r="AD325" s="95" t="s">
        <v>909</v>
      </c>
      <c r="AE325" s="95">
        <f t="shared" si="5"/>
        <v>4</v>
      </c>
    </row>
    <row r="326" spans="1:31" x14ac:dyDescent="0.25">
      <c r="A326" s="91" t="s">
        <v>1199</v>
      </c>
      <c r="C326" s="91">
        <v>1</v>
      </c>
      <c r="D326" s="91" t="s">
        <v>1200</v>
      </c>
      <c r="E326" s="91" t="s">
        <v>58</v>
      </c>
      <c r="F326" s="91" t="s">
        <v>59</v>
      </c>
      <c r="G326" s="3">
        <v>2000</v>
      </c>
      <c r="H326" s="2">
        <v>42482</v>
      </c>
      <c r="I326" s="2">
        <v>42496</v>
      </c>
      <c r="K326" s="2">
        <v>42521</v>
      </c>
      <c r="L326" s="91" t="s">
        <v>31</v>
      </c>
      <c r="M326" s="91">
        <v>60</v>
      </c>
      <c r="P326" s="91">
        <v>0</v>
      </c>
      <c r="Q326" s="91">
        <v>0</v>
      </c>
      <c r="R326" s="91">
        <v>0</v>
      </c>
      <c r="S326" s="91">
        <v>0</v>
      </c>
      <c r="T326" s="91">
        <v>0</v>
      </c>
      <c r="U326" s="91">
        <v>0</v>
      </c>
      <c r="X326" s="91" t="s">
        <v>100</v>
      </c>
      <c r="Y326" s="91" t="s">
        <v>471</v>
      </c>
      <c r="Z326" s="91" t="s">
        <v>472</v>
      </c>
      <c r="AD326" s="95" t="s">
        <v>909</v>
      </c>
      <c r="AE326" s="95">
        <f t="shared" si="5"/>
        <v>4</v>
      </c>
    </row>
    <row r="327" spans="1:31" x14ac:dyDescent="0.25">
      <c r="A327" s="91" t="s">
        <v>1201</v>
      </c>
      <c r="C327" s="91">
        <v>1</v>
      </c>
      <c r="D327" s="91" t="s">
        <v>1202</v>
      </c>
      <c r="E327" s="91" t="s">
        <v>58</v>
      </c>
      <c r="F327" s="91" t="s">
        <v>59</v>
      </c>
      <c r="G327" s="3">
        <v>10000</v>
      </c>
      <c r="H327" s="2">
        <v>42482</v>
      </c>
      <c r="I327" s="2">
        <v>42496</v>
      </c>
      <c r="K327" s="2">
        <v>42521</v>
      </c>
      <c r="L327" s="91" t="s">
        <v>31</v>
      </c>
      <c r="M327" s="91">
        <v>60</v>
      </c>
      <c r="P327" s="91">
        <v>0</v>
      </c>
      <c r="Q327" s="91">
        <v>0</v>
      </c>
      <c r="R327" s="91">
        <v>0</v>
      </c>
      <c r="S327" s="91">
        <v>0</v>
      </c>
      <c r="T327" s="91">
        <v>0</v>
      </c>
      <c r="U327" s="91">
        <v>0</v>
      </c>
      <c r="X327" s="91" t="s">
        <v>100</v>
      </c>
      <c r="Y327" s="91" t="s">
        <v>471</v>
      </c>
      <c r="Z327" s="91" t="s">
        <v>472</v>
      </c>
      <c r="AD327" s="95" t="s">
        <v>909</v>
      </c>
      <c r="AE327" s="95">
        <f t="shared" si="5"/>
        <v>4</v>
      </c>
    </row>
    <row r="328" spans="1:31" x14ac:dyDescent="0.25">
      <c r="A328" s="91" t="s">
        <v>1203</v>
      </c>
      <c r="C328" s="91">
        <v>1</v>
      </c>
      <c r="D328" s="91" t="s">
        <v>1204</v>
      </c>
      <c r="E328" s="91" t="s">
        <v>58</v>
      </c>
      <c r="F328" s="91" t="s">
        <v>59</v>
      </c>
      <c r="G328" s="3">
        <v>15000</v>
      </c>
      <c r="H328" s="2">
        <v>42482</v>
      </c>
      <c r="I328" s="2">
        <v>42496</v>
      </c>
      <c r="K328" s="2">
        <v>42521</v>
      </c>
      <c r="L328" s="91" t="s">
        <v>31</v>
      </c>
      <c r="M328" s="91">
        <v>60</v>
      </c>
      <c r="P328" s="91">
        <v>0</v>
      </c>
      <c r="Q328" s="91">
        <v>0</v>
      </c>
      <c r="R328" s="91">
        <v>0</v>
      </c>
      <c r="S328" s="91">
        <v>0</v>
      </c>
      <c r="T328" s="91">
        <v>0</v>
      </c>
      <c r="U328" s="91">
        <v>0</v>
      </c>
      <c r="X328" s="91" t="s">
        <v>100</v>
      </c>
      <c r="Y328" s="91" t="s">
        <v>471</v>
      </c>
      <c r="Z328" s="91" t="s">
        <v>472</v>
      </c>
      <c r="AD328" s="95" t="s">
        <v>909</v>
      </c>
      <c r="AE328" s="95">
        <f t="shared" si="5"/>
        <v>4</v>
      </c>
    </row>
  </sheetData>
  <autoFilter ref="A1:AE328"/>
  <conditionalFormatting sqref="AD1:AE1048576">
    <cfRule type="cellIs" dxfId="2" priority="1" stopIfTrue="1" operator="equal">
      <formula>""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4"/>
  <sheetViews>
    <sheetView workbookViewId="0">
      <selection activeCell="B11" sqref="B11"/>
    </sheetView>
  </sheetViews>
  <sheetFormatPr baseColWidth="10" defaultRowHeight="15" x14ac:dyDescent="0.25"/>
  <cols>
    <col min="1" max="1" width="7.7109375" customWidth="1"/>
    <col min="2" max="2" width="9.7109375" customWidth="1"/>
    <col min="3" max="4" width="9.7109375" style="58" customWidth="1"/>
    <col min="5" max="5" width="9.7109375" customWidth="1"/>
    <col min="6" max="7" width="9.7109375" style="58" customWidth="1"/>
    <col min="8" max="8" width="9.7109375" customWidth="1"/>
    <col min="9" max="10" width="9.7109375" style="58" customWidth="1"/>
    <col min="11" max="11" width="9.7109375" customWidth="1"/>
    <col min="12" max="16" width="9.7109375" style="58" customWidth="1"/>
    <col min="17" max="17" width="7.42578125" bestFit="1" customWidth="1"/>
  </cols>
  <sheetData>
    <row r="1" spans="1:65" ht="19.5" x14ac:dyDescent="0.25">
      <c r="A1" s="104" t="s">
        <v>1045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</row>
    <row r="3" spans="1:65" ht="15.75" thickBot="1" x14ac:dyDescent="0.3"/>
    <row r="4" spans="1:65" ht="17.25" customHeight="1" thickTop="1" x14ac:dyDescent="0.25">
      <c r="A4" s="83" t="s">
        <v>905</v>
      </c>
      <c r="B4" s="88" t="s">
        <v>58</v>
      </c>
      <c r="C4" s="89"/>
      <c r="D4" s="105" t="s">
        <v>1052</v>
      </c>
      <c r="E4" s="90" t="s">
        <v>51</v>
      </c>
      <c r="F4" s="89"/>
      <c r="G4" s="105" t="s">
        <v>1052</v>
      </c>
      <c r="H4" s="90" t="s">
        <v>65</v>
      </c>
      <c r="I4" s="89"/>
      <c r="J4" s="105" t="s">
        <v>1052</v>
      </c>
      <c r="K4" s="90" t="s">
        <v>29</v>
      </c>
      <c r="L4" s="89"/>
      <c r="M4" s="105" t="s">
        <v>1052</v>
      </c>
      <c r="N4" s="90" t="s">
        <v>188</v>
      </c>
      <c r="O4" s="89"/>
      <c r="P4" s="105" t="s">
        <v>1052</v>
      </c>
      <c r="Q4" s="107" t="s">
        <v>1027</v>
      </c>
    </row>
    <row r="5" spans="1:65" s="58" customFormat="1" ht="17.25" thickBot="1" x14ac:dyDescent="0.3">
      <c r="A5" s="84" t="s">
        <v>1046</v>
      </c>
      <c r="B5" s="75" t="s">
        <v>1047</v>
      </c>
      <c r="C5" s="77" t="s">
        <v>1048</v>
      </c>
      <c r="D5" s="106"/>
      <c r="E5" s="75" t="s">
        <v>1047</v>
      </c>
      <c r="F5" s="76" t="s">
        <v>1048</v>
      </c>
      <c r="G5" s="106"/>
      <c r="H5" s="76" t="s">
        <v>1047</v>
      </c>
      <c r="I5" s="76" t="s">
        <v>1048</v>
      </c>
      <c r="J5" s="106"/>
      <c r="K5" s="76" t="s">
        <v>1047</v>
      </c>
      <c r="L5" s="77" t="s">
        <v>1048</v>
      </c>
      <c r="M5" s="106"/>
      <c r="N5" s="76" t="s">
        <v>1047</v>
      </c>
      <c r="O5" s="77" t="s">
        <v>1048</v>
      </c>
      <c r="P5" s="106"/>
      <c r="Q5" s="108"/>
    </row>
    <row r="6" spans="1:65" ht="17.25" thickTop="1" x14ac:dyDescent="0.25">
      <c r="A6" s="71">
        <v>1</v>
      </c>
      <c r="B6" s="67">
        <f>COUNTIFS(Navision!$C:$C,1,Navision!$E:$E,"BUEN-OEM",Navision!$L:$L,"D.C.")</f>
        <v>1</v>
      </c>
      <c r="C6" s="68">
        <f>COUNTIFS(Navision!$C:$C,1,Navision!$E:$E,"BUEN-OEM",Navision!$L:$L,"Forfait")</f>
        <v>22</v>
      </c>
      <c r="D6" s="85">
        <f>SUM(B6:C6)</f>
        <v>23</v>
      </c>
      <c r="E6" s="67">
        <f>COUNTIFS(Navision!$C:$C,1,Navision!$E:$E,"BUNUC",Navision!$L:$L,"D.C.")</f>
        <v>0</v>
      </c>
      <c r="F6" s="67">
        <f>COUNTIFS(Navision!$C:$C,1,Navision!$E:$E,"BUNUC",Navision!$L:$L,"Forfait")</f>
        <v>1</v>
      </c>
      <c r="G6" s="85">
        <f>SUM(E6:F6)</f>
        <v>1</v>
      </c>
      <c r="H6" s="67">
        <f>COUNTIFS(Navision!$C:$C,1,Navision!$E:$E,"BUPH-CH-AL",Navision!$L:$L,"D.C.")</f>
        <v>0</v>
      </c>
      <c r="I6" s="67">
        <f>COUNTIFS(Navision!$C:$C,1,Navision!$E:$E,"BUPH-CH-AL",Navision!$L:$L,"Forfait")</f>
        <v>4</v>
      </c>
      <c r="J6" s="85">
        <f>SUM(H6:I6)</f>
        <v>4</v>
      </c>
      <c r="K6" s="67">
        <f>COUNTIFS(Navision!$C:$C,1,Navision!$E:$E,"BUSID-IL",Navision!$L:$L,"D.C.")</f>
        <v>0</v>
      </c>
      <c r="L6" s="68">
        <f>COUNTIFS(Navision!$C:$C,1,Navision!$E:$E,"BUSID-IL",Navision!$L:$L,"Forfait")</f>
        <v>26</v>
      </c>
      <c r="M6" s="85">
        <f>SUM(K6:L6)</f>
        <v>26</v>
      </c>
      <c r="N6" s="67">
        <f>COUNTIFS(Navision!$C:$C,1,Navision!$E:$E,"BUDIVERS",Navision!$L:$L,"D.C.")</f>
        <v>0</v>
      </c>
      <c r="O6" s="68">
        <f>COUNTIFS(Navision!$C:$C,1,Navision!$E:$E,"BUDIVERS",Navision!$L:$L,"Forfait")</f>
        <v>0</v>
      </c>
      <c r="P6" s="85">
        <f>SUM(N6:O6)</f>
        <v>0</v>
      </c>
      <c r="Q6" s="81">
        <f>SUM(B6:O6)</f>
        <v>108</v>
      </c>
    </row>
    <row r="7" spans="1:65" ht="16.5" x14ac:dyDescent="0.25">
      <c r="A7" s="72">
        <v>2</v>
      </c>
      <c r="B7" s="67">
        <f>COUNTIFS(Navision!$C:$C,2,Navision!$E:$E,"BUEN-OEM",Navision!$L:$L,"D.C.")</f>
        <v>0</v>
      </c>
      <c r="C7" s="68">
        <f>COUNTIFS(Navision!$C:$C,2,Navision!$E:$E,"BUEN-OEM",Navision!$L:$L,"Forfait")</f>
        <v>14</v>
      </c>
      <c r="D7" s="85">
        <f t="shared" ref="D7:D12" si="0">SUM(B7:C7)</f>
        <v>14</v>
      </c>
      <c r="E7" s="67">
        <f>COUNTIFS(Navision!$C:$C,2,Navision!$E:$E,"BUNUC",Navision!$L:$L,"D.C.")</f>
        <v>0</v>
      </c>
      <c r="F7" s="67">
        <f>COUNTIFS(Navision!$C:$C,2,Navision!$E:$E,"BUNUC",Navision!$L:$L,"Forfait")</f>
        <v>0</v>
      </c>
      <c r="G7" s="85">
        <f t="shared" ref="G7:G13" si="1">SUM(E7:F7)</f>
        <v>0</v>
      </c>
      <c r="H7" s="67">
        <f>COUNTIFS(Navision!$C:$C,2,Navision!$E:$E,"BUPH-CH-AL",Navision!$L:$L,"D.C.")</f>
        <v>0</v>
      </c>
      <c r="I7" s="67">
        <f>COUNTIFS(Navision!$C:$C,2,Navision!$E:$E,"BUPH-CH-AL",Navision!$L:$L,"Forfait")</f>
        <v>1</v>
      </c>
      <c r="J7" s="85">
        <f t="shared" ref="J7:J13" si="2">SUM(H7:I7)</f>
        <v>1</v>
      </c>
      <c r="K7" s="67">
        <f>COUNTIFS(Navision!$C:$C,2,Navision!$E:$E,"BUSID-IL",Navision!$L:$L,"D.C.")</f>
        <v>0</v>
      </c>
      <c r="L7" s="68">
        <f>COUNTIFS(Navision!$C:$C,2,Navision!$E:$E,"BUSID-IL",Navision!$L:$L,"Forfait")</f>
        <v>1</v>
      </c>
      <c r="M7" s="85">
        <f t="shared" ref="M7:M13" si="3">SUM(K7:L7)</f>
        <v>1</v>
      </c>
      <c r="N7" s="67">
        <f>COUNTIFS(Navision!$C:$C,2,Navision!$E:$E,"BUDIVERS",Navision!$L:$L,"D.C.")</f>
        <v>0</v>
      </c>
      <c r="O7" s="68">
        <f>COUNTIFS(Navision!$C:$C,2,Navision!$E:$E,"BUDIVERS",Navision!$L:$L,"Forfait")</f>
        <v>0</v>
      </c>
      <c r="P7" s="85">
        <f t="shared" ref="P7:P13" si="4">SUM(N7:O7)</f>
        <v>0</v>
      </c>
      <c r="Q7" s="81">
        <f t="shared" ref="Q7:Q12" si="5">SUM(B7:O7)</f>
        <v>32</v>
      </c>
    </row>
    <row r="8" spans="1:65" ht="16.5" x14ac:dyDescent="0.25">
      <c r="A8" s="72">
        <v>3</v>
      </c>
      <c r="B8" s="67">
        <f>COUNTIFS(Navision!$C:$C,3,Navision!$E:$E,"BUEN-OEM",Navision!$L:$L,"D.C.")</f>
        <v>2</v>
      </c>
      <c r="C8" s="68">
        <f>COUNTIFS(Navision!$C:$C,3,Navision!$E:$E,"BUEN-OEM",Navision!$L:$L,"Forfait")</f>
        <v>34</v>
      </c>
      <c r="D8" s="85">
        <f t="shared" si="0"/>
        <v>36</v>
      </c>
      <c r="E8" s="67">
        <f>COUNTIFS(Navision!$C:$C,3,Navision!$E:$E,"BUNUC",Navision!$L:$L,"D.C.")</f>
        <v>0</v>
      </c>
      <c r="F8" s="67">
        <f>COUNTIFS(Navision!$C:$C,3,Navision!$E:$E,"BUNUC",Navision!$L:$L,"Forfait")</f>
        <v>3</v>
      </c>
      <c r="G8" s="85">
        <f t="shared" si="1"/>
        <v>3</v>
      </c>
      <c r="H8" s="67">
        <f>COUNTIFS(Navision!$C:$C,3,Navision!$E:$E,"BUPH-CH-AL",Navision!$L:$L,"D.C.")</f>
        <v>1</v>
      </c>
      <c r="I8" s="67">
        <f>COUNTIFS(Navision!$C:$C,3,Navision!$E:$E,"BUPH-CH-AL",Navision!$L:$L,"Forfait")</f>
        <v>26</v>
      </c>
      <c r="J8" s="85">
        <f t="shared" si="2"/>
        <v>27</v>
      </c>
      <c r="K8" s="67">
        <f>COUNTIFS(Navision!$C:$C,3,Navision!$E:$E,"BUSID-IL",Navision!$L:$L,"D.C.")</f>
        <v>1</v>
      </c>
      <c r="L8" s="68">
        <f>COUNTIFS(Navision!$C:$C,3,Navision!$E:$E,"BUSID-IL",Navision!$L:$L,"Forfait")</f>
        <v>60</v>
      </c>
      <c r="M8" s="85">
        <f t="shared" si="3"/>
        <v>61</v>
      </c>
      <c r="N8" s="67">
        <f>COUNTIFS(Navision!$C:$C,3,Navision!$E:$E,"BUDIVERS",Navision!$L:$L,"D.C.")</f>
        <v>1</v>
      </c>
      <c r="O8" s="68">
        <f>COUNTIFS(Navision!$C:$C,3,Navision!$E:$E,"BUDIVERS",Navision!$L:$L,"Forfait")</f>
        <v>0</v>
      </c>
      <c r="P8" s="85">
        <f t="shared" si="4"/>
        <v>1</v>
      </c>
      <c r="Q8" s="81">
        <f t="shared" si="5"/>
        <v>255</v>
      </c>
    </row>
    <row r="9" spans="1:65" ht="16.5" x14ac:dyDescent="0.25">
      <c r="A9" s="72">
        <v>4</v>
      </c>
      <c r="B9" s="67">
        <f>COUNTIFS(Navision!$C:$C,4,Navision!$E:$E,"BUEN-OEM",Navision!$L:$L,"D.C.")</f>
        <v>2</v>
      </c>
      <c r="C9" s="68">
        <f>COUNTIFS(Navision!$C:$C,4,Navision!$E:$E,"BUEN-OEM",Navision!$L:$L,"Forfait")</f>
        <v>22</v>
      </c>
      <c r="D9" s="85">
        <f t="shared" si="0"/>
        <v>24</v>
      </c>
      <c r="E9" s="67">
        <f>COUNTIFS(Navision!$C:$C,4,Navision!$E:$E,"BUNUC",Navision!$L:$L,"D.C.")</f>
        <v>1</v>
      </c>
      <c r="F9" s="67">
        <f>COUNTIFS(Navision!$C:$C,4,Navision!$E:$E,"BUNUC",Navision!$L:$L,"Forfait")</f>
        <v>5</v>
      </c>
      <c r="G9" s="85">
        <f t="shared" si="1"/>
        <v>6</v>
      </c>
      <c r="H9" s="67">
        <f>COUNTIFS(Navision!$C:$C,4,Navision!$E:$E,"BUPH-CH-AL",Navision!$L:$L,"D.C.")</f>
        <v>0</v>
      </c>
      <c r="I9" s="67">
        <f>COUNTIFS(Navision!$C:$C,4,Navision!$E:$E,"BUPH-CH-AL",Navision!$L:$L,"Forfait")</f>
        <v>11</v>
      </c>
      <c r="J9" s="85">
        <f t="shared" si="2"/>
        <v>11</v>
      </c>
      <c r="K9" s="67">
        <f>COUNTIFS(Navision!$C:$C,4,Navision!$E:$E,"BUSID-IL",Navision!$L:$L,"D.C.")</f>
        <v>1</v>
      </c>
      <c r="L9" s="68">
        <f>COUNTIFS(Navision!$C:$C,4,Navision!$E:$E,"BUSID-IL",Navision!$L:$L,"Forfait")</f>
        <v>66</v>
      </c>
      <c r="M9" s="85">
        <f t="shared" si="3"/>
        <v>67</v>
      </c>
      <c r="N9" s="67">
        <f>COUNTIFS(Navision!$C:$C,4,Navision!$E:$E,"BUDIVERS",Navision!$L:$L,"D.C.")</f>
        <v>0</v>
      </c>
      <c r="O9" s="68">
        <f>COUNTIFS(Navision!$C:$C,4,Navision!$E:$E,"BUDIVERS",Navision!$L:$L,"Forfait")</f>
        <v>0</v>
      </c>
      <c r="P9" s="85">
        <f t="shared" si="4"/>
        <v>0</v>
      </c>
      <c r="Q9" s="81">
        <f t="shared" si="5"/>
        <v>216</v>
      </c>
    </row>
    <row r="10" spans="1:65" ht="16.5" x14ac:dyDescent="0.25">
      <c r="A10" s="72">
        <v>5</v>
      </c>
      <c r="B10" s="67">
        <f>COUNTIFS(Navision!$C:$C,5,Navision!$E:$E,"BUEN-OEM",Navision!$L:$L,"D.C.")</f>
        <v>0</v>
      </c>
      <c r="C10" s="68">
        <f>COUNTIFS(Navision!$C:$C,5,Navision!$E:$E,"BUEN-OEM",Navision!$L:$L,"Forfait")</f>
        <v>5</v>
      </c>
      <c r="D10" s="85">
        <f t="shared" si="0"/>
        <v>5</v>
      </c>
      <c r="E10" s="67">
        <f>COUNTIFS(Navision!$C:$C,5,Navision!$E:$E,"BUNUC",Navision!$L:$L,"D.C.")</f>
        <v>0</v>
      </c>
      <c r="F10" s="67">
        <f>COUNTIFS(Navision!$C:$C,5,Navision!$E:$E,"BUNUC",Navision!$L:$L,"Forfait")</f>
        <v>1</v>
      </c>
      <c r="G10" s="85">
        <f t="shared" si="1"/>
        <v>1</v>
      </c>
      <c r="H10" s="67">
        <f>COUNTIFS(Navision!$C:$C,5,Navision!$E:$E,"BUPH-CH-AL",Navision!$L:$L,"D.C.")</f>
        <v>0</v>
      </c>
      <c r="I10" s="67">
        <f>COUNTIFS(Navision!$C:$C,5,Navision!$E:$E,"BUPH-CH-AL",Navision!$L:$L,"Forfait")</f>
        <v>0</v>
      </c>
      <c r="J10" s="85">
        <f t="shared" si="2"/>
        <v>0</v>
      </c>
      <c r="K10" s="67">
        <f>COUNTIFS(Navision!$C:$C,5,Navision!$E:$E,"BUSID-IL",Navision!$L:$L,"D.C.")</f>
        <v>0</v>
      </c>
      <c r="L10" s="68">
        <f>COUNTIFS(Navision!$C:$C,5,Navision!$E:$E,"BUSID-IL",Navision!$L:$L,"Forfait")</f>
        <v>6</v>
      </c>
      <c r="M10" s="85">
        <f t="shared" si="3"/>
        <v>6</v>
      </c>
      <c r="N10" s="67">
        <f>COUNTIFS(Navision!$C:$C,5,Navision!$E:$E,"BUDIVERS",Navision!$L:$L,"D.C.")</f>
        <v>0</v>
      </c>
      <c r="O10" s="68">
        <f>COUNTIFS(Navision!$C:$C,5,Navision!$E:$E,"BUDIVERS",Navision!$L:$L,"Forfait")</f>
        <v>0</v>
      </c>
      <c r="P10" s="85">
        <f t="shared" si="4"/>
        <v>0</v>
      </c>
      <c r="Q10" s="81">
        <f t="shared" si="5"/>
        <v>24</v>
      </c>
    </row>
    <row r="11" spans="1:65" ht="16.5" x14ac:dyDescent="0.25">
      <c r="A11" s="72">
        <v>6</v>
      </c>
      <c r="B11" s="67">
        <f>COUNTIFS(Navision!$C:$C,6,Navision!$E:$E,"BUEN-OEM",Navision!$L:$L,"D.C.")</f>
        <v>0</v>
      </c>
      <c r="C11" s="68">
        <f>COUNTIFS(Navision!$C:$C,6,Navision!$E:$E,"BUEN-OEM",Navision!$L:$L,"Forfait")</f>
        <v>2</v>
      </c>
      <c r="D11" s="85">
        <f t="shared" si="0"/>
        <v>2</v>
      </c>
      <c r="E11" s="67">
        <f>COUNTIFS(Navision!$C:$C,6,Navision!$E:$E,"BUNUC",Navision!$L:$L,"D.C.")</f>
        <v>0</v>
      </c>
      <c r="F11" s="67">
        <f>COUNTIFS(Navision!$C:$C,6,Navision!$E:$E,"BUNUC",Navision!$L:$L,"Forfait")</f>
        <v>1</v>
      </c>
      <c r="G11" s="85">
        <f t="shared" si="1"/>
        <v>1</v>
      </c>
      <c r="H11" s="67">
        <f>COUNTIFS(Navision!$C:$C,6,Navision!$E:$E,"BUPH-CH-AL",Navision!$L:$L,"D.C.")</f>
        <v>0</v>
      </c>
      <c r="I11" s="67">
        <f>COUNTIFS(Navision!$C:$C,6,Navision!$E:$E,"BUPH-CH-AL",Navision!$L:$L,"Forfait")</f>
        <v>1</v>
      </c>
      <c r="J11" s="85">
        <f t="shared" si="2"/>
        <v>1</v>
      </c>
      <c r="K11" s="67">
        <f>COUNTIFS(Navision!$C:$C,6,Navision!$E:$E,"BUSID-IL",Navision!$L:$L,"D.C.")</f>
        <v>0</v>
      </c>
      <c r="L11" s="68">
        <f>COUNTIFS(Navision!$C:$C,6,Navision!$E:$E,"BUSID-IL",Navision!$L:$L,"Forfait")</f>
        <v>0</v>
      </c>
      <c r="M11" s="85">
        <f t="shared" si="3"/>
        <v>0</v>
      </c>
      <c r="N11" s="67">
        <f>COUNTIFS(Navision!$C:$C,6,Navision!$E:$E,"BUDIVERS",Navision!$L:$L,"D.C.")</f>
        <v>0</v>
      </c>
      <c r="O11" s="68">
        <f>COUNTIFS(Navision!$C:$C,6,Navision!$E:$E,"BUDIVERS",Navision!$L:$L,"Forfait")</f>
        <v>0</v>
      </c>
      <c r="P11" s="85">
        <f t="shared" si="4"/>
        <v>0</v>
      </c>
      <c r="Q11" s="81">
        <f t="shared" si="5"/>
        <v>8</v>
      </c>
    </row>
    <row r="12" spans="1:65" ht="17.25" thickBot="1" x14ac:dyDescent="0.3">
      <c r="A12" s="73">
        <v>7</v>
      </c>
      <c r="B12" s="69">
        <f>COUNTIFS(Navision!$C:$C,7,Navision!$E:$E,"BUEN-OEM",Navision!$L:$L,"D.C.")</f>
        <v>0</v>
      </c>
      <c r="C12" s="70">
        <f>COUNTIFS(Navision!$C:$C,7,Navision!$E:$E,"BUEN-OEM",Navision!$L:$L,"Forfait")</f>
        <v>2</v>
      </c>
      <c r="D12" s="86">
        <f t="shared" si="0"/>
        <v>2</v>
      </c>
      <c r="E12" s="69">
        <f>COUNTIFS(Navision!$C:$C,7,Navision!$E:$E,"BUNUC",Navision!$L:$L,"D.C.")</f>
        <v>0</v>
      </c>
      <c r="F12" s="69">
        <f>COUNTIFS(Navision!$C:$C,7,Navision!$E:$E,"BUNUC",Navision!$L:$L,"Forfait")</f>
        <v>0</v>
      </c>
      <c r="G12" s="86">
        <f t="shared" si="1"/>
        <v>0</v>
      </c>
      <c r="H12" s="69">
        <f>COUNTIFS(Navision!$C:$C,7,Navision!$E:$E,"BUPH-CH-AL",Navision!$L:$L,"D.C.")</f>
        <v>0</v>
      </c>
      <c r="I12" s="69">
        <f>COUNTIFS(Navision!$C:$C,7,Navision!$E:$E,"BUPH-CH-AL",Navision!$L:$L,"Forfait")</f>
        <v>2</v>
      </c>
      <c r="J12" s="86">
        <f t="shared" si="2"/>
        <v>2</v>
      </c>
      <c r="K12" s="69">
        <f>COUNTIFS(Navision!$C:$C,7,Navision!$E:$E,"BUSID-IL",Navision!$L:$L,"D.C.")</f>
        <v>0</v>
      </c>
      <c r="L12" s="70">
        <f>COUNTIFS(Navision!$C:$C,7,Navision!$E:$E,"BUSID-IL",Navision!$L:$L,"Forfait")</f>
        <v>0</v>
      </c>
      <c r="M12" s="86">
        <f t="shared" si="3"/>
        <v>0</v>
      </c>
      <c r="N12" s="69">
        <f>COUNTIFS(Navision!$C:$C,7,Navision!$E:$E,"BUDIVERS",Navision!$L:$L,"D.C.")</f>
        <v>0</v>
      </c>
      <c r="O12" s="70">
        <f>COUNTIFS(Navision!$C:$C,7,Navision!$E:$E,"BUDIVERS",Navision!$L:$L,"Forfait")</f>
        <v>1</v>
      </c>
      <c r="P12" s="86">
        <f t="shared" si="4"/>
        <v>1</v>
      </c>
      <c r="Q12" s="82">
        <f t="shared" si="5"/>
        <v>9</v>
      </c>
    </row>
    <row r="13" spans="1:65" ht="18" thickTop="1" thickBot="1" x14ac:dyDescent="0.3">
      <c r="A13" s="74" t="s">
        <v>1027</v>
      </c>
      <c r="B13" s="78">
        <f t="shared" ref="B13:Q13" si="6">SUM(B6:B12)</f>
        <v>5</v>
      </c>
      <c r="C13" s="79">
        <f t="shared" si="6"/>
        <v>101</v>
      </c>
      <c r="D13" s="87">
        <f t="shared" si="6"/>
        <v>106</v>
      </c>
      <c r="E13" s="78">
        <f t="shared" si="6"/>
        <v>1</v>
      </c>
      <c r="F13" s="78">
        <f t="shared" si="6"/>
        <v>11</v>
      </c>
      <c r="G13" s="87">
        <f t="shared" si="1"/>
        <v>12</v>
      </c>
      <c r="H13" s="78">
        <f t="shared" si="6"/>
        <v>1</v>
      </c>
      <c r="I13" s="78">
        <f t="shared" si="6"/>
        <v>45</v>
      </c>
      <c r="J13" s="87">
        <f t="shared" si="2"/>
        <v>46</v>
      </c>
      <c r="K13" s="78">
        <f t="shared" si="6"/>
        <v>2</v>
      </c>
      <c r="L13" s="79">
        <f t="shared" si="6"/>
        <v>159</v>
      </c>
      <c r="M13" s="87">
        <f t="shared" si="3"/>
        <v>161</v>
      </c>
      <c r="N13" s="79">
        <f t="shared" si="6"/>
        <v>1</v>
      </c>
      <c r="O13" s="79">
        <f t="shared" si="6"/>
        <v>1</v>
      </c>
      <c r="P13" s="87">
        <f t="shared" si="4"/>
        <v>2</v>
      </c>
      <c r="Q13" s="80">
        <f t="shared" si="6"/>
        <v>652</v>
      </c>
      <c r="R13" s="61"/>
    </row>
    <row r="14" spans="1:65" ht="15.75" thickTop="1" x14ac:dyDescent="0.25"/>
  </sheetData>
  <mergeCells count="7">
    <mergeCell ref="A1:R1"/>
    <mergeCell ref="D4:D5"/>
    <mergeCell ref="G4:G5"/>
    <mergeCell ref="J4:J5"/>
    <mergeCell ref="M4:M5"/>
    <mergeCell ref="P4:P5"/>
    <mergeCell ref="Q4:Q5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1"/>
  <sheetViews>
    <sheetView showZeros="0" tabSelected="1" topLeftCell="E1" workbookViewId="0">
      <pane ySplit="1" topLeftCell="A2" activePane="bottomLeft" state="frozen"/>
      <selection pane="bottomLeft" activeCell="AI2" sqref="AI2"/>
    </sheetView>
  </sheetViews>
  <sheetFormatPr baseColWidth="10" defaultRowHeight="15" x14ac:dyDescent="0.25"/>
  <cols>
    <col min="1" max="1" width="10.7109375" style="91" customWidth="1"/>
    <col min="2" max="2" width="9.85546875" style="91" bestFit="1" customWidth="1"/>
    <col min="3" max="3" width="5.28515625" style="95" customWidth="1"/>
    <col min="4" max="4" width="10.7109375" style="91" hidden="1" customWidth="1"/>
    <col min="5" max="5" width="11.85546875" style="91" bestFit="1" customWidth="1"/>
    <col min="6" max="6" width="9.5703125" style="95" customWidth="1"/>
    <col min="7" max="7" width="10.7109375" style="91" hidden="1" customWidth="1"/>
    <col min="8" max="12" width="10.7109375" style="91" customWidth="1"/>
    <col min="13" max="19" width="10.7109375" style="91" hidden="1" customWidth="1"/>
    <col min="20" max="20" width="10.7109375" style="91" customWidth="1"/>
    <col min="21" max="21" width="10.7109375" style="91" hidden="1" customWidth="1"/>
    <col min="22" max="23" width="10.7109375" style="91" customWidth="1"/>
    <col min="24" max="25" width="10.7109375" style="91" hidden="1" customWidth="1"/>
    <col min="26" max="26" width="30.42578125" style="91" customWidth="1"/>
    <col min="27" max="29" width="0" style="1" hidden="1" customWidth="1"/>
    <col min="30" max="30" width="3.7109375" style="1" customWidth="1"/>
    <col min="31" max="31" width="10.42578125" style="1" bestFit="1" customWidth="1"/>
    <col min="32" max="32" width="10.5703125" style="1" customWidth="1"/>
    <col min="33" max="33" width="14" style="1" bestFit="1" customWidth="1"/>
    <col min="34" max="34" width="11.140625" style="2" customWidth="1"/>
    <col min="35" max="35" width="11.140625" style="1" customWidth="1"/>
    <col min="36" max="36" width="11.140625" style="4" bestFit="1" customWidth="1"/>
    <col min="37" max="37" width="11.42578125" style="4"/>
    <col min="38" max="16384" width="11.42578125" style="1"/>
  </cols>
  <sheetData>
    <row r="1" spans="1:37" s="98" customFormat="1" ht="47.25" x14ac:dyDescent="0.25">
      <c r="A1" s="91" t="s">
        <v>0</v>
      </c>
      <c r="B1" s="91" t="s">
        <v>1207</v>
      </c>
      <c r="C1" s="95" t="s">
        <v>1208</v>
      </c>
      <c r="D1" s="91" t="s">
        <v>1</v>
      </c>
      <c r="E1" s="91" t="s">
        <v>905</v>
      </c>
      <c r="F1" s="121" t="s">
        <v>1210</v>
      </c>
      <c r="G1" s="52" t="s">
        <v>1209</v>
      </c>
      <c r="H1" s="52" t="s">
        <v>1123</v>
      </c>
      <c r="I1" s="52" t="s">
        <v>1031</v>
      </c>
      <c r="J1" s="52" t="s">
        <v>1049</v>
      </c>
      <c r="K1" s="52" t="s">
        <v>1050</v>
      </c>
      <c r="L1" s="91" t="s">
        <v>9</v>
      </c>
      <c r="M1" s="91" t="s">
        <v>10</v>
      </c>
      <c r="N1" s="91" t="s">
        <v>11</v>
      </c>
      <c r="O1" s="91" t="s">
        <v>12</v>
      </c>
      <c r="P1" s="91" t="s">
        <v>13</v>
      </c>
      <c r="Q1" s="91" t="s">
        <v>14</v>
      </c>
      <c r="R1" s="91" t="s">
        <v>15</v>
      </c>
      <c r="S1" s="91" t="s">
        <v>16</v>
      </c>
      <c r="T1" s="91" t="s">
        <v>17</v>
      </c>
      <c r="U1" s="91" t="s">
        <v>18</v>
      </c>
      <c r="V1" s="91" t="s">
        <v>19</v>
      </c>
      <c r="W1" s="91" t="s">
        <v>20</v>
      </c>
      <c r="X1" s="91" t="s">
        <v>21</v>
      </c>
      <c r="Y1" s="91" t="s">
        <v>22</v>
      </c>
      <c r="Z1" s="91" t="s">
        <v>23</v>
      </c>
      <c r="AA1" s="99" t="s">
        <v>24</v>
      </c>
      <c r="AB1" s="99" t="s">
        <v>25</v>
      </c>
      <c r="AC1" s="99" t="s">
        <v>26</v>
      </c>
      <c r="AD1" s="99"/>
      <c r="AE1" s="96" t="s">
        <v>910</v>
      </c>
      <c r="AF1" s="96" t="s">
        <v>911</v>
      </c>
      <c r="AG1" s="96" t="s">
        <v>912</v>
      </c>
      <c r="AH1" s="97" t="s">
        <v>913</v>
      </c>
      <c r="AI1" s="100" t="s">
        <v>914</v>
      </c>
      <c r="AJ1" s="102" t="s">
        <v>1053</v>
      </c>
      <c r="AK1" s="103"/>
    </row>
    <row r="2" spans="1:37" x14ac:dyDescent="0.25">
      <c r="A2" s="91" t="s">
        <v>27</v>
      </c>
      <c r="B2" s="91">
        <v>160268</v>
      </c>
      <c r="C2" s="95">
        <v>4</v>
      </c>
      <c r="D2" s="91" t="s">
        <v>28</v>
      </c>
      <c r="E2" s="91" t="s">
        <v>29</v>
      </c>
      <c r="F2" s="95" t="s">
        <v>30</v>
      </c>
      <c r="G2" s="3">
        <v>2900</v>
      </c>
      <c r="H2" s="2">
        <v>42374</v>
      </c>
      <c r="I2" s="2">
        <v>42374</v>
      </c>
      <c r="J2" s="2">
        <v>42374</v>
      </c>
      <c r="K2" s="2">
        <v>42384</v>
      </c>
      <c r="L2" s="91" t="s">
        <v>31</v>
      </c>
      <c r="M2" s="91">
        <v>50</v>
      </c>
      <c r="N2" s="91">
        <v>160268</v>
      </c>
      <c r="P2" s="91">
        <v>0</v>
      </c>
      <c r="Q2" s="91">
        <v>20</v>
      </c>
      <c r="R2" s="3">
        <v>2903.38</v>
      </c>
      <c r="S2" s="91">
        <v>20</v>
      </c>
      <c r="T2" s="3">
        <v>2900</v>
      </c>
      <c r="U2" s="91">
        <v>0</v>
      </c>
      <c r="V2" s="2"/>
      <c r="W2" s="2"/>
      <c r="X2" s="91" t="s">
        <v>32</v>
      </c>
      <c r="Y2" s="91" t="s">
        <v>33</v>
      </c>
      <c r="Z2" s="91" t="s">
        <v>34</v>
      </c>
      <c r="AA2" s="4" t="s">
        <v>35</v>
      </c>
      <c r="AB2" s="4"/>
      <c r="AC2" s="4"/>
      <c r="AD2" s="4"/>
      <c r="AE2" s="6">
        <f t="shared" ref="AE2:AE65" si="0">MONTH(J2)</f>
        <v>1</v>
      </c>
      <c r="AF2" s="6" t="str">
        <f>IF(OR(J2&lt;=I2,I2=""),"",1)</f>
        <v/>
      </c>
      <c r="AG2" s="6" t="str">
        <f>IF(AH2="","","o")</f>
        <v/>
      </c>
      <c r="AH2" s="15" t="str">
        <f>IF(ISNA(VLOOKUP(A2,'offre secrétariat'!A:F,5,FALSE)),"",(VLOOKUP(A2,'offre secrétariat'!A:F,5,FALSE)))</f>
        <v/>
      </c>
      <c r="AI2" s="101" t="str">
        <f>IF(AND(AH2&lt;I2,AH2&lt;&gt;I2,AH2&lt;&gt;""),"T",IF(AND(AH2=I2,AH2&lt;&gt;""),"J",IF(AH2="","","R")))</f>
        <v/>
      </c>
      <c r="AJ2" s="5">
        <f>IF(AND(I2="",AH2=""),"",I2-3)</f>
        <v>42371</v>
      </c>
      <c r="AK2" s="4" t="str">
        <f>IF(AND(AH2&lt;I2,AH2&lt;AJ2,AH2&lt;&gt;I2,AH2&lt;&gt;AJ2,AH2&lt;&gt;""),"A",IF(AND(AJ2&lt;AH2&lt;I2,AH2&lt;&gt;I2,AH2&lt;&gt;""),"T",IF(AND(AH2=I2,AH2&lt;&gt;""),"J",IF(AH2="","","R"))))</f>
        <v/>
      </c>
    </row>
    <row r="3" spans="1:37" x14ac:dyDescent="0.25">
      <c r="A3" s="91" t="s">
        <v>36</v>
      </c>
      <c r="B3" s="91">
        <v>164202</v>
      </c>
      <c r="C3" s="95">
        <v>4</v>
      </c>
      <c r="D3" s="91" t="s">
        <v>37</v>
      </c>
      <c r="E3" s="91" t="s">
        <v>29</v>
      </c>
      <c r="F3" s="95" t="s">
        <v>38</v>
      </c>
      <c r="G3" s="3">
        <v>1550</v>
      </c>
      <c r="H3" s="2">
        <v>42374</v>
      </c>
      <c r="J3" s="2">
        <v>42370</v>
      </c>
      <c r="L3" s="91" t="s">
        <v>31</v>
      </c>
      <c r="M3" s="91">
        <v>50</v>
      </c>
      <c r="N3" s="91">
        <v>164202</v>
      </c>
      <c r="P3" s="91">
        <v>0</v>
      </c>
      <c r="Q3" s="91">
        <v>30</v>
      </c>
      <c r="R3" s="3">
        <v>1550.29</v>
      </c>
      <c r="S3" s="91">
        <v>30</v>
      </c>
      <c r="T3" s="3">
        <v>1550</v>
      </c>
      <c r="U3" s="91">
        <v>30</v>
      </c>
      <c r="V3" s="2">
        <v>42452</v>
      </c>
      <c r="W3" s="2">
        <v>42454</v>
      </c>
      <c r="X3" s="91" t="s">
        <v>39</v>
      </c>
      <c r="Y3" s="91" t="s">
        <v>40</v>
      </c>
      <c r="Z3" s="91" t="s">
        <v>34</v>
      </c>
      <c r="AA3" s="4" t="s">
        <v>35</v>
      </c>
      <c r="AB3" s="4"/>
      <c r="AC3" s="4"/>
      <c r="AD3" s="4"/>
      <c r="AE3" s="6">
        <f t="shared" si="0"/>
        <v>1</v>
      </c>
      <c r="AF3" s="6" t="str">
        <f t="shared" ref="AF3:AF66" si="1">IF(OR(J3&lt;=I3,I3=""),"",1)</f>
        <v/>
      </c>
      <c r="AG3" s="6" t="str">
        <f t="shared" ref="AG3:AG66" si="2">IF(AH3="","","o")</f>
        <v/>
      </c>
      <c r="AH3" s="15" t="str">
        <f>IF(ISNA(VLOOKUP(A3,'offre secrétariat'!A:F,5,FALSE)),"",(VLOOKUP(A3,'offre secrétariat'!A:F,5,FALSE)))</f>
        <v/>
      </c>
      <c r="AI3" s="101" t="str">
        <f t="shared" ref="AI3:AI66" si="3">IF(AND(AH3&lt;I3,AH3&lt;&gt;I3,AH3&lt;&gt;""),"T",IF(AND(AH3=I3,AH3&lt;&gt;""),"J",IF(AH3="","","R")))</f>
        <v/>
      </c>
      <c r="AJ3" s="5" t="str">
        <f t="shared" ref="AJ3:AJ66" si="4">IF(AND(I3="",AH3=""),"",I3-3)</f>
        <v/>
      </c>
      <c r="AK3" s="4" t="str">
        <f t="shared" ref="AK3:AK66" si="5">IF(AND(AH3&lt;I3,AH3&lt;AJ3,AH3&lt;&gt;I3,AH3&lt;&gt;AJ3,AH3&lt;&gt;""),"A",IF(AND(AJ3&lt;AH3&lt;I3,AH3&lt;&gt;I3,AH3&lt;&gt;""),"T",IF(AND(AH3=I3,AH3&lt;&gt;""),"J",IF(AH3="","","R"))))</f>
        <v/>
      </c>
    </row>
    <row r="4" spans="1:37" x14ac:dyDescent="0.25">
      <c r="A4" s="91" t="s">
        <v>41</v>
      </c>
      <c r="B4" s="91">
        <v>164204</v>
      </c>
      <c r="C4" s="95">
        <v>4</v>
      </c>
      <c r="D4" s="91" t="s">
        <v>42</v>
      </c>
      <c r="E4" s="91" t="s">
        <v>29</v>
      </c>
      <c r="F4" s="95" t="s">
        <v>38</v>
      </c>
      <c r="G4" s="3">
        <v>14356</v>
      </c>
      <c r="H4" s="2">
        <v>42374</v>
      </c>
      <c r="J4" s="2">
        <v>42374</v>
      </c>
      <c r="L4" s="91" t="s">
        <v>31</v>
      </c>
      <c r="M4" s="91">
        <v>50</v>
      </c>
      <c r="N4" s="91">
        <v>164204</v>
      </c>
      <c r="P4" s="91">
        <v>0</v>
      </c>
      <c r="Q4" s="91">
        <v>304</v>
      </c>
      <c r="R4" s="3">
        <v>14355.73</v>
      </c>
      <c r="S4" s="91">
        <v>304</v>
      </c>
      <c r="T4" s="3">
        <v>14356</v>
      </c>
      <c r="U4" s="91">
        <v>279.5</v>
      </c>
      <c r="V4" s="2">
        <v>42374</v>
      </c>
      <c r="W4" s="2">
        <v>42474</v>
      </c>
      <c r="X4" s="91" t="s">
        <v>43</v>
      </c>
      <c r="Y4" s="91" t="s">
        <v>44</v>
      </c>
      <c r="Z4" s="91" t="s">
        <v>34</v>
      </c>
      <c r="AA4" s="4" t="s">
        <v>35</v>
      </c>
      <c r="AB4" s="4"/>
      <c r="AC4" s="4"/>
      <c r="AD4" s="4"/>
      <c r="AE4" s="6">
        <f t="shared" si="0"/>
        <v>1</v>
      </c>
      <c r="AF4" s="6" t="str">
        <f t="shared" si="1"/>
        <v/>
      </c>
      <c r="AG4" s="6" t="str">
        <f t="shared" si="2"/>
        <v/>
      </c>
      <c r="AH4" s="15" t="str">
        <f>IF(ISNA(VLOOKUP(A4,'offre secrétariat'!A:F,5,FALSE)),"",(VLOOKUP(A4,'offre secrétariat'!A:F,5,FALSE)))</f>
        <v/>
      </c>
      <c r="AI4" s="101" t="str">
        <f t="shared" si="3"/>
        <v/>
      </c>
      <c r="AJ4" s="5" t="str">
        <f t="shared" si="4"/>
        <v/>
      </c>
      <c r="AK4" s="4" t="str">
        <f t="shared" si="5"/>
        <v/>
      </c>
    </row>
    <row r="5" spans="1:37" x14ac:dyDescent="0.25">
      <c r="A5" s="91" t="s">
        <v>45</v>
      </c>
      <c r="B5" s="91">
        <v>164203</v>
      </c>
      <c r="C5" s="95">
        <v>4</v>
      </c>
      <c r="D5" s="91" t="s">
        <v>46</v>
      </c>
      <c r="E5" s="91" t="s">
        <v>29</v>
      </c>
      <c r="F5" s="95" t="s">
        <v>38</v>
      </c>
      <c r="G5" s="3">
        <v>1350</v>
      </c>
      <c r="H5" s="2">
        <v>42374</v>
      </c>
      <c r="I5" s="2"/>
      <c r="J5" s="2">
        <v>42373</v>
      </c>
      <c r="K5" s="2"/>
      <c r="L5" s="91" t="s">
        <v>31</v>
      </c>
      <c r="M5" s="91">
        <v>50</v>
      </c>
      <c r="N5" s="91">
        <v>164203</v>
      </c>
      <c r="P5" s="91">
        <v>0</v>
      </c>
      <c r="Q5" s="91">
        <v>28</v>
      </c>
      <c r="R5" s="3">
        <v>1350.42</v>
      </c>
      <c r="S5" s="91">
        <v>28</v>
      </c>
      <c r="T5" s="3">
        <v>1350</v>
      </c>
      <c r="U5" s="91">
        <v>28</v>
      </c>
      <c r="V5" s="2">
        <v>42376</v>
      </c>
      <c r="W5" s="2">
        <v>42461</v>
      </c>
      <c r="X5" s="91" t="s">
        <v>47</v>
      </c>
      <c r="Y5" s="91" t="s">
        <v>48</v>
      </c>
      <c r="Z5" s="91" t="s">
        <v>34</v>
      </c>
      <c r="AA5" s="4" t="s">
        <v>35</v>
      </c>
      <c r="AB5" s="4"/>
      <c r="AC5" s="4"/>
      <c r="AD5" s="4"/>
      <c r="AE5" s="6">
        <f t="shared" si="0"/>
        <v>1</v>
      </c>
      <c r="AF5" s="6" t="str">
        <f t="shared" si="1"/>
        <v/>
      </c>
      <c r="AG5" s="6" t="str">
        <f t="shared" si="2"/>
        <v/>
      </c>
      <c r="AH5" s="15" t="str">
        <f>IF(ISNA(VLOOKUP(A5,'offre secrétariat'!A:F,5,FALSE)),"",(VLOOKUP(A5,'offre secrétariat'!A:F,5,FALSE)))</f>
        <v/>
      </c>
      <c r="AI5" s="101" t="str">
        <f t="shared" si="3"/>
        <v/>
      </c>
      <c r="AJ5" s="5" t="str">
        <f t="shared" si="4"/>
        <v/>
      </c>
      <c r="AK5" s="4" t="str">
        <f t="shared" si="5"/>
        <v/>
      </c>
    </row>
    <row r="6" spans="1:37" x14ac:dyDescent="0.25">
      <c r="A6" s="91" t="s">
        <v>49</v>
      </c>
      <c r="B6" s="91">
        <v>160103</v>
      </c>
      <c r="C6" s="95">
        <v>4</v>
      </c>
      <c r="D6" s="91" t="s">
        <v>50</v>
      </c>
      <c r="E6" s="91" t="s">
        <v>51</v>
      </c>
      <c r="F6" s="95" t="s">
        <v>52</v>
      </c>
      <c r="G6" s="3">
        <v>6860</v>
      </c>
      <c r="H6" s="2">
        <v>42375</v>
      </c>
      <c r="I6" s="2">
        <v>42384</v>
      </c>
      <c r="J6" s="2">
        <v>42376</v>
      </c>
      <c r="K6" s="2">
        <v>42401</v>
      </c>
      <c r="L6" s="91" t="s">
        <v>31</v>
      </c>
      <c r="M6" s="91">
        <v>25</v>
      </c>
      <c r="N6" s="91">
        <v>160103</v>
      </c>
      <c r="P6" s="91">
        <v>0</v>
      </c>
      <c r="Q6" s="91">
        <v>51</v>
      </c>
      <c r="R6" s="3">
        <v>6136.51</v>
      </c>
      <c r="S6" s="91">
        <v>51</v>
      </c>
      <c r="T6" s="3">
        <v>6860</v>
      </c>
      <c r="U6" s="91">
        <v>134</v>
      </c>
      <c r="V6" s="2">
        <v>42415</v>
      </c>
      <c r="W6" s="2">
        <v>42451</v>
      </c>
      <c r="X6" s="91" t="s">
        <v>53</v>
      </c>
      <c r="Y6" s="91" t="s">
        <v>54</v>
      </c>
      <c r="Z6" s="91" t="s">
        <v>55</v>
      </c>
      <c r="AA6" s="4" t="s">
        <v>35</v>
      </c>
      <c r="AB6" s="4"/>
      <c r="AC6" s="4"/>
      <c r="AD6" s="4"/>
      <c r="AE6" s="6">
        <f t="shared" si="0"/>
        <v>1</v>
      </c>
      <c r="AF6" s="6" t="str">
        <f t="shared" si="1"/>
        <v/>
      </c>
      <c r="AG6" s="6" t="str">
        <f t="shared" si="2"/>
        <v>o</v>
      </c>
      <c r="AH6" s="15">
        <f>IF(ISNA(VLOOKUP(A6,'offre secrétariat'!A:F,5,FALSE)),"",(VLOOKUP(A6,'offre secrétariat'!A:F,5,FALSE)))</f>
        <v>42376</v>
      </c>
      <c r="AI6" s="101" t="str">
        <f t="shared" si="3"/>
        <v>T</v>
      </c>
      <c r="AJ6" s="5">
        <f t="shared" si="4"/>
        <v>42381</v>
      </c>
      <c r="AK6" s="4" t="str">
        <f t="shared" si="5"/>
        <v>A</v>
      </c>
    </row>
    <row r="7" spans="1:37" x14ac:dyDescent="0.25">
      <c r="A7" s="91" t="s">
        <v>63</v>
      </c>
      <c r="C7" s="95">
        <v>3</v>
      </c>
      <c r="D7" s="91" t="s">
        <v>64</v>
      </c>
      <c r="E7" s="91" t="s">
        <v>65</v>
      </c>
      <c r="F7" s="95" t="s">
        <v>66</v>
      </c>
      <c r="G7" s="3">
        <v>9270</v>
      </c>
      <c r="H7" s="2">
        <v>42375</v>
      </c>
      <c r="I7" s="2">
        <v>42384</v>
      </c>
      <c r="J7" s="2">
        <v>42388</v>
      </c>
      <c r="K7" s="2">
        <v>42429</v>
      </c>
      <c r="L7" s="91" t="s">
        <v>31</v>
      </c>
      <c r="M7" s="91">
        <v>25</v>
      </c>
      <c r="P7" s="91">
        <v>0</v>
      </c>
      <c r="Q7" s="91">
        <v>22</v>
      </c>
      <c r="R7" s="3">
        <v>9269.58</v>
      </c>
      <c r="S7" s="91">
        <v>0</v>
      </c>
      <c r="T7" s="91">
        <v>0</v>
      </c>
      <c r="U7" s="91">
        <v>0</v>
      </c>
      <c r="X7" s="91" t="s">
        <v>67</v>
      </c>
      <c r="Y7" s="91" t="s">
        <v>68</v>
      </c>
      <c r="Z7" s="91" t="s">
        <v>69</v>
      </c>
      <c r="AA7" s="4" t="s">
        <v>84</v>
      </c>
      <c r="AB7" s="4"/>
      <c r="AC7" s="4"/>
      <c r="AD7" s="4"/>
      <c r="AE7" s="6">
        <f t="shared" si="0"/>
        <v>1</v>
      </c>
      <c r="AF7" s="6">
        <f t="shared" si="1"/>
        <v>1</v>
      </c>
      <c r="AG7" s="6" t="str">
        <f t="shared" si="2"/>
        <v>o</v>
      </c>
      <c r="AH7" s="15">
        <f>IF(ISNA(VLOOKUP(A7,'offre secrétariat'!A:F,5,FALSE)),"",(VLOOKUP(A7,'offre secrétariat'!A:F,5,FALSE)))</f>
        <v>42388</v>
      </c>
      <c r="AI7" s="101" t="str">
        <f t="shared" si="3"/>
        <v>R</v>
      </c>
      <c r="AJ7" s="5">
        <f t="shared" si="4"/>
        <v>42381</v>
      </c>
      <c r="AK7" s="4" t="str">
        <f t="shared" si="5"/>
        <v>R</v>
      </c>
    </row>
    <row r="8" spans="1:37" x14ac:dyDescent="0.25">
      <c r="A8" s="91" t="s">
        <v>70</v>
      </c>
      <c r="C8" s="95">
        <v>3</v>
      </c>
      <c r="D8" s="91" t="s">
        <v>71</v>
      </c>
      <c r="E8" s="91" t="s">
        <v>51</v>
      </c>
      <c r="F8" s="95" t="s">
        <v>52</v>
      </c>
      <c r="G8" s="3">
        <v>0</v>
      </c>
      <c r="H8" s="2">
        <v>42376</v>
      </c>
      <c r="I8" s="2"/>
      <c r="J8" s="2">
        <v>42375</v>
      </c>
      <c r="K8" s="2">
        <v>42735</v>
      </c>
      <c r="L8" s="91" t="s">
        <v>31</v>
      </c>
      <c r="M8" s="91">
        <v>0</v>
      </c>
      <c r="P8" s="91">
        <v>0</v>
      </c>
      <c r="Q8" s="91">
        <v>0</v>
      </c>
      <c r="R8" s="91">
        <v>0</v>
      </c>
      <c r="S8" s="91">
        <v>0</v>
      </c>
      <c r="T8" s="91">
        <v>0</v>
      </c>
      <c r="U8" s="91">
        <v>0</v>
      </c>
      <c r="Y8" s="91" t="s">
        <v>72</v>
      </c>
      <c r="Z8" s="91" t="s">
        <v>73</v>
      </c>
      <c r="AA8" s="4" t="s">
        <v>35</v>
      </c>
      <c r="AB8" s="4"/>
      <c r="AC8" s="4"/>
      <c r="AD8" s="4"/>
      <c r="AE8" s="6">
        <f t="shared" si="0"/>
        <v>1</v>
      </c>
      <c r="AF8" s="6" t="str">
        <f t="shared" si="1"/>
        <v/>
      </c>
      <c r="AG8" s="6" t="str">
        <f t="shared" si="2"/>
        <v/>
      </c>
      <c r="AH8" s="15" t="str">
        <f>IF(ISNA(VLOOKUP(A8,'offre secrétariat'!A:F,5,FALSE)),"",(VLOOKUP(A8,'offre secrétariat'!A:F,5,FALSE)))</f>
        <v/>
      </c>
      <c r="AI8" s="101" t="str">
        <f t="shared" si="3"/>
        <v/>
      </c>
      <c r="AJ8" s="5" t="str">
        <f t="shared" si="4"/>
        <v/>
      </c>
      <c r="AK8" s="4" t="str">
        <f t="shared" si="5"/>
        <v/>
      </c>
    </row>
    <row r="9" spans="1:37" x14ac:dyDescent="0.25">
      <c r="A9" s="91" t="s">
        <v>78</v>
      </c>
      <c r="B9" s="91">
        <v>161701</v>
      </c>
      <c r="C9" s="95">
        <v>4</v>
      </c>
      <c r="D9" s="91" t="s">
        <v>79</v>
      </c>
      <c r="E9" s="91" t="s">
        <v>65</v>
      </c>
      <c r="F9" s="95" t="s">
        <v>80</v>
      </c>
      <c r="G9" s="91">
        <v>0</v>
      </c>
      <c r="H9" s="2">
        <v>42377</v>
      </c>
      <c r="I9" s="2">
        <v>42403</v>
      </c>
      <c r="J9" s="2">
        <v>42404</v>
      </c>
      <c r="K9" s="2">
        <v>42415</v>
      </c>
      <c r="L9" s="91" t="s">
        <v>31</v>
      </c>
      <c r="M9" s="91">
        <v>50</v>
      </c>
      <c r="N9" s="91">
        <v>161701</v>
      </c>
      <c r="P9" s="91">
        <v>0</v>
      </c>
      <c r="Q9" s="91">
        <v>0</v>
      </c>
      <c r="R9" s="91">
        <v>0</v>
      </c>
      <c r="S9" s="91">
        <v>0</v>
      </c>
      <c r="T9" s="91">
        <v>0</v>
      </c>
      <c r="U9" s="91">
        <v>67.5</v>
      </c>
      <c r="X9" s="91" t="s">
        <v>81</v>
      </c>
      <c r="Y9" s="91" t="s">
        <v>82</v>
      </c>
      <c r="Z9" s="91" t="s">
        <v>83</v>
      </c>
      <c r="AA9" s="4" t="s">
        <v>35</v>
      </c>
      <c r="AB9" s="4"/>
      <c r="AC9" s="4"/>
      <c r="AD9" s="4"/>
      <c r="AE9" s="6">
        <f t="shared" si="0"/>
        <v>2</v>
      </c>
      <c r="AF9" s="6">
        <f t="shared" si="1"/>
        <v>1</v>
      </c>
      <c r="AG9" s="6" t="str">
        <f t="shared" si="2"/>
        <v>o</v>
      </c>
      <c r="AH9" s="15">
        <f>IF(ISNA(VLOOKUP(A9,'offre secrétariat'!A:F,5,FALSE)),"",(VLOOKUP(A9,'offre secrétariat'!A:F,5,FALSE)))</f>
        <v>42404</v>
      </c>
      <c r="AI9" s="101" t="str">
        <f t="shared" si="3"/>
        <v>R</v>
      </c>
      <c r="AJ9" s="5">
        <f t="shared" si="4"/>
        <v>42400</v>
      </c>
      <c r="AK9" s="4" t="str">
        <f t="shared" si="5"/>
        <v>R</v>
      </c>
    </row>
    <row r="10" spans="1:37" x14ac:dyDescent="0.25">
      <c r="A10" s="91" t="s">
        <v>90</v>
      </c>
      <c r="C10" s="95">
        <v>3</v>
      </c>
      <c r="D10" s="91" t="s">
        <v>91</v>
      </c>
      <c r="E10" s="91" t="s">
        <v>29</v>
      </c>
      <c r="F10" s="95" t="s">
        <v>38</v>
      </c>
      <c r="G10" s="91">
        <v>660</v>
      </c>
      <c r="H10" s="2">
        <v>42377</v>
      </c>
      <c r="J10" s="2">
        <v>42375</v>
      </c>
      <c r="K10" s="2">
        <v>42460</v>
      </c>
      <c r="L10" s="91" t="s">
        <v>31</v>
      </c>
      <c r="M10" s="91">
        <v>50</v>
      </c>
      <c r="P10" s="91">
        <v>0</v>
      </c>
      <c r="Q10" s="91">
        <v>4</v>
      </c>
      <c r="R10" s="91">
        <v>660.17</v>
      </c>
      <c r="S10" s="91">
        <v>0</v>
      </c>
      <c r="T10" s="91">
        <v>0</v>
      </c>
      <c r="U10" s="91">
        <v>0</v>
      </c>
      <c r="V10" s="2"/>
      <c r="W10" s="2"/>
      <c r="X10" s="91" t="s">
        <v>92</v>
      </c>
      <c r="Y10" s="91" t="s">
        <v>93</v>
      </c>
      <c r="Z10" s="91" t="s">
        <v>34</v>
      </c>
      <c r="AA10" s="4" t="s">
        <v>35</v>
      </c>
      <c r="AB10" s="4"/>
      <c r="AC10" s="4"/>
      <c r="AD10" s="4"/>
      <c r="AE10" s="6">
        <f t="shared" si="0"/>
        <v>1</v>
      </c>
      <c r="AF10" s="6" t="str">
        <f t="shared" si="1"/>
        <v/>
      </c>
      <c r="AG10" s="6" t="str">
        <f t="shared" si="2"/>
        <v/>
      </c>
      <c r="AH10" s="15" t="str">
        <f>IF(ISNA(VLOOKUP(A10,'offre secrétariat'!A:F,5,FALSE)),"",(VLOOKUP(A10,'offre secrétariat'!A:F,5,FALSE)))</f>
        <v/>
      </c>
      <c r="AI10" s="101" t="str">
        <f t="shared" si="3"/>
        <v/>
      </c>
      <c r="AJ10" s="5" t="str">
        <f t="shared" si="4"/>
        <v/>
      </c>
      <c r="AK10" s="4" t="str">
        <f t="shared" si="5"/>
        <v/>
      </c>
    </row>
    <row r="11" spans="1:37" x14ac:dyDescent="0.25">
      <c r="A11" s="91" t="s">
        <v>94</v>
      </c>
      <c r="B11" s="91">
        <v>164208</v>
      </c>
      <c r="C11" s="95">
        <v>4</v>
      </c>
      <c r="D11" s="91" t="s">
        <v>95</v>
      </c>
      <c r="E11" s="91" t="s">
        <v>29</v>
      </c>
      <c r="F11" s="95" t="s">
        <v>38</v>
      </c>
      <c r="G11" s="3">
        <v>525</v>
      </c>
      <c r="H11" s="2">
        <v>42377</v>
      </c>
      <c r="I11" s="2"/>
      <c r="J11" s="2">
        <v>42377</v>
      </c>
      <c r="K11" s="2"/>
      <c r="L11" s="91" t="s">
        <v>31</v>
      </c>
      <c r="M11" s="91">
        <v>50</v>
      </c>
      <c r="N11" s="91">
        <v>164208</v>
      </c>
      <c r="P11" s="91">
        <v>0</v>
      </c>
      <c r="Q11" s="91">
        <v>11</v>
      </c>
      <c r="R11" s="3">
        <v>525.98</v>
      </c>
      <c r="S11" s="91">
        <v>11</v>
      </c>
      <c r="T11" s="3">
        <v>525</v>
      </c>
      <c r="U11" s="91">
        <v>11</v>
      </c>
      <c r="V11" s="2">
        <v>42425</v>
      </c>
      <c r="W11" s="2">
        <v>42425</v>
      </c>
      <c r="X11" s="91" t="s">
        <v>96</v>
      </c>
      <c r="Y11" s="91" t="s">
        <v>97</v>
      </c>
      <c r="Z11" s="91" t="s">
        <v>34</v>
      </c>
      <c r="AA11" s="4" t="s">
        <v>35</v>
      </c>
      <c r="AB11" s="4"/>
      <c r="AC11" s="4"/>
      <c r="AD11" s="4"/>
      <c r="AE11" s="6">
        <f t="shared" si="0"/>
        <v>1</v>
      </c>
      <c r="AF11" s="6" t="str">
        <f t="shared" si="1"/>
        <v/>
      </c>
      <c r="AG11" s="6" t="str">
        <f t="shared" si="2"/>
        <v/>
      </c>
      <c r="AH11" s="15" t="str">
        <f>IF(ISNA(VLOOKUP(A11,'offre secrétariat'!A:F,5,FALSE)),"",(VLOOKUP(A11,'offre secrétariat'!A:F,5,FALSE)))</f>
        <v/>
      </c>
      <c r="AI11" s="101" t="str">
        <f t="shared" si="3"/>
        <v/>
      </c>
      <c r="AJ11" s="5" t="str">
        <f t="shared" si="4"/>
        <v/>
      </c>
      <c r="AK11" s="4" t="str">
        <f t="shared" si="5"/>
        <v/>
      </c>
    </row>
    <row r="12" spans="1:37" x14ac:dyDescent="0.25">
      <c r="A12" s="91" t="s">
        <v>98</v>
      </c>
      <c r="B12" s="91">
        <v>160621</v>
      </c>
      <c r="C12" s="95">
        <v>4</v>
      </c>
      <c r="D12" s="91" t="s">
        <v>99</v>
      </c>
      <c r="E12" s="91" t="s">
        <v>58</v>
      </c>
      <c r="F12" s="95" t="s">
        <v>59</v>
      </c>
      <c r="G12" s="3">
        <v>8500</v>
      </c>
      <c r="H12" s="2">
        <v>42377</v>
      </c>
      <c r="I12" s="2">
        <v>42436</v>
      </c>
      <c r="J12" s="2">
        <v>42403</v>
      </c>
      <c r="K12" s="2">
        <v>42461</v>
      </c>
      <c r="L12" s="91" t="s">
        <v>31</v>
      </c>
      <c r="M12" s="91">
        <v>60</v>
      </c>
      <c r="N12" s="91">
        <v>160621</v>
      </c>
      <c r="P12" s="91">
        <v>0</v>
      </c>
      <c r="Q12" s="91">
        <v>35</v>
      </c>
      <c r="R12" s="3">
        <v>8818.68</v>
      </c>
      <c r="S12" s="91">
        <v>35</v>
      </c>
      <c r="T12" s="3">
        <v>8500</v>
      </c>
      <c r="U12" s="91">
        <v>6</v>
      </c>
      <c r="X12" s="91" t="s">
        <v>100</v>
      </c>
      <c r="Y12" s="91" t="s">
        <v>101</v>
      </c>
      <c r="Z12" s="91" t="s">
        <v>102</v>
      </c>
      <c r="AA12" s="4" t="s">
        <v>35</v>
      </c>
      <c r="AB12" s="4"/>
      <c r="AC12" s="4"/>
      <c r="AD12" s="4"/>
      <c r="AE12" s="6">
        <f t="shared" si="0"/>
        <v>2</v>
      </c>
      <c r="AF12" s="6" t="str">
        <f t="shared" si="1"/>
        <v/>
      </c>
      <c r="AG12" s="6" t="str">
        <f t="shared" si="2"/>
        <v/>
      </c>
      <c r="AH12" s="15" t="str">
        <f>IF(ISNA(VLOOKUP(A12,'offre secrétariat'!A:F,5,FALSE)),"",(VLOOKUP(A12,'offre secrétariat'!A:F,5,FALSE)))</f>
        <v/>
      </c>
      <c r="AI12" s="101" t="str">
        <f t="shared" si="3"/>
        <v/>
      </c>
      <c r="AJ12" s="5">
        <f t="shared" si="4"/>
        <v>42433</v>
      </c>
      <c r="AK12" s="4" t="str">
        <f t="shared" si="5"/>
        <v/>
      </c>
    </row>
    <row r="13" spans="1:37" x14ac:dyDescent="0.25">
      <c r="A13" s="91" t="s">
        <v>103</v>
      </c>
      <c r="C13" s="95">
        <v>3</v>
      </c>
      <c r="D13" s="91" t="s">
        <v>104</v>
      </c>
      <c r="E13" s="91" t="s">
        <v>58</v>
      </c>
      <c r="F13" s="95" t="s">
        <v>87</v>
      </c>
      <c r="G13" s="3">
        <v>2075</v>
      </c>
      <c r="H13" s="2">
        <v>42380</v>
      </c>
      <c r="I13" s="2">
        <v>42380</v>
      </c>
      <c r="J13" s="2">
        <v>42380</v>
      </c>
      <c r="K13" s="2">
        <v>42387</v>
      </c>
      <c r="L13" s="91" t="s">
        <v>31</v>
      </c>
      <c r="M13" s="91">
        <v>0</v>
      </c>
      <c r="P13" s="91">
        <v>0</v>
      </c>
      <c r="Q13" s="91">
        <v>30</v>
      </c>
      <c r="R13" s="3">
        <v>2072.81</v>
      </c>
      <c r="S13" s="91">
        <v>0</v>
      </c>
      <c r="T13" s="91">
        <v>0</v>
      </c>
      <c r="U13" s="91">
        <v>0</v>
      </c>
      <c r="X13" s="91" t="s">
        <v>105</v>
      </c>
      <c r="Y13" s="91" t="s">
        <v>106</v>
      </c>
      <c r="Z13" s="91" t="s">
        <v>107</v>
      </c>
      <c r="AA13" s="4" t="s">
        <v>35</v>
      </c>
      <c r="AB13" s="4"/>
      <c r="AC13" s="4"/>
      <c r="AD13" s="4"/>
      <c r="AE13" s="6">
        <f t="shared" si="0"/>
        <v>1</v>
      </c>
      <c r="AF13" s="6" t="str">
        <f t="shared" si="1"/>
        <v/>
      </c>
      <c r="AG13" s="6" t="str">
        <f t="shared" si="2"/>
        <v/>
      </c>
      <c r="AH13" s="15" t="str">
        <f>IF(ISNA(VLOOKUP(A13,'offre secrétariat'!A:F,5,FALSE)),"",(VLOOKUP(A13,'offre secrétariat'!A:F,5,FALSE)))</f>
        <v/>
      </c>
      <c r="AI13" s="101" t="str">
        <f t="shared" si="3"/>
        <v/>
      </c>
      <c r="AJ13" s="5">
        <f t="shared" si="4"/>
        <v>42377</v>
      </c>
      <c r="AK13" s="4" t="str">
        <f t="shared" si="5"/>
        <v/>
      </c>
    </row>
    <row r="14" spans="1:37" x14ac:dyDescent="0.25">
      <c r="A14" s="91" t="s">
        <v>108</v>
      </c>
      <c r="C14" s="95">
        <v>3</v>
      </c>
      <c r="D14" s="91" t="s">
        <v>109</v>
      </c>
      <c r="E14" s="91" t="s">
        <v>58</v>
      </c>
      <c r="F14" s="95" t="s">
        <v>30</v>
      </c>
      <c r="G14" s="3">
        <v>65535</v>
      </c>
      <c r="H14" s="2">
        <v>42381</v>
      </c>
      <c r="I14" s="2">
        <v>42383</v>
      </c>
      <c r="J14" s="2">
        <v>42391</v>
      </c>
      <c r="K14" s="2">
        <v>42430</v>
      </c>
      <c r="L14" s="91" t="s">
        <v>31</v>
      </c>
      <c r="M14" s="91">
        <v>25</v>
      </c>
      <c r="P14" s="91">
        <v>0</v>
      </c>
      <c r="Q14" s="91">
        <v>650</v>
      </c>
      <c r="R14" s="3">
        <v>65535.73</v>
      </c>
      <c r="S14" s="91">
        <v>0</v>
      </c>
      <c r="T14" s="91">
        <v>0</v>
      </c>
      <c r="U14" s="91">
        <v>0</v>
      </c>
      <c r="X14" s="91" t="s">
        <v>110</v>
      </c>
      <c r="Y14" s="91" t="s">
        <v>111</v>
      </c>
      <c r="Z14" s="91" t="s">
        <v>112</v>
      </c>
      <c r="AA14" s="4" t="s">
        <v>35</v>
      </c>
      <c r="AB14" s="4"/>
      <c r="AC14" s="4"/>
      <c r="AD14" s="4"/>
      <c r="AE14" s="6">
        <f t="shared" si="0"/>
        <v>1</v>
      </c>
      <c r="AF14" s="6">
        <f t="shared" si="1"/>
        <v>1</v>
      </c>
      <c r="AG14" s="6" t="str">
        <f t="shared" si="2"/>
        <v>o</v>
      </c>
      <c r="AH14" s="15">
        <f>IF(ISNA(VLOOKUP(A14,'offre secrétariat'!A:F,5,FALSE)),"",(VLOOKUP(A14,'offre secrétariat'!A:F,5,FALSE)))</f>
        <v>42389</v>
      </c>
      <c r="AI14" s="101" t="str">
        <f t="shared" si="3"/>
        <v>R</v>
      </c>
      <c r="AJ14" s="5">
        <f t="shared" si="4"/>
        <v>42380</v>
      </c>
      <c r="AK14" s="4" t="str">
        <f t="shared" si="5"/>
        <v>R</v>
      </c>
    </row>
    <row r="15" spans="1:37" x14ac:dyDescent="0.25">
      <c r="A15" s="91" t="s">
        <v>113</v>
      </c>
      <c r="B15" s="91">
        <v>164209</v>
      </c>
      <c r="C15" s="95">
        <v>4</v>
      </c>
      <c r="D15" s="91" t="s">
        <v>114</v>
      </c>
      <c r="E15" s="91" t="s">
        <v>29</v>
      </c>
      <c r="F15" s="95" t="s">
        <v>38</v>
      </c>
      <c r="G15" s="3">
        <v>2680</v>
      </c>
      <c r="H15" s="2">
        <v>42381</v>
      </c>
      <c r="I15" s="2"/>
      <c r="J15" s="2">
        <v>42380</v>
      </c>
      <c r="L15" s="91" t="s">
        <v>31</v>
      </c>
      <c r="M15" s="91">
        <v>50</v>
      </c>
      <c r="N15" s="91">
        <v>164209</v>
      </c>
      <c r="P15" s="91">
        <v>0</v>
      </c>
      <c r="Q15" s="91">
        <v>28</v>
      </c>
      <c r="R15" s="3">
        <v>1340.1</v>
      </c>
      <c r="S15" s="91">
        <v>56</v>
      </c>
      <c r="T15" s="3">
        <v>2680</v>
      </c>
      <c r="U15" s="91">
        <v>26</v>
      </c>
      <c r="V15" s="2">
        <v>42397</v>
      </c>
      <c r="W15" s="2">
        <v>42397</v>
      </c>
      <c r="X15" s="91" t="s">
        <v>115</v>
      </c>
      <c r="Y15" s="91" t="s">
        <v>48</v>
      </c>
      <c r="Z15" s="91" t="s">
        <v>34</v>
      </c>
      <c r="AA15" s="4" t="s">
        <v>35</v>
      </c>
      <c r="AB15" s="4"/>
      <c r="AC15" s="4"/>
      <c r="AD15" s="4"/>
      <c r="AE15" s="6">
        <f t="shared" si="0"/>
        <v>1</v>
      </c>
      <c r="AF15" s="6" t="str">
        <f t="shared" si="1"/>
        <v/>
      </c>
      <c r="AG15" s="6" t="str">
        <f t="shared" si="2"/>
        <v/>
      </c>
      <c r="AH15" s="15" t="str">
        <f>IF(ISNA(VLOOKUP(A15,'offre secrétariat'!A:F,5,FALSE)),"",(VLOOKUP(A15,'offre secrétariat'!A:F,5,FALSE)))</f>
        <v/>
      </c>
      <c r="AI15" s="101" t="str">
        <f t="shared" si="3"/>
        <v/>
      </c>
      <c r="AJ15" s="5" t="str">
        <f t="shared" si="4"/>
        <v/>
      </c>
      <c r="AK15" s="4" t="str">
        <f t="shared" si="5"/>
        <v/>
      </c>
    </row>
    <row r="16" spans="1:37" x14ac:dyDescent="0.25">
      <c r="A16" s="91" t="s">
        <v>116</v>
      </c>
      <c r="C16" s="95">
        <v>7</v>
      </c>
      <c r="D16" s="91" t="s">
        <v>117</v>
      </c>
      <c r="E16" s="91" t="s">
        <v>58</v>
      </c>
      <c r="F16" s="95" t="s">
        <v>59</v>
      </c>
      <c r="G16" s="3">
        <v>72800</v>
      </c>
      <c r="H16" s="2">
        <v>42381</v>
      </c>
      <c r="I16" s="2">
        <v>42384</v>
      </c>
      <c r="J16" s="2">
        <v>42383</v>
      </c>
      <c r="K16" s="2"/>
      <c r="L16" s="91" t="s">
        <v>31</v>
      </c>
      <c r="M16" s="91">
        <v>0</v>
      </c>
      <c r="P16" s="91">
        <v>0</v>
      </c>
      <c r="Q16" s="91">
        <v>0</v>
      </c>
      <c r="R16" s="3">
        <v>0</v>
      </c>
      <c r="S16" s="91">
        <v>0</v>
      </c>
      <c r="T16" s="91">
        <v>0</v>
      </c>
      <c r="U16" s="91">
        <v>0</v>
      </c>
      <c r="X16" s="91" t="s">
        <v>118</v>
      </c>
      <c r="Y16" s="91" t="s">
        <v>119</v>
      </c>
      <c r="Z16" s="91" t="s">
        <v>120</v>
      </c>
      <c r="AA16" s="4" t="s">
        <v>35</v>
      </c>
      <c r="AB16" s="4"/>
      <c r="AC16" s="4"/>
      <c r="AD16" s="4"/>
      <c r="AE16" s="6">
        <f t="shared" si="0"/>
        <v>1</v>
      </c>
      <c r="AF16" s="6" t="str">
        <f t="shared" si="1"/>
        <v/>
      </c>
      <c r="AG16" s="6" t="str">
        <f t="shared" si="2"/>
        <v>o</v>
      </c>
      <c r="AH16" s="15">
        <f>IF(ISNA(VLOOKUP(A16,'offre secrétariat'!A:F,5,FALSE)),"",(VLOOKUP(A16,'offre secrétariat'!A:F,5,FALSE)))</f>
        <v>42381</v>
      </c>
      <c r="AI16" s="101" t="str">
        <f t="shared" si="3"/>
        <v>T</v>
      </c>
      <c r="AJ16" s="5">
        <f t="shared" si="4"/>
        <v>42381</v>
      </c>
      <c r="AK16" s="4" t="str">
        <f t="shared" si="5"/>
        <v>R</v>
      </c>
    </row>
    <row r="17" spans="1:37" x14ac:dyDescent="0.25">
      <c r="A17" s="91" t="s">
        <v>126</v>
      </c>
      <c r="C17" s="95">
        <v>3</v>
      </c>
      <c r="D17" s="91" t="s">
        <v>127</v>
      </c>
      <c r="E17" s="91" t="s">
        <v>65</v>
      </c>
      <c r="F17" s="95" t="s">
        <v>66</v>
      </c>
      <c r="G17" s="3">
        <v>41580</v>
      </c>
      <c r="H17" s="2">
        <v>42381</v>
      </c>
      <c r="I17" s="2">
        <v>42389</v>
      </c>
      <c r="J17" s="2">
        <v>42390</v>
      </c>
      <c r="K17" s="2">
        <v>42460</v>
      </c>
      <c r="L17" s="91" t="s">
        <v>31</v>
      </c>
      <c r="M17" s="91">
        <v>20</v>
      </c>
      <c r="P17" s="91">
        <v>0</v>
      </c>
      <c r="Q17" s="91">
        <v>316</v>
      </c>
      <c r="R17" s="3">
        <v>41579.599999999999</v>
      </c>
      <c r="S17" s="91">
        <v>0</v>
      </c>
      <c r="T17" s="91">
        <v>0</v>
      </c>
      <c r="U17" s="91">
        <v>0</v>
      </c>
      <c r="V17" s="2"/>
      <c r="W17" s="2"/>
      <c r="X17" s="91" t="s">
        <v>67</v>
      </c>
      <c r="Y17" s="91" t="s">
        <v>128</v>
      </c>
      <c r="Z17" s="91" t="s">
        <v>129</v>
      </c>
      <c r="AA17" s="4" t="s">
        <v>35</v>
      </c>
      <c r="AB17" s="4"/>
      <c r="AC17" s="4"/>
      <c r="AD17" s="4"/>
      <c r="AE17" s="6">
        <f t="shared" si="0"/>
        <v>1</v>
      </c>
      <c r="AF17" s="6">
        <f t="shared" si="1"/>
        <v>1</v>
      </c>
      <c r="AG17" s="6" t="str">
        <f t="shared" si="2"/>
        <v>o</v>
      </c>
      <c r="AH17" s="15">
        <f>IF(ISNA(VLOOKUP(A17,'offre secrétariat'!A:F,5,FALSE)),"",(VLOOKUP(A17,'offre secrétariat'!A:F,5,FALSE)))</f>
        <v>42389</v>
      </c>
      <c r="AI17" s="101" t="str">
        <f t="shared" si="3"/>
        <v>J</v>
      </c>
      <c r="AJ17" s="5">
        <f t="shared" si="4"/>
        <v>42386</v>
      </c>
      <c r="AK17" s="4" t="str">
        <f t="shared" si="5"/>
        <v>J</v>
      </c>
    </row>
    <row r="18" spans="1:37" x14ac:dyDescent="0.25">
      <c r="A18" s="91" t="s">
        <v>130</v>
      </c>
      <c r="B18" s="91">
        <v>160107</v>
      </c>
      <c r="C18" s="95">
        <v>4</v>
      </c>
      <c r="D18" s="91" t="s">
        <v>131</v>
      </c>
      <c r="E18" s="91" t="s">
        <v>51</v>
      </c>
      <c r="F18" s="95" t="s">
        <v>132</v>
      </c>
      <c r="G18" s="3">
        <v>1211</v>
      </c>
      <c r="H18" s="2">
        <v>42382</v>
      </c>
      <c r="I18" s="2">
        <v>42460</v>
      </c>
      <c r="J18" s="2">
        <v>42402</v>
      </c>
      <c r="K18" s="2">
        <v>42488</v>
      </c>
      <c r="L18" s="91" t="s">
        <v>31</v>
      </c>
      <c r="M18" s="91">
        <v>100</v>
      </c>
      <c r="N18" s="91">
        <v>160107</v>
      </c>
      <c r="P18" s="91">
        <v>0</v>
      </c>
      <c r="Q18" s="91">
        <v>12</v>
      </c>
      <c r="R18" s="3">
        <v>1209.49</v>
      </c>
      <c r="S18" s="91">
        <v>12</v>
      </c>
      <c r="T18" s="3">
        <v>1211</v>
      </c>
      <c r="U18" s="91">
        <v>0</v>
      </c>
      <c r="X18" s="91" t="s">
        <v>133</v>
      </c>
      <c r="Y18" s="91" t="s">
        <v>134</v>
      </c>
      <c r="Z18" s="91" t="s">
        <v>135</v>
      </c>
      <c r="AA18" s="4" t="s">
        <v>35</v>
      </c>
      <c r="AB18" s="4"/>
      <c r="AC18" s="4"/>
      <c r="AD18" s="4"/>
      <c r="AE18" s="6">
        <f t="shared" si="0"/>
        <v>2</v>
      </c>
      <c r="AF18" s="6" t="str">
        <f t="shared" si="1"/>
        <v/>
      </c>
      <c r="AG18" s="6" t="str">
        <f t="shared" si="2"/>
        <v>o</v>
      </c>
      <c r="AH18" s="15">
        <f>IF(ISNA(VLOOKUP(A18,'offre secrétariat'!A:F,5,FALSE)),"",(VLOOKUP(A18,'offre secrétariat'!A:F,5,FALSE)))</f>
        <v>42402</v>
      </c>
      <c r="AI18" s="101" t="str">
        <f t="shared" si="3"/>
        <v>T</v>
      </c>
      <c r="AJ18" s="5">
        <f t="shared" si="4"/>
        <v>42457</v>
      </c>
      <c r="AK18" s="4" t="str">
        <f t="shared" si="5"/>
        <v>A</v>
      </c>
    </row>
    <row r="19" spans="1:37" x14ac:dyDescent="0.25">
      <c r="A19" s="91" t="s">
        <v>136</v>
      </c>
      <c r="B19" s="91">
        <v>164016</v>
      </c>
      <c r="C19" s="95">
        <v>4</v>
      </c>
      <c r="D19" s="91" t="s">
        <v>137</v>
      </c>
      <c r="E19" s="91" t="s">
        <v>29</v>
      </c>
      <c r="F19" s="95" t="s">
        <v>138</v>
      </c>
      <c r="G19" s="3">
        <v>822</v>
      </c>
      <c r="H19" s="2">
        <v>42382</v>
      </c>
      <c r="I19" s="2">
        <v>42391</v>
      </c>
      <c r="J19" s="2">
        <v>42390</v>
      </c>
      <c r="K19" s="2">
        <v>42429</v>
      </c>
      <c r="L19" s="91" t="s">
        <v>31</v>
      </c>
      <c r="M19" s="91">
        <v>50</v>
      </c>
      <c r="N19" s="91">
        <v>164016</v>
      </c>
      <c r="P19" s="91">
        <v>0</v>
      </c>
      <c r="Q19" s="91">
        <v>0</v>
      </c>
      <c r="R19" s="3">
        <v>0</v>
      </c>
      <c r="S19" s="91">
        <v>1</v>
      </c>
      <c r="T19" s="91">
        <v>822</v>
      </c>
      <c r="U19" s="91">
        <v>8</v>
      </c>
      <c r="V19" s="2">
        <v>42437</v>
      </c>
      <c r="W19" s="2">
        <v>42437</v>
      </c>
      <c r="X19" s="91" t="s">
        <v>139</v>
      </c>
      <c r="Y19" s="91" t="s">
        <v>140</v>
      </c>
      <c r="Z19" s="91" t="s">
        <v>34</v>
      </c>
      <c r="AA19" s="4" t="s">
        <v>35</v>
      </c>
      <c r="AB19" s="4"/>
      <c r="AC19" s="4"/>
      <c r="AD19" s="4"/>
      <c r="AE19" s="6">
        <f t="shared" si="0"/>
        <v>1</v>
      </c>
      <c r="AF19" s="6" t="str">
        <f t="shared" si="1"/>
        <v/>
      </c>
      <c r="AG19" s="6" t="str">
        <f t="shared" si="2"/>
        <v/>
      </c>
      <c r="AH19" s="15" t="str">
        <f>IF(ISNA(VLOOKUP(A19,'offre secrétariat'!A:F,5,FALSE)),"",(VLOOKUP(A19,'offre secrétariat'!A:F,5,FALSE)))</f>
        <v/>
      </c>
      <c r="AI19" s="101" t="str">
        <f t="shared" si="3"/>
        <v/>
      </c>
      <c r="AJ19" s="5">
        <f t="shared" si="4"/>
        <v>42388</v>
      </c>
      <c r="AK19" s="4" t="str">
        <f t="shared" si="5"/>
        <v/>
      </c>
    </row>
    <row r="20" spans="1:37" x14ac:dyDescent="0.25">
      <c r="A20" s="91" t="s">
        <v>141</v>
      </c>
      <c r="B20" s="91">
        <v>164018</v>
      </c>
      <c r="C20" s="95">
        <v>4</v>
      </c>
      <c r="D20" s="91" t="s">
        <v>142</v>
      </c>
      <c r="E20" s="91" t="s">
        <v>29</v>
      </c>
      <c r="F20" s="95" t="s">
        <v>138</v>
      </c>
      <c r="G20" s="3">
        <v>2495</v>
      </c>
      <c r="H20" s="2">
        <v>42382</v>
      </c>
      <c r="I20" s="2">
        <v>42391</v>
      </c>
      <c r="J20" s="2">
        <v>42391</v>
      </c>
      <c r="K20" s="2">
        <v>42430</v>
      </c>
      <c r="L20" s="91" t="s">
        <v>31</v>
      </c>
      <c r="M20" s="91">
        <v>50</v>
      </c>
      <c r="N20" s="91">
        <v>164018</v>
      </c>
      <c r="P20" s="91">
        <v>0</v>
      </c>
      <c r="Q20" s="91">
        <v>40</v>
      </c>
      <c r="R20" s="3">
        <v>2495.11</v>
      </c>
      <c r="S20" s="91">
        <v>40</v>
      </c>
      <c r="T20" s="3">
        <v>2495</v>
      </c>
      <c r="U20" s="91">
        <v>0</v>
      </c>
      <c r="X20" s="91" t="s">
        <v>139</v>
      </c>
      <c r="Y20" s="91" t="s">
        <v>140</v>
      </c>
      <c r="Z20" s="91" t="s">
        <v>34</v>
      </c>
      <c r="AA20" s="4" t="s">
        <v>35</v>
      </c>
      <c r="AB20" s="4"/>
      <c r="AC20" s="4"/>
      <c r="AD20" s="4"/>
      <c r="AE20" s="6">
        <f t="shared" si="0"/>
        <v>1</v>
      </c>
      <c r="AF20" s="6" t="str">
        <f t="shared" si="1"/>
        <v/>
      </c>
      <c r="AG20" s="6" t="str">
        <f t="shared" si="2"/>
        <v/>
      </c>
      <c r="AH20" s="15" t="str">
        <f>IF(ISNA(VLOOKUP(A20,'offre secrétariat'!A:F,5,FALSE)),"",(VLOOKUP(A20,'offre secrétariat'!A:F,5,FALSE)))</f>
        <v/>
      </c>
      <c r="AI20" s="101" t="str">
        <f t="shared" si="3"/>
        <v/>
      </c>
      <c r="AJ20" s="5">
        <f t="shared" si="4"/>
        <v>42388</v>
      </c>
      <c r="AK20" s="4" t="str">
        <f t="shared" si="5"/>
        <v/>
      </c>
    </row>
    <row r="21" spans="1:37" x14ac:dyDescent="0.25">
      <c r="A21" s="91" t="s">
        <v>143</v>
      </c>
      <c r="C21" s="95">
        <v>3</v>
      </c>
      <c r="D21" s="91" t="s">
        <v>144</v>
      </c>
      <c r="E21" s="91" t="s">
        <v>29</v>
      </c>
      <c r="F21" s="95" t="s">
        <v>138</v>
      </c>
      <c r="G21" s="3">
        <v>10766</v>
      </c>
      <c r="H21" s="2">
        <v>42382</v>
      </c>
      <c r="I21" s="2">
        <v>42391</v>
      </c>
      <c r="J21" s="2">
        <v>42391</v>
      </c>
      <c r="K21" s="2">
        <v>42430</v>
      </c>
      <c r="L21" s="91" t="s">
        <v>31</v>
      </c>
      <c r="M21" s="91">
        <v>30</v>
      </c>
      <c r="P21" s="91">
        <v>0</v>
      </c>
      <c r="Q21" s="91">
        <v>143</v>
      </c>
      <c r="R21" s="3">
        <v>10798.98</v>
      </c>
      <c r="S21" s="91">
        <v>0</v>
      </c>
      <c r="T21" s="91">
        <v>0</v>
      </c>
      <c r="U21" s="91">
        <v>0</v>
      </c>
      <c r="V21" s="2"/>
      <c r="W21" s="2"/>
      <c r="X21" s="91" t="s">
        <v>139</v>
      </c>
      <c r="Y21" s="91" t="s">
        <v>140</v>
      </c>
      <c r="Z21" s="91" t="s">
        <v>34</v>
      </c>
      <c r="AA21" s="4" t="s">
        <v>35</v>
      </c>
      <c r="AB21" s="4"/>
      <c r="AC21" s="4"/>
      <c r="AD21" s="4"/>
      <c r="AE21" s="6">
        <f t="shared" si="0"/>
        <v>1</v>
      </c>
      <c r="AF21" s="6" t="str">
        <f t="shared" si="1"/>
        <v/>
      </c>
      <c r="AG21" s="6" t="str">
        <f t="shared" si="2"/>
        <v/>
      </c>
      <c r="AH21" s="15" t="str">
        <f>IF(ISNA(VLOOKUP(A21,'offre secrétariat'!A:F,5,FALSE)),"",(VLOOKUP(A21,'offre secrétariat'!A:F,5,FALSE)))</f>
        <v/>
      </c>
      <c r="AI21" s="101" t="str">
        <f t="shared" si="3"/>
        <v/>
      </c>
      <c r="AJ21" s="5">
        <f t="shared" si="4"/>
        <v>42388</v>
      </c>
      <c r="AK21" s="4" t="str">
        <f t="shared" si="5"/>
        <v/>
      </c>
    </row>
    <row r="22" spans="1:37" x14ac:dyDescent="0.25">
      <c r="A22" s="91" t="s">
        <v>145</v>
      </c>
      <c r="B22" s="91">
        <v>164021</v>
      </c>
      <c r="C22" s="95">
        <v>4</v>
      </c>
      <c r="D22" s="91" t="s">
        <v>146</v>
      </c>
      <c r="E22" s="91" t="s">
        <v>29</v>
      </c>
      <c r="F22" s="95" t="s">
        <v>138</v>
      </c>
      <c r="G22" s="3">
        <v>780</v>
      </c>
      <c r="H22" s="2">
        <v>42382</v>
      </c>
      <c r="I22" s="2">
        <v>42394</v>
      </c>
      <c r="J22" s="2">
        <v>42394</v>
      </c>
      <c r="K22" s="2">
        <v>42430</v>
      </c>
      <c r="L22" s="91" t="s">
        <v>31</v>
      </c>
      <c r="M22" s="91">
        <v>50</v>
      </c>
      <c r="N22" s="91">
        <v>164021</v>
      </c>
      <c r="P22" s="91">
        <v>0</v>
      </c>
      <c r="Q22" s="91">
        <v>17</v>
      </c>
      <c r="R22" s="91">
        <v>778.89</v>
      </c>
      <c r="S22" s="91">
        <v>17</v>
      </c>
      <c r="T22" s="3">
        <v>780</v>
      </c>
      <c r="U22" s="91">
        <v>0</v>
      </c>
      <c r="X22" s="91" t="s">
        <v>139</v>
      </c>
      <c r="Y22" s="91" t="s">
        <v>140</v>
      </c>
      <c r="Z22" s="91" t="s">
        <v>34</v>
      </c>
      <c r="AA22" s="4" t="s">
        <v>35</v>
      </c>
      <c r="AB22" s="4"/>
      <c r="AC22" s="4"/>
      <c r="AD22" s="4"/>
      <c r="AE22" s="6">
        <f t="shared" si="0"/>
        <v>1</v>
      </c>
      <c r="AF22" s="6" t="str">
        <f t="shared" si="1"/>
        <v/>
      </c>
      <c r="AG22" s="6" t="str">
        <f t="shared" si="2"/>
        <v/>
      </c>
      <c r="AH22" s="15" t="str">
        <f>IF(ISNA(VLOOKUP(A22,'offre secrétariat'!A:F,5,FALSE)),"",(VLOOKUP(A22,'offre secrétariat'!A:F,5,FALSE)))</f>
        <v/>
      </c>
      <c r="AI22" s="101" t="str">
        <f t="shared" si="3"/>
        <v/>
      </c>
      <c r="AJ22" s="5">
        <f t="shared" si="4"/>
        <v>42391</v>
      </c>
      <c r="AK22" s="4" t="str">
        <f t="shared" si="5"/>
        <v/>
      </c>
    </row>
    <row r="23" spans="1:37" x14ac:dyDescent="0.25">
      <c r="A23" s="91" t="s">
        <v>147</v>
      </c>
      <c r="B23" s="91">
        <v>164030</v>
      </c>
      <c r="C23" s="95">
        <v>4</v>
      </c>
      <c r="D23" s="91" t="s">
        <v>148</v>
      </c>
      <c r="E23" s="91" t="s">
        <v>29</v>
      </c>
      <c r="F23" s="95" t="s">
        <v>138</v>
      </c>
      <c r="G23" s="3">
        <v>875</v>
      </c>
      <c r="H23" s="2">
        <v>42382</v>
      </c>
      <c r="I23" s="2">
        <v>42396</v>
      </c>
      <c r="J23" s="2">
        <v>42396</v>
      </c>
      <c r="K23" s="2">
        <v>42429</v>
      </c>
      <c r="L23" s="91" t="s">
        <v>31</v>
      </c>
      <c r="M23" s="91">
        <v>50</v>
      </c>
      <c r="N23" s="91">
        <v>164030</v>
      </c>
      <c r="P23" s="91">
        <v>0</v>
      </c>
      <c r="Q23" s="91">
        <v>6</v>
      </c>
      <c r="R23" s="3">
        <v>888.88</v>
      </c>
      <c r="S23" s="91">
        <v>6</v>
      </c>
      <c r="T23" s="3">
        <v>875</v>
      </c>
      <c r="U23" s="91">
        <v>15.5</v>
      </c>
      <c r="V23" s="2">
        <v>42425</v>
      </c>
      <c r="W23" s="2">
        <v>42426</v>
      </c>
      <c r="X23" s="91" t="s">
        <v>139</v>
      </c>
      <c r="Y23" s="91" t="s">
        <v>149</v>
      </c>
      <c r="Z23" s="91" t="s">
        <v>34</v>
      </c>
      <c r="AA23" s="4" t="s">
        <v>35</v>
      </c>
      <c r="AB23" s="4"/>
      <c r="AC23" s="4"/>
      <c r="AD23" s="4"/>
      <c r="AE23" s="6">
        <f t="shared" si="0"/>
        <v>1</v>
      </c>
      <c r="AF23" s="6" t="str">
        <f t="shared" si="1"/>
        <v/>
      </c>
      <c r="AG23" s="6" t="str">
        <f t="shared" si="2"/>
        <v/>
      </c>
      <c r="AH23" s="15" t="str">
        <f>IF(ISNA(VLOOKUP(A23,'offre secrétariat'!A:F,5,FALSE)),"",(VLOOKUP(A23,'offre secrétariat'!A:F,5,FALSE)))</f>
        <v/>
      </c>
      <c r="AI23" s="101" t="str">
        <f t="shared" si="3"/>
        <v/>
      </c>
      <c r="AJ23" s="5">
        <f t="shared" si="4"/>
        <v>42393</v>
      </c>
      <c r="AK23" s="4" t="str">
        <f t="shared" si="5"/>
        <v/>
      </c>
    </row>
    <row r="24" spans="1:37" x14ac:dyDescent="0.25">
      <c r="A24" s="91" t="s">
        <v>150</v>
      </c>
      <c r="B24" s="91">
        <v>164035</v>
      </c>
      <c r="C24" s="95">
        <v>4</v>
      </c>
      <c r="D24" s="91" t="s">
        <v>151</v>
      </c>
      <c r="E24" s="91" t="s">
        <v>29</v>
      </c>
      <c r="F24" s="95" t="s">
        <v>138</v>
      </c>
      <c r="G24" s="3">
        <v>1644</v>
      </c>
      <c r="H24" s="2">
        <v>42382</v>
      </c>
      <c r="I24" s="2">
        <v>42397</v>
      </c>
      <c r="J24" s="2">
        <v>42397</v>
      </c>
      <c r="K24" s="2">
        <v>42430</v>
      </c>
      <c r="L24" s="91" t="s">
        <v>31</v>
      </c>
      <c r="M24" s="91">
        <v>50</v>
      </c>
      <c r="N24" s="91">
        <v>164035</v>
      </c>
      <c r="P24" s="91">
        <v>0</v>
      </c>
      <c r="Q24" s="91">
        <v>0</v>
      </c>
      <c r="R24" s="3">
        <v>0</v>
      </c>
      <c r="S24" s="91">
        <v>1</v>
      </c>
      <c r="T24" s="3">
        <v>1644</v>
      </c>
      <c r="U24" s="91">
        <v>1</v>
      </c>
      <c r="X24" s="91" t="s">
        <v>139</v>
      </c>
      <c r="Y24" s="91" t="s">
        <v>140</v>
      </c>
      <c r="Z24" s="91" t="s">
        <v>34</v>
      </c>
      <c r="AA24" s="4" t="s">
        <v>35</v>
      </c>
      <c r="AB24" s="4"/>
      <c r="AC24" s="4"/>
      <c r="AD24" s="4"/>
      <c r="AE24" s="6">
        <f t="shared" si="0"/>
        <v>1</v>
      </c>
      <c r="AF24" s="6" t="str">
        <f t="shared" si="1"/>
        <v/>
      </c>
      <c r="AG24" s="6" t="str">
        <f t="shared" si="2"/>
        <v/>
      </c>
      <c r="AH24" s="15" t="str">
        <f>IF(ISNA(VLOOKUP(A24,'offre secrétariat'!A:F,5,FALSE)),"",(VLOOKUP(A24,'offre secrétariat'!A:F,5,FALSE)))</f>
        <v/>
      </c>
      <c r="AI24" s="101" t="str">
        <f t="shared" si="3"/>
        <v/>
      </c>
      <c r="AJ24" s="5">
        <f t="shared" si="4"/>
        <v>42394</v>
      </c>
      <c r="AK24" s="4" t="str">
        <f t="shared" si="5"/>
        <v/>
      </c>
    </row>
    <row r="25" spans="1:37" x14ac:dyDescent="0.25">
      <c r="A25" s="91" t="s">
        <v>152</v>
      </c>
      <c r="B25" s="91">
        <v>164028</v>
      </c>
      <c r="C25" s="95">
        <v>4</v>
      </c>
      <c r="D25" s="91" t="s">
        <v>153</v>
      </c>
      <c r="E25" s="91" t="s">
        <v>29</v>
      </c>
      <c r="F25" s="95" t="s">
        <v>138</v>
      </c>
      <c r="G25" s="3">
        <v>4750</v>
      </c>
      <c r="H25" s="2">
        <v>42382</v>
      </c>
      <c r="I25" s="2">
        <v>42410</v>
      </c>
      <c r="J25" s="2">
        <v>42410</v>
      </c>
      <c r="K25" s="2">
        <v>42460</v>
      </c>
      <c r="L25" s="91" t="s">
        <v>31</v>
      </c>
      <c r="M25" s="91">
        <v>50</v>
      </c>
      <c r="N25" s="91">
        <v>164028</v>
      </c>
      <c r="P25" s="91">
        <v>0</v>
      </c>
      <c r="Q25" s="91">
        <v>1</v>
      </c>
      <c r="R25" s="3">
        <v>4756.51</v>
      </c>
      <c r="S25" s="91">
        <v>1</v>
      </c>
      <c r="T25" s="3">
        <v>4750</v>
      </c>
      <c r="U25" s="91">
        <v>1.5</v>
      </c>
      <c r="X25" s="91" t="s">
        <v>154</v>
      </c>
      <c r="Y25" s="91" t="s">
        <v>155</v>
      </c>
      <c r="Z25" s="91" t="s">
        <v>34</v>
      </c>
      <c r="AA25" s="4" t="s">
        <v>35</v>
      </c>
      <c r="AB25" s="4"/>
      <c r="AC25" s="4"/>
      <c r="AD25" s="4"/>
      <c r="AE25" s="6">
        <f t="shared" si="0"/>
        <v>2</v>
      </c>
      <c r="AF25" s="6" t="str">
        <f t="shared" si="1"/>
        <v/>
      </c>
      <c r="AG25" s="6" t="str">
        <f t="shared" si="2"/>
        <v/>
      </c>
      <c r="AH25" s="15" t="str">
        <f>IF(ISNA(VLOOKUP(A25,'offre secrétariat'!A:F,5,FALSE)),"",(VLOOKUP(A25,'offre secrétariat'!A:F,5,FALSE)))</f>
        <v/>
      </c>
      <c r="AI25" s="101" t="str">
        <f t="shared" si="3"/>
        <v/>
      </c>
      <c r="AJ25" s="5">
        <f t="shared" si="4"/>
        <v>42407</v>
      </c>
      <c r="AK25" s="4" t="str">
        <f t="shared" si="5"/>
        <v/>
      </c>
    </row>
    <row r="26" spans="1:37" x14ac:dyDescent="0.25">
      <c r="A26" s="91" t="s">
        <v>156</v>
      </c>
      <c r="B26" s="91">
        <v>164027</v>
      </c>
      <c r="C26" s="95">
        <v>4</v>
      </c>
      <c r="D26" s="91" t="s">
        <v>157</v>
      </c>
      <c r="E26" s="91" t="s">
        <v>29</v>
      </c>
      <c r="F26" s="95" t="s">
        <v>138</v>
      </c>
      <c r="G26" s="3">
        <v>1835</v>
      </c>
      <c r="H26" s="2">
        <v>42382</v>
      </c>
      <c r="I26" s="2">
        <v>42402</v>
      </c>
      <c r="J26" s="2">
        <v>42402</v>
      </c>
      <c r="K26" s="2">
        <v>42430</v>
      </c>
      <c r="L26" s="91" t="s">
        <v>31</v>
      </c>
      <c r="M26" s="91">
        <v>50</v>
      </c>
      <c r="N26" s="91">
        <v>164027</v>
      </c>
      <c r="P26" s="91">
        <v>0</v>
      </c>
      <c r="Q26" s="91">
        <v>16</v>
      </c>
      <c r="R26" s="3">
        <v>1834.22</v>
      </c>
      <c r="S26" s="91">
        <v>16</v>
      </c>
      <c r="T26" s="3">
        <v>1835</v>
      </c>
      <c r="U26" s="91">
        <v>5</v>
      </c>
      <c r="X26" s="91" t="s">
        <v>139</v>
      </c>
      <c r="Y26" s="91" t="s">
        <v>140</v>
      </c>
      <c r="Z26" s="91" t="s">
        <v>34</v>
      </c>
      <c r="AA26" s="4" t="s">
        <v>35</v>
      </c>
      <c r="AB26" s="4"/>
      <c r="AC26" s="4"/>
      <c r="AD26" s="4"/>
      <c r="AE26" s="6">
        <f t="shared" si="0"/>
        <v>2</v>
      </c>
      <c r="AF26" s="6" t="str">
        <f t="shared" si="1"/>
        <v/>
      </c>
      <c r="AG26" s="6" t="str">
        <f t="shared" si="2"/>
        <v/>
      </c>
      <c r="AH26" s="15" t="str">
        <f>IF(ISNA(VLOOKUP(A26,'offre secrétariat'!A:F,5,FALSE)),"",(VLOOKUP(A26,'offre secrétariat'!A:F,5,FALSE)))</f>
        <v/>
      </c>
      <c r="AI26" s="101" t="str">
        <f t="shared" si="3"/>
        <v/>
      </c>
      <c r="AJ26" s="5">
        <f t="shared" si="4"/>
        <v>42399</v>
      </c>
      <c r="AK26" s="4" t="str">
        <f t="shared" si="5"/>
        <v/>
      </c>
    </row>
    <row r="27" spans="1:37" x14ac:dyDescent="0.25">
      <c r="A27" s="91" t="s">
        <v>158</v>
      </c>
      <c r="C27" s="95">
        <v>3</v>
      </c>
      <c r="D27" s="91" t="s">
        <v>159</v>
      </c>
      <c r="E27" s="91" t="s">
        <v>29</v>
      </c>
      <c r="F27" s="95" t="s">
        <v>138</v>
      </c>
      <c r="G27" s="3">
        <v>3215</v>
      </c>
      <c r="H27" s="2">
        <v>42382</v>
      </c>
      <c r="I27" s="2">
        <v>42403</v>
      </c>
      <c r="J27" s="2">
        <v>42403</v>
      </c>
      <c r="K27" s="2">
        <v>42460</v>
      </c>
      <c r="L27" s="91" t="s">
        <v>31</v>
      </c>
      <c r="M27" s="91">
        <v>30</v>
      </c>
      <c r="P27" s="91">
        <v>0</v>
      </c>
      <c r="Q27" s="91">
        <v>56</v>
      </c>
      <c r="R27" s="3">
        <v>3216.38</v>
      </c>
      <c r="S27" s="91">
        <v>0</v>
      </c>
      <c r="T27" s="91">
        <v>0</v>
      </c>
      <c r="U27" s="91">
        <v>0</v>
      </c>
      <c r="X27" s="91" t="s">
        <v>139</v>
      </c>
      <c r="Y27" s="91" t="s">
        <v>140</v>
      </c>
      <c r="Z27" s="91" t="s">
        <v>34</v>
      </c>
      <c r="AA27" s="4" t="s">
        <v>35</v>
      </c>
      <c r="AB27" s="4"/>
      <c r="AC27" s="4"/>
      <c r="AD27" s="4"/>
      <c r="AE27" s="6">
        <f t="shared" si="0"/>
        <v>2</v>
      </c>
      <c r="AF27" s="6" t="str">
        <f t="shared" si="1"/>
        <v/>
      </c>
      <c r="AG27" s="6" t="str">
        <f t="shared" si="2"/>
        <v/>
      </c>
      <c r="AH27" s="15" t="str">
        <f>IF(ISNA(VLOOKUP(A27,'offre secrétariat'!A:F,5,FALSE)),"",(VLOOKUP(A27,'offre secrétariat'!A:F,5,FALSE)))</f>
        <v/>
      </c>
      <c r="AI27" s="101" t="str">
        <f t="shared" si="3"/>
        <v/>
      </c>
      <c r="AJ27" s="5">
        <f t="shared" si="4"/>
        <v>42400</v>
      </c>
      <c r="AK27" s="4" t="str">
        <f t="shared" si="5"/>
        <v/>
      </c>
    </row>
    <row r="28" spans="1:37" x14ac:dyDescent="0.25">
      <c r="A28" s="91" t="s">
        <v>160</v>
      </c>
      <c r="C28" s="95">
        <v>5</v>
      </c>
      <c r="D28" s="91" t="s">
        <v>161</v>
      </c>
      <c r="E28" s="91" t="s">
        <v>29</v>
      </c>
      <c r="F28" s="95" t="s">
        <v>138</v>
      </c>
      <c r="G28" s="3">
        <v>9875</v>
      </c>
      <c r="H28" s="2">
        <v>42382</v>
      </c>
      <c r="I28" s="2">
        <v>42410</v>
      </c>
      <c r="J28" s="2">
        <v>42409</v>
      </c>
      <c r="K28" s="2">
        <v>42460</v>
      </c>
      <c r="L28" s="91" t="s">
        <v>31</v>
      </c>
      <c r="M28" s="91">
        <v>50</v>
      </c>
      <c r="P28" s="91">
        <v>0</v>
      </c>
      <c r="Q28" s="91">
        <v>160</v>
      </c>
      <c r="R28" s="3">
        <v>9865.4699999999993</v>
      </c>
      <c r="S28" s="91">
        <v>0</v>
      </c>
      <c r="T28" s="3">
        <v>0</v>
      </c>
      <c r="U28" s="91">
        <v>0</v>
      </c>
      <c r="V28" s="2"/>
      <c r="W28" s="2"/>
      <c r="X28" s="91" t="s">
        <v>162</v>
      </c>
      <c r="Y28" s="91" t="s">
        <v>163</v>
      </c>
      <c r="Z28" s="91" t="s">
        <v>34</v>
      </c>
      <c r="AA28" s="4" t="s">
        <v>35</v>
      </c>
      <c r="AB28" s="4"/>
      <c r="AC28" s="4"/>
      <c r="AD28" s="4"/>
      <c r="AE28" s="6">
        <f t="shared" si="0"/>
        <v>2</v>
      </c>
      <c r="AF28" s="6" t="str">
        <f t="shared" si="1"/>
        <v/>
      </c>
      <c r="AG28" s="6" t="str">
        <f t="shared" si="2"/>
        <v/>
      </c>
      <c r="AH28" s="15" t="str">
        <f>IF(ISNA(VLOOKUP(A28,'offre secrétariat'!A:F,5,FALSE)),"",(VLOOKUP(A28,'offre secrétariat'!A:F,5,FALSE)))</f>
        <v/>
      </c>
      <c r="AI28" s="101" t="str">
        <f t="shared" si="3"/>
        <v/>
      </c>
      <c r="AJ28" s="5">
        <f t="shared" si="4"/>
        <v>42407</v>
      </c>
      <c r="AK28" s="4" t="str">
        <f t="shared" si="5"/>
        <v/>
      </c>
    </row>
    <row r="29" spans="1:37" x14ac:dyDescent="0.25">
      <c r="A29" s="91" t="s">
        <v>164</v>
      </c>
      <c r="C29" s="95">
        <v>5</v>
      </c>
      <c r="D29" s="91" t="s">
        <v>165</v>
      </c>
      <c r="E29" s="91" t="s">
        <v>29</v>
      </c>
      <c r="F29" s="95" t="s">
        <v>138</v>
      </c>
      <c r="G29" s="3">
        <v>7517.5</v>
      </c>
      <c r="H29" s="2">
        <v>42382</v>
      </c>
      <c r="I29" s="2">
        <v>42410</v>
      </c>
      <c r="J29" s="2">
        <v>42408</v>
      </c>
      <c r="K29" s="2">
        <v>42460</v>
      </c>
      <c r="L29" s="91" t="s">
        <v>31</v>
      </c>
      <c r="M29" s="91">
        <v>50</v>
      </c>
      <c r="P29" s="91">
        <v>0</v>
      </c>
      <c r="Q29" s="91">
        <v>80</v>
      </c>
      <c r="R29" s="3">
        <v>7443.24</v>
      </c>
      <c r="S29" s="91">
        <v>0</v>
      </c>
      <c r="T29" s="91">
        <v>0</v>
      </c>
      <c r="U29" s="91">
        <v>0</v>
      </c>
      <c r="X29" s="91" t="s">
        <v>139</v>
      </c>
      <c r="Y29" s="91" t="s">
        <v>166</v>
      </c>
      <c r="Z29" s="91" t="s">
        <v>34</v>
      </c>
      <c r="AA29" s="4" t="s">
        <v>35</v>
      </c>
      <c r="AB29" s="4"/>
      <c r="AC29" s="4"/>
      <c r="AD29" s="4"/>
      <c r="AE29" s="6">
        <f t="shared" si="0"/>
        <v>2</v>
      </c>
      <c r="AF29" s="6" t="str">
        <f t="shared" si="1"/>
        <v/>
      </c>
      <c r="AG29" s="6" t="str">
        <f t="shared" si="2"/>
        <v/>
      </c>
      <c r="AH29" s="15" t="str">
        <f>IF(ISNA(VLOOKUP(A29,'offre secrétariat'!A:F,5,FALSE)),"",(VLOOKUP(A29,'offre secrétariat'!A:F,5,FALSE)))</f>
        <v/>
      </c>
      <c r="AI29" s="101" t="str">
        <f t="shared" si="3"/>
        <v/>
      </c>
      <c r="AJ29" s="5">
        <f t="shared" si="4"/>
        <v>42407</v>
      </c>
      <c r="AK29" s="4" t="str">
        <f t="shared" si="5"/>
        <v/>
      </c>
    </row>
    <row r="30" spans="1:37" x14ac:dyDescent="0.25">
      <c r="A30" s="91" t="s">
        <v>167</v>
      </c>
      <c r="B30" s="91">
        <v>164043</v>
      </c>
      <c r="C30" s="95">
        <v>4</v>
      </c>
      <c r="D30" s="91" t="s">
        <v>168</v>
      </c>
      <c r="E30" s="91" t="s">
        <v>29</v>
      </c>
      <c r="F30" s="95" t="s">
        <v>138</v>
      </c>
      <c r="G30" s="3">
        <v>2645</v>
      </c>
      <c r="H30" s="2">
        <v>42382</v>
      </c>
      <c r="I30" s="2">
        <v>42405</v>
      </c>
      <c r="J30" s="2">
        <v>42404</v>
      </c>
      <c r="K30" s="2">
        <v>42460</v>
      </c>
      <c r="L30" s="91" t="s">
        <v>31</v>
      </c>
      <c r="M30" s="91">
        <v>50</v>
      </c>
      <c r="N30" s="91">
        <v>164043</v>
      </c>
      <c r="P30" s="91">
        <v>0</v>
      </c>
      <c r="Q30" s="91">
        <v>48</v>
      </c>
      <c r="R30" s="3">
        <v>2645.62</v>
      </c>
      <c r="S30" s="91">
        <v>48</v>
      </c>
      <c r="T30" s="3">
        <v>2645</v>
      </c>
      <c r="U30" s="91">
        <v>19.25</v>
      </c>
      <c r="V30" s="2">
        <v>42443</v>
      </c>
      <c r="W30" s="2">
        <v>42461</v>
      </c>
      <c r="X30" s="91" t="s">
        <v>139</v>
      </c>
      <c r="Y30" s="91" t="s">
        <v>140</v>
      </c>
      <c r="Z30" s="91" t="s">
        <v>34</v>
      </c>
      <c r="AA30" s="4" t="s">
        <v>35</v>
      </c>
      <c r="AB30" s="4"/>
      <c r="AC30" s="4"/>
      <c r="AD30" s="4"/>
      <c r="AE30" s="6">
        <f t="shared" si="0"/>
        <v>2</v>
      </c>
      <c r="AF30" s="6" t="str">
        <f t="shared" si="1"/>
        <v/>
      </c>
      <c r="AG30" s="6" t="str">
        <f t="shared" si="2"/>
        <v/>
      </c>
      <c r="AH30" s="15" t="str">
        <f>IF(ISNA(VLOOKUP(A30,'offre secrétariat'!A:F,5,FALSE)),"",(VLOOKUP(A30,'offre secrétariat'!A:F,5,FALSE)))</f>
        <v/>
      </c>
      <c r="AI30" s="101" t="str">
        <f t="shared" si="3"/>
        <v/>
      </c>
      <c r="AJ30" s="5">
        <f t="shared" si="4"/>
        <v>42402</v>
      </c>
      <c r="AK30" s="4" t="str">
        <f t="shared" si="5"/>
        <v/>
      </c>
    </row>
    <row r="31" spans="1:37" x14ac:dyDescent="0.25">
      <c r="A31" s="91" t="s">
        <v>169</v>
      </c>
      <c r="B31" s="91">
        <v>164029</v>
      </c>
      <c r="C31" s="95">
        <v>4</v>
      </c>
      <c r="D31" s="91" t="s">
        <v>170</v>
      </c>
      <c r="E31" s="91" t="s">
        <v>29</v>
      </c>
      <c r="F31" s="95" t="s">
        <v>138</v>
      </c>
      <c r="G31" s="3">
        <v>4360</v>
      </c>
      <c r="H31" s="2">
        <v>42382</v>
      </c>
      <c r="I31" s="2">
        <v>42411</v>
      </c>
      <c r="J31" s="2">
        <v>42411</v>
      </c>
      <c r="K31" s="2">
        <v>42460</v>
      </c>
      <c r="L31" s="91" t="s">
        <v>31</v>
      </c>
      <c r="M31" s="91">
        <v>50</v>
      </c>
      <c r="N31" s="91">
        <v>164029</v>
      </c>
      <c r="P31" s="91">
        <v>0</v>
      </c>
      <c r="Q31" s="91">
        <v>2</v>
      </c>
      <c r="R31" s="3">
        <v>4360.8999999999996</v>
      </c>
      <c r="S31" s="91">
        <v>2</v>
      </c>
      <c r="T31" s="3">
        <v>4360</v>
      </c>
      <c r="U31" s="91">
        <v>2.5</v>
      </c>
      <c r="X31" s="91" t="s">
        <v>171</v>
      </c>
      <c r="Y31" s="91" t="s">
        <v>155</v>
      </c>
      <c r="Z31" s="91" t="s">
        <v>34</v>
      </c>
      <c r="AA31" s="4" t="s">
        <v>35</v>
      </c>
      <c r="AB31" s="4"/>
      <c r="AC31" s="4"/>
      <c r="AD31" s="4"/>
      <c r="AE31" s="6">
        <f t="shared" si="0"/>
        <v>2</v>
      </c>
      <c r="AF31" s="6" t="str">
        <f t="shared" si="1"/>
        <v/>
      </c>
      <c r="AG31" s="6" t="str">
        <f t="shared" si="2"/>
        <v/>
      </c>
      <c r="AH31" s="15" t="str">
        <f>IF(ISNA(VLOOKUP(A31,'offre secrétariat'!A:F,5,FALSE)),"",(VLOOKUP(A31,'offre secrétariat'!A:F,5,FALSE)))</f>
        <v/>
      </c>
      <c r="AI31" s="101" t="str">
        <f t="shared" si="3"/>
        <v/>
      </c>
      <c r="AJ31" s="5">
        <f t="shared" si="4"/>
        <v>42408</v>
      </c>
      <c r="AK31" s="4" t="str">
        <f t="shared" si="5"/>
        <v/>
      </c>
    </row>
    <row r="32" spans="1:37" x14ac:dyDescent="0.25">
      <c r="A32" s="91" t="s">
        <v>172</v>
      </c>
      <c r="B32" s="91">
        <v>164031</v>
      </c>
      <c r="C32" s="95">
        <v>4</v>
      </c>
      <c r="D32" s="91" t="s">
        <v>173</v>
      </c>
      <c r="E32" s="91" t="s">
        <v>29</v>
      </c>
      <c r="F32" s="95" t="s">
        <v>138</v>
      </c>
      <c r="G32" s="3">
        <v>485</v>
      </c>
      <c r="H32" s="2">
        <v>42382</v>
      </c>
      <c r="I32" s="2">
        <v>42408</v>
      </c>
      <c r="J32" s="2">
        <v>42408</v>
      </c>
      <c r="K32" s="2">
        <v>42460</v>
      </c>
      <c r="L32" s="91" t="s">
        <v>31</v>
      </c>
      <c r="M32" s="91">
        <v>50</v>
      </c>
      <c r="N32" s="91">
        <v>164031</v>
      </c>
      <c r="P32" s="91">
        <v>0</v>
      </c>
      <c r="Q32" s="91">
        <v>2</v>
      </c>
      <c r="R32" s="3">
        <v>483.85</v>
      </c>
      <c r="S32" s="91">
        <v>2</v>
      </c>
      <c r="T32" s="91">
        <v>485</v>
      </c>
      <c r="U32" s="91">
        <v>0.5</v>
      </c>
      <c r="X32" s="91" t="s">
        <v>139</v>
      </c>
      <c r="Y32" s="91" t="s">
        <v>149</v>
      </c>
      <c r="Z32" s="91" t="s">
        <v>34</v>
      </c>
      <c r="AA32" s="4" t="s">
        <v>35</v>
      </c>
      <c r="AB32" s="4"/>
      <c r="AC32" s="4"/>
      <c r="AD32" s="4"/>
      <c r="AE32" s="6">
        <f t="shared" si="0"/>
        <v>2</v>
      </c>
      <c r="AF32" s="6" t="str">
        <f t="shared" si="1"/>
        <v/>
      </c>
      <c r="AG32" s="6" t="str">
        <f t="shared" si="2"/>
        <v/>
      </c>
      <c r="AH32" s="15" t="str">
        <f>IF(ISNA(VLOOKUP(A32,'offre secrétariat'!A:F,5,FALSE)),"",(VLOOKUP(A32,'offre secrétariat'!A:F,5,FALSE)))</f>
        <v/>
      </c>
      <c r="AI32" s="101" t="str">
        <f t="shared" si="3"/>
        <v/>
      </c>
      <c r="AJ32" s="5">
        <f t="shared" si="4"/>
        <v>42405</v>
      </c>
      <c r="AK32" s="4" t="str">
        <f t="shared" si="5"/>
        <v/>
      </c>
    </row>
    <row r="33" spans="1:37" x14ac:dyDescent="0.25">
      <c r="A33" s="91" t="s">
        <v>174</v>
      </c>
      <c r="B33" s="91">
        <v>164039</v>
      </c>
      <c r="C33" s="95">
        <v>4</v>
      </c>
      <c r="D33" s="91" t="s">
        <v>175</v>
      </c>
      <c r="E33" s="91" t="s">
        <v>29</v>
      </c>
      <c r="F33" s="95" t="s">
        <v>138</v>
      </c>
      <c r="G33" s="3">
        <v>2765</v>
      </c>
      <c r="H33" s="2">
        <v>42382</v>
      </c>
      <c r="I33" s="2">
        <v>42411</v>
      </c>
      <c r="J33" s="2">
        <v>42411</v>
      </c>
      <c r="K33" s="2">
        <v>42460</v>
      </c>
      <c r="L33" s="91" t="s">
        <v>31</v>
      </c>
      <c r="M33" s="91">
        <v>50</v>
      </c>
      <c r="N33" s="91">
        <v>164039</v>
      </c>
      <c r="P33" s="91">
        <v>0</v>
      </c>
      <c r="Q33" s="91">
        <v>50</v>
      </c>
      <c r="R33" s="3">
        <v>2764.47</v>
      </c>
      <c r="S33" s="91">
        <v>50</v>
      </c>
      <c r="T33" s="3">
        <v>2765</v>
      </c>
      <c r="U33" s="91">
        <v>35</v>
      </c>
      <c r="V33" s="2">
        <v>42430</v>
      </c>
      <c r="W33" s="2">
        <v>42433</v>
      </c>
      <c r="X33" s="91" t="s">
        <v>139</v>
      </c>
      <c r="Y33" s="91" t="s">
        <v>140</v>
      </c>
      <c r="Z33" s="91" t="s">
        <v>34</v>
      </c>
      <c r="AA33" s="4" t="s">
        <v>35</v>
      </c>
      <c r="AB33" s="4"/>
      <c r="AC33" s="4"/>
      <c r="AD33" s="4"/>
      <c r="AE33" s="6">
        <f t="shared" si="0"/>
        <v>2</v>
      </c>
      <c r="AF33" s="6" t="str">
        <f t="shared" si="1"/>
        <v/>
      </c>
      <c r="AG33" s="6" t="str">
        <f t="shared" si="2"/>
        <v/>
      </c>
      <c r="AH33" s="15" t="str">
        <f>IF(ISNA(VLOOKUP(A33,'offre secrétariat'!A:F,5,FALSE)),"",(VLOOKUP(A33,'offre secrétariat'!A:F,5,FALSE)))</f>
        <v/>
      </c>
      <c r="AI33" s="101" t="str">
        <f t="shared" si="3"/>
        <v/>
      </c>
      <c r="AJ33" s="5">
        <f t="shared" si="4"/>
        <v>42408</v>
      </c>
      <c r="AK33" s="4" t="str">
        <f t="shared" si="5"/>
        <v/>
      </c>
    </row>
    <row r="34" spans="1:37" x14ac:dyDescent="0.25">
      <c r="A34" s="91" t="s">
        <v>176</v>
      </c>
      <c r="C34" s="95">
        <v>3</v>
      </c>
      <c r="D34" s="91" t="s">
        <v>177</v>
      </c>
      <c r="E34" s="91" t="s">
        <v>29</v>
      </c>
      <c r="F34" s="95" t="s">
        <v>138</v>
      </c>
      <c r="G34" s="3">
        <v>3980</v>
      </c>
      <c r="H34" s="2">
        <v>42382</v>
      </c>
      <c r="I34" s="2">
        <v>42411</v>
      </c>
      <c r="J34" s="2">
        <v>42411</v>
      </c>
      <c r="K34" s="2">
        <v>42460</v>
      </c>
      <c r="L34" s="91" t="s">
        <v>31</v>
      </c>
      <c r="M34" s="91">
        <v>50</v>
      </c>
      <c r="P34" s="91">
        <v>0</v>
      </c>
      <c r="Q34" s="91">
        <v>80</v>
      </c>
      <c r="R34" s="3">
        <v>3976.26</v>
      </c>
      <c r="S34" s="91">
        <v>0</v>
      </c>
      <c r="T34" s="91">
        <v>0</v>
      </c>
      <c r="U34" s="91">
        <v>0</v>
      </c>
      <c r="X34" s="91" t="s">
        <v>139</v>
      </c>
      <c r="Y34" s="91" t="s">
        <v>140</v>
      </c>
      <c r="Z34" s="91" t="s">
        <v>34</v>
      </c>
      <c r="AA34" s="4" t="s">
        <v>35</v>
      </c>
      <c r="AB34" s="4"/>
      <c r="AC34" s="4"/>
      <c r="AD34" s="4"/>
      <c r="AE34" s="6">
        <f t="shared" si="0"/>
        <v>2</v>
      </c>
      <c r="AF34" s="6" t="str">
        <f t="shared" si="1"/>
        <v/>
      </c>
      <c r="AG34" s="6" t="str">
        <f t="shared" si="2"/>
        <v/>
      </c>
      <c r="AH34" s="15" t="str">
        <f>IF(ISNA(VLOOKUP(A34,'offre secrétariat'!A:F,5,FALSE)),"",(VLOOKUP(A34,'offre secrétariat'!A:F,5,FALSE)))</f>
        <v/>
      </c>
      <c r="AI34" s="101" t="str">
        <f t="shared" si="3"/>
        <v/>
      </c>
      <c r="AJ34" s="5">
        <f t="shared" si="4"/>
        <v>42408</v>
      </c>
      <c r="AK34" s="4" t="str">
        <f t="shared" si="5"/>
        <v/>
      </c>
    </row>
    <row r="35" spans="1:37" x14ac:dyDescent="0.25">
      <c r="A35" s="91" t="s">
        <v>178</v>
      </c>
      <c r="C35" s="95">
        <v>3</v>
      </c>
      <c r="D35" s="91" t="s">
        <v>179</v>
      </c>
      <c r="E35" s="91" t="s">
        <v>29</v>
      </c>
      <c r="F35" s="95" t="s">
        <v>138</v>
      </c>
      <c r="G35" s="3">
        <v>1405</v>
      </c>
      <c r="H35" s="2">
        <v>42382</v>
      </c>
      <c r="I35" s="2">
        <v>42412</v>
      </c>
      <c r="J35" s="2">
        <v>42412</v>
      </c>
      <c r="K35" s="2">
        <v>42460</v>
      </c>
      <c r="L35" s="91" t="s">
        <v>31</v>
      </c>
      <c r="M35" s="91">
        <v>50</v>
      </c>
      <c r="P35" s="91">
        <v>0</v>
      </c>
      <c r="Q35" s="91">
        <v>16</v>
      </c>
      <c r="R35" s="3">
        <v>1405.35</v>
      </c>
      <c r="S35" s="91">
        <v>0</v>
      </c>
      <c r="T35" s="91">
        <v>0</v>
      </c>
      <c r="U35" s="91">
        <v>0</v>
      </c>
      <c r="X35" s="91" t="s">
        <v>139</v>
      </c>
      <c r="Y35" s="91" t="s">
        <v>140</v>
      </c>
      <c r="Z35" s="91" t="s">
        <v>34</v>
      </c>
      <c r="AA35" s="4" t="s">
        <v>35</v>
      </c>
      <c r="AB35" s="4"/>
      <c r="AC35" s="4"/>
      <c r="AD35" s="4"/>
      <c r="AE35" s="6">
        <f t="shared" si="0"/>
        <v>2</v>
      </c>
      <c r="AF35" s="6" t="str">
        <f t="shared" si="1"/>
        <v/>
      </c>
      <c r="AG35" s="6" t="str">
        <f t="shared" si="2"/>
        <v/>
      </c>
      <c r="AH35" s="15" t="str">
        <f>IF(ISNA(VLOOKUP(A35,'offre secrétariat'!A:F,5,FALSE)),"",(VLOOKUP(A35,'offre secrétariat'!A:F,5,FALSE)))</f>
        <v/>
      </c>
      <c r="AI35" s="101" t="str">
        <f t="shared" si="3"/>
        <v/>
      </c>
      <c r="AJ35" s="5">
        <f t="shared" si="4"/>
        <v>42409</v>
      </c>
      <c r="AK35" s="4" t="str">
        <f t="shared" si="5"/>
        <v/>
      </c>
    </row>
    <row r="36" spans="1:37" x14ac:dyDescent="0.25">
      <c r="A36" s="91" t="s">
        <v>180</v>
      </c>
      <c r="B36" s="91">
        <v>164038</v>
      </c>
      <c r="C36" s="95">
        <v>4</v>
      </c>
      <c r="D36" s="91" t="s">
        <v>181</v>
      </c>
      <c r="E36" s="91" t="s">
        <v>29</v>
      </c>
      <c r="F36" s="95" t="s">
        <v>138</v>
      </c>
      <c r="G36" s="3">
        <v>4370</v>
      </c>
      <c r="H36" s="2">
        <v>42382</v>
      </c>
      <c r="I36" s="2">
        <v>42412</v>
      </c>
      <c r="J36" s="2">
        <v>42412</v>
      </c>
      <c r="K36" s="2">
        <v>42460</v>
      </c>
      <c r="L36" s="91" t="s">
        <v>31</v>
      </c>
      <c r="M36" s="91">
        <v>50</v>
      </c>
      <c r="N36" s="91">
        <v>164038</v>
      </c>
      <c r="P36" s="91">
        <v>0</v>
      </c>
      <c r="Q36" s="91">
        <v>48</v>
      </c>
      <c r="R36" s="3">
        <v>2495.31</v>
      </c>
      <c r="S36" s="91">
        <v>1</v>
      </c>
      <c r="T36" s="3">
        <v>4370</v>
      </c>
      <c r="U36" s="91">
        <v>0</v>
      </c>
      <c r="X36" s="91" t="s">
        <v>139</v>
      </c>
      <c r="Y36" s="91" t="s">
        <v>140</v>
      </c>
      <c r="Z36" s="91" t="s">
        <v>34</v>
      </c>
      <c r="AA36" s="4" t="s">
        <v>35</v>
      </c>
      <c r="AB36" s="4"/>
      <c r="AC36" s="4"/>
      <c r="AD36" s="4"/>
      <c r="AE36" s="6">
        <f t="shared" si="0"/>
        <v>2</v>
      </c>
      <c r="AF36" s="6" t="str">
        <f t="shared" si="1"/>
        <v/>
      </c>
      <c r="AG36" s="6" t="str">
        <f t="shared" si="2"/>
        <v/>
      </c>
      <c r="AH36" s="15" t="str">
        <f>IF(ISNA(VLOOKUP(A36,'offre secrétariat'!A:F,5,FALSE)),"",(VLOOKUP(A36,'offre secrétariat'!A:F,5,FALSE)))</f>
        <v/>
      </c>
      <c r="AI36" s="101" t="str">
        <f t="shared" si="3"/>
        <v/>
      </c>
      <c r="AJ36" s="5">
        <f t="shared" si="4"/>
        <v>42409</v>
      </c>
      <c r="AK36" s="4" t="str">
        <f t="shared" si="5"/>
        <v/>
      </c>
    </row>
    <row r="37" spans="1:37" x14ac:dyDescent="0.25">
      <c r="A37" s="91" t="s">
        <v>182</v>
      </c>
      <c r="C37" s="95">
        <v>5</v>
      </c>
      <c r="D37" s="91" t="s">
        <v>183</v>
      </c>
      <c r="E37" s="91" t="s">
        <v>29</v>
      </c>
      <c r="F37" s="95" t="s">
        <v>138</v>
      </c>
      <c r="G37" s="3">
        <v>3685</v>
      </c>
      <c r="H37" s="2">
        <v>42382</v>
      </c>
      <c r="I37" s="2">
        <v>42417</v>
      </c>
      <c r="J37" s="2">
        <v>42417</v>
      </c>
      <c r="K37" s="2">
        <v>42460</v>
      </c>
      <c r="L37" s="91" t="s">
        <v>31</v>
      </c>
      <c r="M37" s="91">
        <v>30</v>
      </c>
      <c r="P37" s="91">
        <v>0</v>
      </c>
      <c r="Q37" s="91">
        <v>25</v>
      </c>
      <c r="R37" s="3">
        <v>3695.85</v>
      </c>
      <c r="S37" s="91">
        <v>0</v>
      </c>
      <c r="T37" s="91">
        <v>0</v>
      </c>
      <c r="U37" s="91">
        <v>0</v>
      </c>
      <c r="X37" s="91" t="s">
        <v>139</v>
      </c>
      <c r="Y37" s="91" t="s">
        <v>140</v>
      </c>
      <c r="Z37" s="91" t="s">
        <v>34</v>
      </c>
      <c r="AA37" s="4" t="s">
        <v>35</v>
      </c>
      <c r="AB37" s="4"/>
      <c r="AC37" s="4"/>
      <c r="AD37" s="4"/>
      <c r="AE37" s="6">
        <f t="shared" si="0"/>
        <v>2</v>
      </c>
      <c r="AF37" s="6" t="str">
        <f t="shared" si="1"/>
        <v/>
      </c>
      <c r="AG37" s="6" t="str">
        <f t="shared" si="2"/>
        <v/>
      </c>
      <c r="AH37" s="15" t="str">
        <f>IF(ISNA(VLOOKUP(A37,'offre secrétariat'!A:F,5,FALSE)),"",(VLOOKUP(A37,'offre secrétariat'!A:F,5,FALSE)))</f>
        <v/>
      </c>
      <c r="AI37" s="101" t="str">
        <f t="shared" si="3"/>
        <v/>
      </c>
      <c r="AJ37" s="5">
        <f t="shared" si="4"/>
        <v>42414</v>
      </c>
      <c r="AK37" s="4" t="str">
        <f t="shared" si="5"/>
        <v/>
      </c>
    </row>
    <row r="38" spans="1:37" x14ac:dyDescent="0.25">
      <c r="A38" s="91" t="s">
        <v>184</v>
      </c>
      <c r="B38" s="91">
        <v>164036</v>
      </c>
      <c r="C38" s="95">
        <v>4</v>
      </c>
      <c r="D38" s="91" t="s">
        <v>185</v>
      </c>
      <c r="E38" s="91" t="s">
        <v>29</v>
      </c>
      <c r="F38" s="95" t="s">
        <v>138</v>
      </c>
      <c r="G38" s="3">
        <v>1255</v>
      </c>
      <c r="H38" s="2">
        <v>42382</v>
      </c>
      <c r="I38" s="2">
        <v>42417</v>
      </c>
      <c r="J38" s="2">
        <v>42417</v>
      </c>
      <c r="K38" s="2">
        <v>42460</v>
      </c>
      <c r="L38" s="91" t="s">
        <v>31</v>
      </c>
      <c r="M38" s="91">
        <v>50</v>
      </c>
      <c r="N38" s="91">
        <v>164036</v>
      </c>
      <c r="P38" s="91">
        <v>0</v>
      </c>
      <c r="Q38" s="91">
        <v>20</v>
      </c>
      <c r="R38" s="3">
        <v>1257.83</v>
      </c>
      <c r="S38" s="91">
        <v>20</v>
      </c>
      <c r="T38" s="3">
        <v>1255</v>
      </c>
      <c r="U38" s="91">
        <v>16.5</v>
      </c>
      <c r="V38" s="2">
        <v>42429</v>
      </c>
      <c r="W38" s="2">
        <v>42429</v>
      </c>
      <c r="X38" s="91" t="s">
        <v>139</v>
      </c>
      <c r="Y38" s="91" t="s">
        <v>140</v>
      </c>
      <c r="Z38" s="91" t="s">
        <v>34</v>
      </c>
      <c r="AA38" s="4" t="s">
        <v>35</v>
      </c>
      <c r="AB38" s="4"/>
      <c r="AC38" s="4"/>
      <c r="AD38" s="4"/>
      <c r="AE38" s="6">
        <f t="shared" si="0"/>
        <v>2</v>
      </c>
      <c r="AF38" s="6" t="str">
        <f t="shared" si="1"/>
        <v/>
      </c>
      <c r="AG38" s="6" t="str">
        <f t="shared" si="2"/>
        <v/>
      </c>
      <c r="AH38" s="15" t="str">
        <f>IF(ISNA(VLOOKUP(A38,'offre secrétariat'!A:F,5,FALSE)),"",(VLOOKUP(A38,'offre secrétariat'!A:F,5,FALSE)))</f>
        <v/>
      </c>
      <c r="AI38" s="101" t="str">
        <f t="shared" si="3"/>
        <v/>
      </c>
      <c r="AJ38" s="5">
        <f t="shared" si="4"/>
        <v>42414</v>
      </c>
      <c r="AK38" s="4" t="str">
        <f t="shared" si="5"/>
        <v/>
      </c>
    </row>
    <row r="39" spans="1:37" x14ac:dyDescent="0.25">
      <c r="A39" s="91" t="s">
        <v>193</v>
      </c>
      <c r="C39" s="95">
        <v>3</v>
      </c>
      <c r="D39" s="91" t="s">
        <v>194</v>
      </c>
      <c r="E39" s="91" t="s">
        <v>58</v>
      </c>
      <c r="F39" s="95" t="s">
        <v>59</v>
      </c>
      <c r="G39" s="3">
        <v>11720</v>
      </c>
      <c r="H39" s="2">
        <v>42382</v>
      </c>
      <c r="I39" s="2">
        <v>42384</v>
      </c>
      <c r="J39" s="2">
        <v>42388</v>
      </c>
      <c r="K39" s="2">
        <v>42522</v>
      </c>
      <c r="L39" s="91" t="s">
        <v>31</v>
      </c>
      <c r="M39" s="91">
        <v>50</v>
      </c>
      <c r="P39" s="91">
        <v>0</v>
      </c>
      <c r="Q39" s="91">
        <v>56</v>
      </c>
      <c r="R39" s="3">
        <v>11718.92</v>
      </c>
      <c r="S39" s="91">
        <v>0</v>
      </c>
      <c r="T39" s="91">
        <v>0</v>
      </c>
      <c r="U39" s="91">
        <v>0</v>
      </c>
      <c r="X39" s="91" t="s">
        <v>100</v>
      </c>
      <c r="Y39" s="91" t="s">
        <v>195</v>
      </c>
      <c r="Z39" s="91" t="s">
        <v>196</v>
      </c>
      <c r="AA39" s="4" t="s">
        <v>35</v>
      </c>
      <c r="AB39" s="4"/>
      <c r="AC39" s="4"/>
      <c r="AD39" s="4"/>
      <c r="AE39" s="6">
        <f t="shared" si="0"/>
        <v>1</v>
      </c>
      <c r="AF39" s="6">
        <f t="shared" si="1"/>
        <v>1</v>
      </c>
      <c r="AG39" s="6" t="str">
        <f t="shared" si="2"/>
        <v/>
      </c>
      <c r="AH39" s="15" t="str">
        <f>IF(ISNA(VLOOKUP(A39,'offre secrétariat'!A:F,5,FALSE)),"",(VLOOKUP(A39,'offre secrétariat'!A:F,5,FALSE)))</f>
        <v/>
      </c>
      <c r="AI39" s="101" t="str">
        <f t="shared" si="3"/>
        <v/>
      </c>
      <c r="AJ39" s="5">
        <f t="shared" si="4"/>
        <v>42381</v>
      </c>
      <c r="AK39" s="4" t="str">
        <f t="shared" si="5"/>
        <v/>
      </c>
    </row>
    <row r="40" spans="1:37" x14ac:dyDescent="0.25">
      <c r="A40" s="91" t="s">
        <v>197</v>
      </c>
      <c r="C40" s="95">
        <v>3</v>
      </c>
      <c r="D40" s="91" t="s">
        <v>198</v>
      </c>
      <c r="E40" s="91" t="s">
        <v>58</v>
      </c>
      <c r="F40" s="95" t="s">
        <v>59</v>
      </c>
      <c r="G40" s="3">
        <v>14032</v>
      </c>
      <c r="H40" s="2">
        <v>42382</v>
      </c>
      <c r="I40" s="2">
        <v>42384</v>
      </c>
      <c r="J40" s="2">
        <v>42389</v>
      </c>
      <c r="K40" s="2">
        <v>42522</v>
      </c>
      <c r="L40" s="91" t="s">
        <v>31</v>
      </c>
      <c r="M40" s="91">
        <v>50</v>
      </c>
      <c r="P40" s="91">
        <v>0</v>
      </c>
      <c r="Q40" s="91">
        <v>16</v>
      </c>
      <c r="R40" s="3">
        <v>1134.22</v>
      </c>
      <c r="S40" s="91">
        <v>0</v>
      </c>
      <c r="T40" s="91">
        <v>0</v>
      </c>
      <c r="U40" s="91">
        <v>0</v>
      </c>
      <c r="X40" s="91" t="s">
        <v>100</v>
      </c>
      <c r="Y40" s="91" t="s">
        <v>195</v>
      </c>
      <c r="Z40" s="91" t="s">
        <v>196</v>
      </c>
      <c r="AA40" s="4" t="s">
        <v>35</v>
      </c>
      <c r="AB40" s="4"/>
      <c r="AC40" s="4"/>
      <c r="AD40" s="4"/>
      <c r="AE40" s="6">
        <f t="shared" si="0"/>
        <v>1</v>
      </c>
      <c r="AF40" s="6">
        <f t="shared" si="1"/>
        <v>1</v>
      </c>
      <c r="AG40" s="6" t="str">
        <f t="shared" si="2"/>
        <v/>
      </c>
      <c r="AH40" s="15" t="str">
        <f>IF(ISNA(VLOOKUP(A40,'offre secrétariat'!A:F,5,FALSE)),"",(VLOOKUP(A40,'offre secrétariat'!A:F,5,FALSE)))</f>
        <v/>
      </c>
      <c r="AI40" s="101" t="str">
        <f t="shared" si="3"/>
        <v/>
      </c>
      <c r="AJ40" s="5">
        <f t="shared" si="4"/>
        <v>42381</v>
      </c>
      <c r="AK40" s="4" t="str">
        <f t="shared" si="5"/>
        <v/>
      </c>
    </row>
    <row r="41" spans="1:37" x14ac:dyDescent="0.25">
      <c r="A41" s="91" t="s">
        <v>199</v>
      </c>
      <c r="C41" s="95">
        <v>3</v>
      </c>
      <c r="D41" s="91" t="s">
        <v>200</v>
      </c>
      <c r="E41" s="91" t="s">
        <v>58</v>
      </c>
      <c r="F41" s="95" t="s">
        <v>59</v>
      </c>
      <c r="G41" s="3">
        <v>6655</v>
      </c>
      <c r="H41" s="2">
        <v>42382</v>
      </c>
      <c r="I41" s="2">
        <v>42398</v>
      </c>
      <c r="J41" s="2">
        <v>42423</v>
      </c>
      <c r="K41" s="2">
        <v>42407</v>
      </c>
      <c r="L41" s="91" t="s">
        <v>31</v>
      </c>
      <c r="M41" s="91">
        <v>60</v>
      </c>
      <c r="P41" s="91">
        <v>0</v>
      </c>
      <c r="Q41" s="91">
        <v>2</v>
      </c>
      <c r="R41" s="3">
        <v>6653.2</v>
      </c>
      <c r="S41" s="91">
        <v>0</v>
      </c>
      <c r="T41" s="91">
        <v>0</v>
      </c>
      <c r="U41" s="91">
        <v>0</v>
      </c>
      <c r="X41" s="91" t="s">
        <v>100</v>
      </c>
      <c r="Y41" s="91" t="s">
        <v>201</v>
      </c>
      <c r="Z41" s="91" t="s">
        <v>202</v>
      </c>
      <c r="AA41" s="4" t="s">
        <v>35</v>
      </c>
      <c r="AB41" s="4"/>
      <c r="AC41" s="4"/>
      <c r="AD41" s="4"/>
      <c r="AE41" s="6">
        <f t="shared" si="0"/>
        <v>2</v>
      </c>
      <c r="AF41" s="6">
        <f t="shared" si="1"/>
        <v>1</v>
      </c>
      <c r="AG41" s="6" t="str">
        <f t="shared" si="2"/>
        <v/>
      </c>
      <c r="AH41" s="15" t="str">
        <f>IF(ISNA(VLOOKUP(A41,'offre secrétariat'!A:F,5,FALSE)),"",(VLOOKUP(A41,'offre secrétariat'!A:F,5,FALSE)))</f>
        <v/>
      </c>
      <c r="AI41" s="101" t="str">
        <f t="shared" si="3"/>
        <v/>
      </c>
      <c r="AJ41" s="5">
        <f t="shared" si="4"/>
        <v>42395</v>
      </c>
      <c r="AK41" s="4" t="str">
        <f t="shared" si="5"/>
        <v/>
      </c>
    </row>
    <row r="42" spans="1:37" x14ac:dyDescent="0.25">
      <c r="A42" s="91" t="s">
        <v>217</v>
      </c>
      <c r="C42" s="95">
        <v>3</v>
      </c>
      <c r="D42" s="91" t="s">
        <v>218</v>
      </c>
      <c r="E42" s="91" t="s">
        <v>65</v>
      </c>
      <c r="F42" s="95" t="s">
        <v>80</v>
      </c>
      <c r="G42" s="3">
        <v>77380</v>
      </c>
      <c r="H42" s="2">
        <v>42383</v>
      </c>
      <c r="I42" s="2">
        <v>42418</v>
      </c>
      <c r="J42" s="2">
        <v>42419</v>
      </c>
      <c r="K42" s="2">
        <v>42675</v>
      </c>
      <c r="L42" s="91" t="s">
        <v>31</v>
      </c>
      <c r="M42" s="91">
        <v>30</v>
      </c>
      <c r="P42" s="91">
        <v>0</v>
      </c>
      <c r="Q42" s="91">
        <v>272</v>
      </c>
      <c r="R42" s="3">
        <v>77362.83</v>
      </c>
      <c r="S42" s="91">
        <v>0</v>
      </c>
      <c r="T42" s="3">
        <v>0</v>
      </c>
      <c r="U42" s="91">
        <v>0</v>
      </c>
      <c r="V42" s="2"/>
      <c r="W42" s="2"/>
      <c r="X42" s="91" t="s">
        <v>81</v>
      </c>
      <c r="Y42" s="91" t="s">
        <v>219</v>
      </c>
      <c r="Z42" s="91" t="s">
        <v>216</v>
      </c>
      <c r="AA42" s="4" t="s">
        <v>35</v>
      </c>
      <c r="AB42" s="4"/>
      <c r="AC42" s="4"/>
      <c r="AD42" s="4"/>
      <c r="AE42" s="6">
        <f t="shared" si="0"/>
        <v>2</v>
      </c>
      <c r="AF42" s="6">
        <f t="shared" si="1"/>
        <v>1</v>
      </c>
      <c r="AG42" s="6" t="str">
        <f t="shared" si="2"/>
        <v>o</v>
      </c>
      <c r="AH42" s="15">
        <f>IF(ISNA(VLOOKUP(A42,'offre secrétariat'!A:F,5,FALSE)),"",(VLOOKUP(A42,'offre secrétariat'!A:F,5,FALSE)))</f>
        <v>42412</v>
      </c>
      <c r="AI42" s="101" t="str">
        <f t="shared" si="3"/>
        <v>T</v>
      </c>
      <c r="AJ42" s="5">
        <f t="shared" si="4"/>
        <v>42415</v>
      </c>
      <c r="AK42" s="4" t="str">
        <f t="shared" si="5"/>
        <v>A</v>
      </c>
    </row>
    <row r="43" spans="1:37" x14ac:dyDescent="0.25">
      <c r="A43" s="91" t="s">
        <v>225</v>
      </c>
      <c r="B43" s="91">
        <v>160607</v>
      </c>
      <c r="C43" s="95">
        <v>4</v>
      </c>
      <c r="D43" s="91" t="s">
        <v>226</v>
      </c>
      <c r="E43" s="91" t="s">
        <v>58</v>
      </c>
      <c r="F43" s="95" t="s">
        <v>59</v>
      </c>
      <c r="G43" s="3">
        <v>2352</v>
      </c>
      <c r="H43" s="2">
        <v>42383</v>
      </c>
      <c r="I43" s="2">
        <v>42391</v>
      </c>
      <c r="J43" s="2">
        <v>42389</v>
      </c>
      <c r="K43" s="2">
        <v>42401</v>
      </c>
      <c r="L43" s="91" t="s">
        <v>31</v>
      </c>
      <c r="M43" s="91">
        <v>60</v>
      </c>
      <c r="N43" s="91">
        <v>160607</v>
      </c>
      <c r="P43" s="91">
        <v>0</v>
      </c>
      <c r="Q43" s="91">
        <v>24</v>
      </c>
      <c r="R43" s="3">
        <v>2351.5</v>
      </c>
      <c r="S43" s="91">
        <v>24</v>
      </c>
      <c r="T43" s="3">
        <v>2352</v>
      </c>
      <c r="U43" s="91">
        <v>37.5</v>
      </c>
      <c r="V43" s="2">
        <v>42397</v>
      </c>
      <c r="W43" s="2">
        <v>42397</v>
      </c>
      <c r="X43" s="91" t="s">
        <v>100</v>
      </c>
      <c r="Y43" s="91" t="s">
        <v>227</v>
      </c>
      <c r="Z43" s="91" t="s">
        <v>228</v>
      </c>
      <c r="AA43" s="4" t="s">
        <v>35</v>
      </c>
      <c r="AB43" s="4"/>
      <c r="AC43" s="4"/>
      <c r="AD43" s="4"/>
      <c r="AE43" s="6">
        <f t="shared" si="0"/>
        <v>1</v>
      </c>
      <c r="AF43" s="6" t="str">
        <f t="shared" si="1"/>
        <v/>
      </c>
      <c r="AG43" s="6" t="str">
        <f t="shared" si="2"/>
        <v/>
      </c>
      <c r="AH43" s="15" t="str">
        <f>IF(ISNA(VLOOKUP(A43,'offre secrétariat'!A:F,5,FALSE)),"",(VLOOKUP(A43,'offre secrétariat'!A:F,5,FALSE)))</f>
        <v/>
      </c>
      <c r="AI43" s="101" t="str">
        <f t="shared" si="3"/>
        <v/>
      </c>
      <c r="AJ43" s="5">
        <f t="shared" si="4"/>
        <v>42388</v>
      </c>
      <c r="AK43" s="4" t="str">
        <f t="shared" si="5"/>
        <v/>
      </c>
    </row>
    <row r="44" spans="1:37" x14ac:dyDescent="0.25">
      <c r="A44" s="91" t="s">
        <v>229</v>
      </c>
      <c r="C44" s="95">
        <v>3</v>
      </c>
      <c r="D44" s="91" t="s">
        <v>230</v>
      </c>
      <c r="E44" s="91" t="s">
        <v>65</v>
      </c>
      <c r="F44" s="95" t="s">
        <v>66</v>
      </c>
      <c r="G44" s="3">
        <v>20660</v>
      </c>
      <c r="H44" s="2">
        <v>42383</v>
      </c>
      <c r="I44" s="2">
        <v>42387</v>
      </c>
      <c r="J44" s="2">
        <v>42388</v>
      </c>
      <c r="K44" s="2">
        <v>42394</v>
      </c>
      <c r="L44" s="91" t="s">
        <v>31</v>
      </c>
      <c r="M44" s="91">
        <v>20</v>
      </c>
      <c r="P44" s="91">
        <v>0</v>
      </c>
      <c r="Q44" s="91">
        <v>153</v>
      </c>
      <c r="R44" s="3">
        <v>20657.32</v>
      </c>
      <c r="S44" s="91">
        <v>0</v>
      </c>
      <c r="T44" s="3">
        <v>0</v>
      </c>
      <c r="U44" s="91">
        <v>0</v>
      </c>
      <c r="X44" s="91" t="s">
        <v>67</v>
      </c>
      <c r="Y44" s="91" t="s">
        <v>231</v>
      </c>
      <c r="Z44" s="91" t="s">
        <v>129</v>
      </c>
      <c r="AA44" s="4" t="s">
        <v>35</v>
      </c>
      <c r="AB44" s="4"/>
      <c r="AC44" s="4"/>
      <c r="AD44" s="4"/>
      <c r="AE44" s="6">
        <f t="shared" si="0"/>
        <v>1</v>
      </c>
      <c r="AF44" s="6">
        <f t="shared" si="1"/>
        <v>1</v>
      </c>
      <c r="AG44" s="6" t="str">
        <f t="shared" si="2"/>
        <v>o</v>
      </c>
      <c r="AH44" s="15">
        <f>IF(ISNA(VLOOKUP(A44,'offre secrétariat'!A:F,5,FALSE)),"",(VLOOKUP(A44,'offre secrétariat'!A:F,5,FALSE)))</f>
        <v>42388</v>
      </c>
      <c r="AI44" s="101" t="str">
        <f t="shared" si="3"/>
        <v>R</v>
      </c>
      <c r="AJ44" s="5">
        <f t="shared" si="4"/>
        <v>42384</v>
      </c>
      <c r="AK44" s="4" t="str">
        <f t="shared" si="5"/>
        <v>R</v>
      </c>
    </row>
    <row r="45" spans="1:37" x14ac:dyDescent="0.25">
      <c r="A45" s="91" t="s">
        <v>232</v>
      </c>
      <c r="B45" s="91">
        <v>160010</v>
      </c>
      <c r="C45" s="95">
        <v>4</v>
      </c>
      <c r="D45" s="91" t="s">
        <v>233</v>
      </c>
      <c r="E45" s="91" t="s">
        <v>65</v>
      </c>
      <c r="F45" s="95" t="s">
        <v>66</v>
      </c>
      <c r="G45" s="3">
        <v>6955</v>
      </c>
      <c r="H45" s="2">
        <v>42383</v>
      </c>
      <c r="I45" s="2">
        <v>42398</v>
      </c>
      <c r="J45" s="2">
        <v>42398</v>
      </c>
      <c r="K45" s="2">
        <v>42429</v>
      </c>
      <c r="L45" s="91" t="s">
        <v>31</v>
      </c>
      <c r="M45" s="91">
        <v>50</v>
      </c>
      <c r="N45" s="91">
        <v>160010</v>
      </c>
      <c r="P45" s="91">
        <v>0</v>
      </c>
      <c r="Q45" s="91">
        <v>74</v>
      </c>
      <c r="R45" s="3">
        <v>15800.28</v>
      </c>
      <c r="S45" s="91">
        <v>3</v>
      </c>
      <c r="T45" s="3">
        <v>6955</v>
      </c>
      <c r="U45" s="91">
        <v>30</v>
      </c>
      <c r="V45" s="2">
        <v>42437</v>
      </c>
      <c r="W45" s="2">
        <v>42461</v>
      </c>
      <c r="X45" s="91" t="s">
        <v>67</v>
      </c>
      <c r="Y45" s="91" t="s">
        <v>234</v>
      </c>
      <c r="Z45" s="91" t="s">
        <v>235</v>
      </c>
      <c r="AA45" s="4" t="s">
        <v>35</v>
      </c>
      <c r="AB45" s="4"/>
      <c r="AC45" s="4"/>
      <c r="AD45" s="4"/>
      <c r="AE45" s="6">
        <f t="shared" si="0"/>
        <v>1</v>
      </c>
      <c r="AF45" s="6" t="str">
        <f t="shared" si="1"/>
        <v/>
      </c>
      <c r="AG45" s="6" t="str">
        <f t="shared" si="2"/>
        <v>o</v>
      </c>
      <c r="AH45" s="15">
        <f>IF(ISNA(VLOOKUP(A45,'offre secrétariat'!A:F,5,FALSE)),"",(VLOOKUP(A45,'offre secrétariat'!A:F,5,FALSE)))</f>
        <v>42398</v>
      </c>
      <c r="AI45" s="101" t="str">
        <f t="shared" si="3"/>
        <v>J</v>
      </c>
      <c r="AJ45" s="5">
        <f t="shared" si="4"/>
        <v>42395</v>
      </c>
      <c r="AK45" s="4" t="str">
        <f t="shared" si="5"/>
        <v>J</v>
      </c>
    </row>
    <row r="46" spans="1:37" x14ac:dyDescent="0.25">
      <c r="A46" s="91" t="s">
        <v>236</v>
      </c>
      <c r="B46" s="91">
        <v>160615</v>
      </c>
      <c r="C46" s="95">
        <v>4</v>
      </c>
      <c r="D46" s="91" t="s">
        <v>237</v>
      </c>
      <c r="E46" s="91" t="s">
        <v>58</v>
      </c>
      <c r="F46" s="95" t="s">
        <v>30</v>
      </c>
      <c r="G46" s="3">
        <v>1920</v>
      </c>
      <c r="H46" s="2">
        <v>42384</v>
      </c>
      <c r="I46" s="2">
        <v>42389</v>
      </c>
      <c r="J46" s="2">
        <v>42387</v>
      </c>
      <c r="K46" s="2">
        <v>42522</v>
      </c>
      <c r="L46" s="91" t="s">
        <v>31</v>
      </c>
      <c r="M46" s="91">
        <v>50</v>
      </c>
      <c r="N46" s="91">
        <v>160615</v>
      </c>
      <c r="P46" s="91">
        <v>0</v>
      </c>
      <c r="Q46" s="91">
        <v>20</v>
      </c>
      <c r="R46" s="3">
        <v>1921.5</v>
      </c>
      <c r="S46" s="91">
        <v>20</v>
      </c>
      <c r="T46" s="3">
        <v>1920</v>
      </c>
      <c r="U46" s="91">
        <v>5</v>
      </c>
      <c r="V46" s="2">
        <v>42429</v>
      </c>
      <c r="W46" s="2">
        <v>42429</v>
      </c>
      <c r="X46" s="91" t="s">
        <v>32</v>
      </c>
      <c r="Y46" s="91" t="s">
        <v>238</v>
      </c>
      <c r="Z46" s="91" t="s">
        <v>239</v>
      </c>
      <c r="AA46" s="4" t="s">
        <v>35</v>
      </c>
      <c r="AB46" s="4"/>
      <c r="AC46" s="4"/>
      <c r="AD46" s="4"/>
      <c r="AE46" s="6">
        <f t="shared" si="0"/>
        <v>1</v>
      </c>
      <c r="AF46" s="6" t="str">
        <f t="shared" si="1"/>
        <v/>
      </c>
      <c r="AG46" s="6" t="str">
        <f t="shared" si="2"/>
        <v/>
      </c>
      <c r="AH46" s="15" t="str">
        <f>IF(ISNA(VLOOKUP(A46,'offre secrétariat'!A:F,5,FALSE)),"",(VLOOKUP(A46,'offre secrétariat'!A:F,5,FALSE)))</f>
        <v/>
      </c>
      <c r="AI46" s="101" t="str">
        <f t="shared" si="3"/>
        <v/>
      </c>
      <c r="AJ46" s="5">
        <f t="shared" si="4"/>
        <v>42386</v>
      </c>
      <c r="AK46" s="4" t="str">
        <f t="shared" si="5"/>
        <v/>
      </c>
    </row>
    <row r="47" spans="1:37" x14ac:dyDescent="0.25">
      <c r="A47" s="91" t="s">
        <v>240</v>
      </c>
      <c r="C47" s="95">
        <v>5</v>
      </c>
      <c r="D47" s="91" t="s">
        <v>241</v>
      </c>
      <c r="E47" s="91" t="s">
        <v>58</v>
      </c>
      <c r="F47" s="95" t="s">
        <v>87</v>
      </c>
      <c r="G47" s="3">
        <v>197850</v>
      </c>
      <c r="H47" s="2">
        <v>42384</v>
      </c>
      <c r="I47" s="2">
        <v>42430</v>
      </c>
      <c r="J47" s="2">
        <v>42430</v>
      </c>
      <c r="K47" s="2">
        <v>42482</v>
      </c>
      <c r="L47" s="91" t="s">
        <v>31</v>
      </c>
      <c r="M47" s="91">
        <v>30</v>
      </c>
      <c r="P47" s="91">
        <v>0</v>
      </c>
      <c r="Q47" s="3">
        <v>2342</v>
      </c>
      <c r="R47" s="3">
        <v>197844.45</v>
      </c>
      <c r="S47" s="91">
        <v>0</v>
      </c>
      <c r="T47" s="3">
        <v>0</v>
      </c>
      <c r="U47" s="91">
        <v>0</v>
      </c>
      <c r="X47" s="91" t="s">
        <v>242</v>
      </c>
      <c r="Y47" s="91" t="s">
        <v>243</v>
      </c>
      <c r="Z47" s="91" t="s">
        <v>244</v>
      </c>
      <c r="AA47" s="4" t="s">
        <v>35</v>
      </c>
      <c r="AB47" s="4"/>
      <c r="AC47" s="4"/>
      <c r="AD47" s="4"/>
      <c r="AE47" s="6">
        <f t="shared" si="0"/>
        <v>3</v>
      </c>
      <c r="AF47" s="6" t="str">
        <f t="shared" si="1"/>
        <v/>
      </c>
      <c r="AG47" s="6" t="str">
        <f t="shared" si="2"/>
        <v>o</v>
      </c>
      <c r="AH47" s="15">
        <f>IF(ISNA(VLOOKUP(A47,'offre secrétariat'!A:F,5,FALSE)),"",(VLOOKUP(A47,'offre secrétariat'!A:F,5,FALSE)))</f>
        <v>42430</v>
      </c>
      <c r="AI47" s="101" t="str">
        <f t="shared" si="3"/>
        <v>J</v>
      </c>
      <c r="AJ47" s="5">
        <f t="shared" si="4"/>
        <v>42427</v>
      </c>
      <c r="AK47" s="4" t="str">
        <f t="shared" si="5"/>
        <v>J</v>
      </c>
    </row>
    <row r="48" spans="1:37" x14ac:dyDescent="0.25">
      <c r="A48" s="91" t="s">
        <v>245</v>
      </c>
      <c r="C48" s="95">
        <v>3</v>
      </c>
      <c r="D48" s="91" t="s">
        <v>246</v>
      </c>
      <c r="E48" s="91" t="s">
        <v>29</v>
      </c>
      <c r="F48" s="95" t="s">
        <v>38</v>
      </c>
      <c r="G48" s="3">
        <v>4250</v>
      </c>
      <c r="H48" s="2">
        <v>42384</v>
      </c>
      <c r="I48" s="2"/>
      <c r="J48" s="2">
        <v>42384</v>
      </c>
      <c r="K48" s="2">
        <v>42460</v>
      </c>
      <c r="L48" s="91" t="s">
        <v>31</v>
      </c>
      <c r="M48" s="91">
        <v>50</v>
      </c>
      <c r="P48" s="91">
        <v>0</v>
      </c>
      <c r="Q48" s="91">
        <v>82</v>
      </c>
      <c r="R48" s="3">
        <v>4250.71</v>
      </c>
      <c r="S48" s="91">
        <v>0</v>
      </c>
      <c r="T48" s="91">
        <v>0</v>
      </c>
      <c r="U48" s="91">
        <v>0</v>
      </c>
      <c r="X48" s="91" t="s">
        <v>247</v>
      </c>
      <c r="Y48" s="91" t="s">
        <v>40</v>
      </c>
      <c r="Z48" s="91" t="s">
        <v>34</v>
      </c>
      <c r="AA48" s="4" t="s">
        <v>35</v>
      </c>
      <c r="AB48" s="4"/>
      <c r="AC48" s="4"/>
      <c r="AD48" s="4"/>
      <c r="AE48" s="6">
        <f t="shared" si="0"/>
        <v>1</v>
      </c>
      <c r="AF48" s="6" t="str">
        <f t="shared" si="1"/>
        <v/>
      </c>
      <c r="AG48" s="6" t="str">
        <f t="shared" si="2"/>
        <v/>
      </c>
      <c r="AH48" s="15" t="str">
        <f>IF(ISNA(VLOOKUP(A48,'offre secrétariat'!A:F,5,FALSE)),"",(VLOOKUP(A48,'offre secrétariat'!A:F,5,FALSE)))</f>
        <v/>
      </c>
      <c r="AI48" s="101" t="str">
        <f t="shared" si="3"/>
        <v/>
      </c>
      <c r="AJ48" s="5" t="str">
        <f t="shared" si="4"/>
        <v/>
      </c>
      <c r="AK48" s="4" t="str">
        <f t="shared" si="5"/>
        <v/>
      </c>
    </row>
    <row r="49" spans="1:37" x14ac:dyDescent="0.25">
      <c r="A49" s="91" t="s">
        <v>248</v>
      </c>
      <c r="B49" s="91">
        <v>164211</v>
      </c>
      <c r="C49" s="95">
        <v>4</v>
      </c>
      <c r="D49" s="91" t="s">
        <v>249</v>
      </c>
      <c r="E49" s="91" t="s">
        <v>29</v>
      </c>
      <c r="F49" s="95" t="s">
        <v>38</v>
      </c>
      <c r="G49" s="3">
        <v>3250</v>
      </c>
      <c r="H49" s="2">
        <v>42384</v>
      </c>
      <c r="I49" s="2"/>
      <c r="J49" s="2">
        <v>42384</v>
      </c>
      <c r="K49" s="2"/>
      <c r="L49" s="91" t="s">
        <v>31</v>
      </c>
      <c r="M49" s="91">
        <v>50</v>
      </c>
      <c r="N49" s="91">
        <v>164211</v>
      </c>
      <c r="P49" s="91">
        <v>0</v>
      </c>
      <c r="Q49" s="91">
        <v>58</v>
      </c>
      <c r="R49" s="3">
        <v>3250.24</v>
      </c>
      <c r="S49" s="91">
        <v>58</v>
      </c>
      <c r="T49" s="3">
        <v>3250</v>
      </c>
      <c r="U49" s="91">
        <v>0.5</v>
      </c>
      <c r="V49" s="2"/>
      <c r="W49" s="2"/>
      <c r="X49" s="91" t="s">
        <v>250</v>
      </c>
      <c r="Y49" s="91" t="s">
        <v>163</v>
      </c>
      <c r="Z49" s="91" t="s">
        <v>34</v>
      </c>
      <c r="AA49" s="4" t="s">
        <v>35</v>
      </c>
      <c r="AB49" s="4"/>
      <c r="AC49" s="4"/>
      <c r="AD49" s="4"/>
      <c r="AE49" s="6">
        <f t="shared" si="0"/>
        <v>1</v>
      </c>
      <c r="AF49" s="6" t="str">
        <f t="shared" si="1"/>
        <v/>
      </c>
      <c r="AG49" s="6" t="str">
        <f t="shared" si="2"/>
        <v/>
      </c>
      <c r="AH49" s="15" t="str">
        <f>IF(ISNA(VLOOKUP(A49,'offre secrétariat'!A:F,5,FALSE)),"",(VLOOKUP(A49,'offre secrétariat'!A:F,5,FALSE)))</f>
        <v/>
      </c>
      <c r="AI49" s="101" t="str">
        <f t="shared" si="3"/>
        <v/>
      </c>
      <c r="AJ49" s="5" t="str">
        <f t="shared" si="4"/>
        <v/>
      </c>
      <c r="AK49" s="4" t="str">
        <f t="shared" si="5"/>
        <v/>
      </c>
    </row>
    <row r="50" spans="1:37" x14ac:dyDescent="0.25">
      <c r="A50" s="91" t="s">
        <v>251</v>
      </c>
      <c r="C50" s="95">
        <v>3</v>
      </c>
      <c r="D50" s="91" t="s">
        <v>252</v>
      </c>
      <c r="E50" s="91" t="s">
        <v>58</v>
      </c>
      <c r="F50" s="95" t="s">
        <v>30</v>
      </c>
      <c r="G50" s="3">
        <v>43150</v>
      </c>
      <c r="H50" s="2">
        <v>42388</v>
      </c>
      <c r="I50" s="2">
        <v>42398</v>
      </c>
      <c r="J50" s="2">
        <v>42405</v>
      </c>
      <c r="K50" s="2">
        <v>42429</v>
      </c>
      <c r="L50" s="91" t="s">
        <v>31</v>
      </c>
      <c r="M50" s="91">
        <v>30</v>
      </c>
      <c r="P50" s="91">
        <v>0</v>
      </c>
      <c r="Q50" s="91">
        <v>278</v>
      </c>
      <c r="R50" s="3">
        <v>43149.05</v>
      </c>
      <c r="S50" s="91">
        <v>0</v>
      </c>
      <c r="T50" s="3">
        <v>0</v>
      </c>
      <c r="U50" s="91">
        <v>0</v>
      </c>
      <c r="X50" s="91" t="s">
        <v>253</v>
      </c>
      <c r="Y50" s="91" t="s">
        <v>254</v>
      </c>
      <c r="Z50" s="91" t="s">
        <v>255</v>
      </c>
      <c r="AA50" s="4" t="s">
        <v>35</v>
      </c>
      <c r="AB50" s="4"/>
      <c r="AC50" s="4"/>
      <c r="AD50" s="4"/>
      <c r="AE50" s="6">
        <f t="shared" si="0"/>
        <v>2</v>
      </c>
      <c r="AF50" s="6">
        <f t="shared" si="1"/>
        <v>1</v>
      </c>
      <c r="AG50" s="6" t="str">
        <f t="shared" si="2"/>
        <v>o</v>
      </c>
      <c r="AH50" s="15">
        <f>IF(ISNA(VLOOKUP(A50,'offre secrétariat'!A:F,5,FALSE)),"",(VLOOKUP(A50,'offre secrétariat'!A:F,5,FALSE)))</f>
        <v>42405</v>
      </c>
      <c r="AI50" s="101" t="str">
        <f t="shared" si="3"/>
        <v>R</v>
      </c>
      <c r="AJ50" s="5">
        <f t="shared" si="4"/>
        <v>42395</v>
      </c>
      <c r="AK50" s="4" t="str">
        <f t="shared" si="5"/>
        <v>R</v>
      </c>
    </row>
    <row r="51" spans="1:37" x14ac:dyDescent="0.25">
      <c r="A51" s="91" t="s">
        <v>256</v>
      </c>
      <c r="C51" s="95">
        <v>3</v>
      </c>
      <c r="D51" s="91" t="s">
        <v>257</v>
      </c>
      <c r="E51" s="91" t="s">
        <v>29</v>
      </c>
      <c r="F51" s="95" t="s">
        <v>30</v>
      </c>
      <c r="G51" s="3">
        <v>3780</v>
      </c>
      <c r="H51" s="2">
        <v>42388</v>
      </c>
      <c r="I51" s="2">
        <v>42391</v>
      </c>
      <c r="J51" s="2">
        <v>42390</v>
      </c>
      <c r="K51" s="2">
        <v>42429</v>
      </c>
      <c r="L51" s="91" t="s">
        <v>31</v>
      </c>
      <c r="M51" s="91">
        <v>30</v>
      </c>
      <c r="P51" s="91">
        <v>0</v>
      </c>
      <c r="Q51" s="91">
        <v>33</v>
      </c>
      <c r="R51" s="3">
        <v>3781.45</v>
      </c>
      <c r="S51" s="91">
        <v>0</v>
      </c>
      <c r="T51" s="91">
        <v>0</v>
      </c>
      <c r="U51" s="91">
        <v>0</v>
      </c>
      <c r="X51" s="91" t="s">
        <v>32</v>
      </c>
      <c r="Y51" s="91" t="s">
        <v>258</v>
      </c>
      <c r="Z51" s="91" t="s">
        <v>34</v>
      </c>
      <c r="AA51" s="4" t="s">
        <v>35</v>
      </c>
      <c r="AB51" s="4"/>
      <c r="AC51" s="4"/>
      <c r="AD51" s="4"/>
      <c r="AE51" s="6">
        <f t="shared" si="0"/>
        <v>1</v>
      </c>
      <c r="AF51" s="6" t="str">
        <f t="shared" si="1"/>
        <v/>
      </c>
      <c r="AG51" s="6" t="str">
        <f t="shared" si="2"/>
        <v/>
      </c>
      <c r="AH51" s="15" t="str">
        <f>IF(ISNA(VLOOKUP(A51,'offre secrétariat'!A:F,5,FALSE)),"",(VLOOKUP(A51,'offre secrétariat'!A:F,5,FALSE)))</f>
        <v/>
      </c>
      <c r="AI51" s="101" t="str">
        <f t="shared" si="3"/>
        <v/>
      </c>
      <c r="AJ51" s="5">
        <f t="shared" si="4"/>
        <v>42388</v>
      </c>
      <c r="AK51" s="4" t="str">
        <f t="shared" si="5"/>
        <v/>
      </c>
    </row>
    <row r="52" spans="1:37" x14ac:dyDescent="0.25">
      <c r="A52" s="91" t="s">
        <v>259</v>
      </c>
      <c r="B52" s="91">
        <v>160256</v>
      </c>
      <c r="C52" s="95">
        <v>4</v>
      </c>
      <c r="D52" s="91" t="s">
        <v>260</v>
      </c>
      <c r="E52" s="91" t="s">
        <v>29</v>
      </c>
      <c r="F52" s="95" t="s">
        <v>30</v>
      </c>
      <c r="G52" s="3">
        <v>1180</v>
      </c>
      <c r="H52" s="2">
        <v>42388</v>
      </c>
      <c r="I52" s="2">
        <v>42391</v>
      </c>
      <c r="J52" s="2">
        <v>42390</v>
      </c>
      <c r="K52" s="2">
        <v>42429</v>
      </c>
      <c r="L52" s="91" t="s">
        <v>31</v>
      </c>
      <c r="M52" s="91">
        <v>30</v>
      </c>
      <c r="N52" s="91">
        <v>160256</v>
      </c>
      <c r="P52" s="91">
        <v>0</v>
      </c>
      <c r="Q52" s="91">
        <v>16</v>
      </c>
      <c r="R52" s="3">
        <v>1179.3599999999999</v>
      </c>
      <c r="S52" s="91">
        <v>17</v>
      </c>
      <c r="T52" s="3">
        <v>2280</v>
      </c>
      <c r="U52" s="91">
        <v>0.5</v>
      </c>
      <c r="X52" s="91" t="s">
        <v>32</v>
      </c>
      <c r="Y52" s="91" t="s">
        <v>258</v>
      </c>
      <c r="Z52" s="91" t="s">
        <v>34</v>
      </c>
      <c r="AA52" s="4" t="s">
        <v>35</v>
      </c>
      <c r="AB52" s="4"/>
      <c r="AC52" s="4"/>
      <c r="AD52" s="4"/>
      <c r="AE52" s="6">
        <f t="shared" si="0"/>
        <v>1</v>
      </c>
      <c r="AF52" s="6" t="str">
        <f t="shared" si="1"/>
        <v/>
      </c>
      <c r="AG52" s="6" t="str">
        <f t="shared" si="2"/>
        <v/>
      </c>
      <c r="AH52" s="15" t="str">
        <f>IF(ISNA(VLOOKUP(A52,'offre secrétariat'!A:F,5,FALSE)),"",(VLOOKUP(A52,'offre secrétariat'!A:F,5,FALSE)))</f>
        <v/>
      </c>
      <c r="AI52" s="101" t="str">
        <f t="shared" si="3"/>
        <v/>
      </c>
      <c r="AJ52" s="5">
        <f t="shared" si="4"/>
        <v>42388</v>
      </c>
      <c r="AK52" s="4" t="str">
        <f t="shared" si="5"/>
        <v/>
      </c>
    </row>
    <row r="53" spans="1:37" x14ac:dyDescent="0.25">
      <c r="A53" s="91" t="s">
        <v>261</v>
      </c>
      <c r="C53" s="95">
        <v>3</v>
      </c>
      <c r="D53" s="91" t="s">
        <v>262</v>
      </c>
      <c r="E53" s="91" t="s">
        <v>29</v>
      </c>
      <c r="F53" s="95" t="s">
        <v>30</v>
      </c>
      <c r="G53" s="3">
        <v>10835</v>
      </c>
      <c r="H53" s="2">
        <v>42388</v>
      </c>
      <c r="I53" s="2">
        <v>42464</v>
      </c>
      <c r="J53" s="2">
        <v>42395</v>
      </c>
      <c r="K53" s="2">
        <v>42478</v>
      </c>
      <c r="L53" s="91" t="s">
        <v>31</v>
      </c>
      <c r="M53" s="91">
        <v>30</v>
      </c>
      <c r="P53" s="91">
        <v>0</v>
      </c>
      <c r="Q53" s="91">
        <v>231</v>
      </c>
      <c r="R53" s="3">
        <v>15533.2</v>
      </c>
      <c r="S53" s="91">
        <v>0</v>
      </c>
      <c r="T53" s="91">
        <v>0</v>
      </c>
      <c r="U53" s="91">
        <v>0</v>
      </c>
      <c r="X53" s="91" t="s">
        <v>32</v>
      </c>
      <c r="Y53" s="91" t="s">
        <v>258</v>
      </c>
      <c r="Z53" s="91" t="s">
        <v>34</v>
      </c>
      <c r="AA53" s="4" t="s">
        <v>35</v>
      </c>
      <c r="AB53" s="4"/>
      <c r="AC53" s="4"/>
      <c r="AD53" s="4"/>
      <c r="AE53" s="6">
        <f t="shared" si="0"/>
        <v>1</v>
      </c>
      <c r="AF53" s="6" t="str">
        <f t="shared" si="1"/>
        <v/>
      </c>
      <c r="AG53" s="6" t="str">
        <f t="shared" si="2"/>
        <v/>
      </c>
      <c r="AH53" s="15" t="str">
        <f>IF(ISNA(VLOOKUP(A53,'offre secrétariat'!A:F,5,FALSE)),"",(VLOOKUP(A53,'offre secrétariat'!A:F,5,FALSE)))</f>
        <v/>
      </c>
      <c r="AI53" s="101" t="str">
        <f t="shared" si="3"/>
        <v/>
      </c>
      <c r="AJ53" s="5">
        <f t="shared" si="4"/>
        <v>42461</v>
      </c>
      <c r="AK53" s="4" t="str">
        <f t="shared" si="5"/>
        <v/>
      </c>
    </row>
    <row r="54" spans="1:37" x14ac:dyDescent="0.25">
      <c r="A54" s="91" t="s">
        <v>263</v>
      </c>
      <c r="C54" s="95">
        <v>3</v>
      </c>
      <c r="D54" s="91" t="s">
        <v>264</v>
      </c>
      <c r="E54" s="91" t="s">
        <v>65</v>
      </c>
      <c r="F54" s="95" t="s">
        <v>30</v>
      </c>
      <c r="G54" s="3">
        <v>2460</v>
      </c>
      <c r="H54" s="2">
        <v>42388</v>
      </c>
      <c r="I54" s="2">
        <v>42391</v>
      </c>
      <c r="J54" s="2">
        <v>42388</v>
      </c>
      <c r="K54" s="2">
        <v>42491</v>
      </c>
      <c r="L54" s="91" t="s">
        <v>31</v>
      </c>
      <c r="M54" s="91">
        <v>30</v>
      </c>
      <c r="P54" s="91">
        <v>0</v>
      </c>
      <c r="Q54" s="91">
        <v>32</v>
      </c>
      <c r="R54" s="3">
        <v>2456.0300000000002</v>
      </c>
      <c r="S54" s="91">
        <v>0</v>
      </c>
      <c r="T54" s="91">
        <v>0</v>
      </c>
      <c r="U54" s="91">
        <v>0</v>
      </c>
      <c r="X54" s="91" t="s">
        <v>32</v>
      </c>
      <c r="Y54" s="91" t="s">
        <v>265</v>
      </c>
      <c r="Z54" s="91" t="s">
        <v>266</v>
      </c>
      <c r="AA54" s="4" t="s">
        <v>35</v>
      </c>
      <c r="AB54" s="4"/>
      <c r="AC54" s="4"/>
      <c r="AD54" s="4"/>
      <c r="AE54" s="6">
        <f t="shared" si="0"/>
        <v>1</v>
      </c>
      <c r="AF54" s="6" t="str">
        <f t="shared" si="1"/>
        <v/>
      </c>
      <c r="AG54" s="6" t="str">
        <f t="shared" si="2"/>
        <v/>
      </c>
      <c r="AH54" s="15" t="str">
        <f>IF(ISNA(VLOOKUP(A54,'offre secrétariat'!A:F,5,FALSE)),"",(VLOOKUP(A54,'offre secrétariat'!A:F,5,FALSE)))</f>
        <v/>
      </c>
      <c r="AI54" s="101" t="str">
        <f t="shared" si="3"/>
        <v/>
      </c>
      <c r="AJ54" s="5">
        <f t="shared" si="4"/>
        <v>42388</v>
      </c>
      <c r="AK54" s="4" t="str">
        <f t="shared" si="5"/>
        <v/>
      </c>
    </row>
    <row r="55" spans="1:37" x14ac:dyDescent="0.25">
      <c r="A55" s="91" t="s">
        <v>267</v>
      </c>
      <c r="B55" s="91">
        <v>160003</v>
      </c>
      <c r="C55" s="95">
        <v>4</v>
      </c>
      <c r="D55" s="91" t="s">
        <v>268</v>
      </c>
      <c r="E55" s="91" t="s">
        <v>65</v>
      </c>
      <c r="F55" s="95" t="s">
        <v>30</v>
      </c>
      <c r="G55" s="3">
        <v>1740</v>
      </c>
      <c r="H55" s="2">
        <v>42388</v>
      </c>
      <c r="I55" s="2">
        <v>42391</v>
      </c>
      <c r="J55" s="2">
        <v>42388</v>
      </c>
      <c r="K55" s="2">
        <v>42401</v>
      </c>
      <c r="L55" s="91" t="s">
        <v>31</v>
      </c>
      <c r="M55" s="91">
        <v>30</v>
      </c>
      <c r="N55" s="91">
        <v>160003</v>
      </c>
      <c r="P55" s="91">
        <v>0</v>
      </c>
      <c r="Q55" s="3">
        <v>16</v>
      </c>
      <c r="R55" s="3">
        <v>1736.32</v>
      </c>
      <c r="S55" s="3">
        <v>16</v>
      </c>
      <c r="T55" s="3">
        <v>1740</v>
      </c>
      <c r="U55" s="91">
        <v>18</v>
      </c>
      <c r="V55" s="2">
        <v>42438</v>
      </c>
      <c r="W55" s="2">
        <v>42439</v>
      </c>
      <c r="X55" s="91" t="s">
        <v>32</v>
      </c>
      <c r="Y55" s="91" t="s">
        <v>265</v>
      </c>
      <c r="Z55" s="91" t="s">
        <v>266</v>
      </c>
      <c r="AA55" s="4" t="s">
        <v>35</v>
      </c>
      <c r="AB55" s="4"/>
      <c r="AC55" s="4"/>
      <c r="AD55" s="4"/>
      <c r="AE55" s="6">
        <f t="shared" si="0"/>
        <v>1</v>
      </c>
      <c r="AF55" s="6" t="str">
        <f t="shared" si="1"/>
        <v/>
      </c>
      <c r="AG55" s="6" t="str">
        <f t="shared" si="2"/>
        <v/>
      </c>
      <c r="AH55" s="15" t="str">
        <f>IF(ISNA(VLOOKUP(A55,'offre secrétariat'!A:F,5,FALSE)),"",(VLOOKUP(A55,'offre secrétariat'!A:F,5,FALSE)))</f>
        <v/>
      </c>
      <c r="AI55" s="101" t="str">
        <f t="shared" si="3"/>
        <v/>
      </c>
      <c r="AJ55" s="5">
        <f t="shared" si="4"/>
        <v>42388</v>
      </c>
      <c r="AK55" s="4" t="str">
        <f t="shared" si="5"/>
        <v/>
      </c>
    </row>
    <row r="56" spans="1:37" x14ac:dyDescent="0.25">
      <c r="A56" s="91" t="s">
        <v>269</v>
      </c>
      <c r="B56" s="91">
        <v>164212</v>
      </c>
      <c r="C56" s="95">
        <v>4</v>
      </c>
      <c r="D56" s="91" t="s">
        <v>270</v>
      </c>
      <c r="E56" s="91" t="s">
        <v>29</v>
      </c>
      <c r="F56" s="95" t="s">
        <v>38</v>
      </c>
      <c r="G56" s="3">
        <v>1250</v>
      </c>
      <c r="H56" s="2">
        <v>42388</v>
      </c>
      <c r="J56" s="2">
        <v>42384</v>
      </c>
      <c r="K56" s="2">
        <v>42460</v>
      </c>
      <c r="L56" s="91" t="s">
        <v>31</v>
      </c>
      <c r="M56" s="91">
        <v>50</v>
      </c>
      <c r="N56" s="91">
        <v>164212</v>
      </c>
      <c r="P56" s="91">
        <v>0</v>
      </c>
      <c r="Q56" s="91">
        <v>26</v>
      </c>
      <c r="R56" s="3">
        <v>1251</v>
      </c>
      <c r="S56" s="91">
        <v>26</v>
      </c>
      <c r="T56" s="3">
        <v>1250</v>
      </c>
      <c r="U56" s="91">
        <v>0</v>
      </c>
      <c r="V56" s="2"/>
      <c r="W56" s="2"/>
      <c r="X56" s="91" t="s">
        <v>271</v>
      </c>
      <c r="Y56" s="91" t="s">
        <v>272</v>
      </c>
      <c r="Z56" s="91" t="s">
        <v>34</v>
      </c>
      <c r="AA56" s="4" t="s">
        <v>35</v>
      </c>
      <c r="AB56" s="4"/>
      <c r="AC56" s="4"/>
      <c r="AD56" s="4"/>
      <c r="AE56" s="6">
        <f t="shared" si="0"/>
        <v>1</v>
      </c>
      <c r="AF56" s="6" t="str">
        <f t="shared" si="1"/>
        <v/>
      </c>
      <c r="AG56" s="6" t="str">
        <f t="shared" si="2"/>
        <v/>
      </c>
      <c r="AH56" s="15" t="str">
        <f>IF(ISNA(VLOOKUP(A56,'offre secrétariat'!A:F,5,FALSE)),"",(VLOOKUP(A56,'offre secrétariat'!A:F,5,FALSE)))</f>
        <v/>
      </c>
      <c r="AI56" s="101" t="str">
        <f t="shared" si="3"/>
        <v/>
      </c>
      <c r="AJ56" s="5" t="str">
        <f t="shared" si="4"/>
        <v/>
      </c>
      <c r="AK56" s="4" t="str">
        <f t="shared" si="5"/>
        <v/>
      </c>
    </row>
    <row r="57" spans="1:37" x14ac:dyDescent="0.25">
      <c r="A57" s="91" t="s">
        <v>282</v>
      </c>
      <c r="C57" s="95">
        <v>3</v>
      </c>
      <c r="D57" s="91" t="s">
        <v>283</v>
      </c>
      <c r="E57" s="91" t="s">
        <v>65</v>
      </c>
      <c r="F57" s="95" t="s">
        <v>80</v>
      </c>
      <c r="G57" s="3">
        <v>42820</v>
      </c>
      <c r="H57" s="2">
        <v>42389</v>
      </c>
      <c r="I57" s="2">
        <v>42396</v>
      </c>
      <c r="J57" s="2">
        <v>42402</v>
      </c>
      <c r="K57" s="2">
        <v>42461</v>
      </c>
      <c r="L57" s="91" t="s">
        <v>31</v>
      </c>
      <c r="M57" s="91">
        <v>30</v>
      </c>
      <c r="P57" s="91">
        <v>0</v>
      </c>
      <c r="Q57" s="91">
        <v>306</v>
      </c>
      <c r="R57" s="3">
        <v>96492.46</v>
      </c>
      <c r="S57" s="91">
        <v>0</v>
      </c>
      <c r="T57" s="91">
        <v>0</v>
      </c>
      <c r="U57" s="91">
        <v>0</v>
      </c>
      <c r="X57" s="91" t="s">
        <v>284</v>
      </c>
      <c r="Y57" s="91" t="s">
        <v>285</v>
      </c>
      <c r="Z57" s="91" t="s">
        <v>286</v>
      </c>
      <c r="AA57" s="4" t="s">
        <v>35</v>
      </c>
      <c r="AB57" s="4"/>
      <c r="AC57" s="4"/>
      <c r="AD57" s="4"/>
      <c r="AE57" s="6">
        <f t="shared" si="0"/>
        <v>2</v>
      </c>
      <c r="AF57" s="6">
        <f t="shared" si="1"/>
        <v>1</v>
      </c>
      <c r="AG57" s="6" t="str">
        <f t="shared" si="2"/>
        <v>o</v>
      </c>
      <c r="AH57" s="15">
        <f>IF(ISNA(VLOOKUP(A57,'offre secrétariat'!A:F,5,FALSE)),"",(VLOOKUP(A57,'offre secrétariat'!A:F,5,FALSE)))</f>
        <v>42398</v>
      </c>
      <c r="AI57" s="101" t="str">
        <f t="shared" si="3"/>
        <v>R</v>
      </c>
      <c r="AJ57" s="5">
        <f t="shared" si="4"/>
        <v>42393</v>
      </c>
      <c r="AK57" s="4" t="str">
        <f t="shared" si="5"/>
        <v>R</v>
      </c>
    </row>
    <row r="58" spans="1:37" x14ac:dyDescent="0.25">
      <c r="A58" s="91" t="s">
        <v>287</v>
      </c>
      <c r="C58" s="95">
        <v>3</v>
      </c>
      <c r="D58" s="91" t="s">
        <v>288</v>
      </c>
      <c r="E58" s="91" t="s">
        <v>29</v>
      </c>
      <c r="F58" s="95" t="s">
        <v>38</v>
      </c>
      <c r="G58" s="3">
        <v>29820</v>
      </c>
      <c r="H58" s="2">
        <v>42390</v>
      </c>
      <c r="I58" s="2"/>
      <c r="J58" s="2">
        <v>42390</v>
      </c>
      <c r="K58" s="2">
        <v>42735</v>
      </c>
      <c r="L58" s="91" t="s">
        <v>31</v>
      </c>
      <c r="M58" s="91">
        <v>50</v>
      </c>
      <c r="P58" s="91">
        <v>0</v>
      </c>
      <c r="Q58" s="3">
        <v>164</v>
      </c>
      <c r="R58" s="3">
        <v>29599.15</v>
      </c>
      <c r="S58" s="91">
        <v>0</v>
      </c>
      <c r="T58" s="91">
        <v>0</v>
      </c>
      <c r="U58" s="91">
        <v>0</v>
      </c>
      <c r="X58" s="91" t="s">
        <v>289</v>
      </c>
      <c r="Y58" s="91" t="s">
        <v>290</v>
      </c>
      <c r="Z58" s="91" t="s">
        <v>34</v>
      </c>
      <c r="AA58" s="4" t="s">
        <v>35</v>
      </c>
      <c r="AB58" s="4"/>
      <c r="AC58" s="4"/>
      <c r="AD58" s="4"/>
      <c r="AE58" s="6">
        <f t="shared" si="0"/>
        <v>1</v>
      </c>
      <c r="AF58" s="6" t="str">
        <f t="shared" si="1"/>
        <v/>
      </c>
      <c r="AG58" s="6" t="str">
        <f t="shared" si="2"/>
        <v>o</v>
      </c>
      <c r="AH58" s="15">
        <f>IF(ISNA(VLOOKUP(A58,'offre secrétariat'!A:F,5,FALSE)),"",(VLOOKUP(A58,'offre secrétariat'!A:F,5,FALSE)))</f>
        <v>42390</v>
      </c>
      <c r="AI58" s="101" t="str">
        <f t="shared" si="3"/>
        <v>R</v>
      </c>
      <c r="AJ58" s="5">
        <f t="shared" si="4"/>
        <v>-3</v>
      </c>
      <c r="AK58" s="4" t="str">
        <f t="shared" si="5"/>
        <v>R</v>
      </c>
    </row>
    <row r="59" spans="1:37" x14ac:dyDescent="0.25">
      <c r="A59" s="91" t="s">
        <v>291</v>
      </c>
      <c r="B59" s="91">
        <v>160616</v>
      </c>
      <c r="C59" s="95">
        <v>4</v>
      </c>
      <c r="D59" s="91" t="s">
        <v>292</v>
      </c>
      <c r="E59" s="91" t="s">
        <v>58</v>
      </c>
      <c r="F59" s="95" t="s">
        <v>66</v>
      </c>
      <c r="G59" s="3">
        <v>528000</v>
      </c>
      <c r="H59" s="2">
        <v>42390</v>
      </c>
      <c r="I59" s="2">
        <v>42419</v>
      </c>
      <c r="J59" s="2">
        <v>42419</v>
      </c>
      <c r="K59" s="2">
        <v>42522</v>
      </c>
      <c r="L59" s="91" t="s">
        <v>31</v>
      </c>
      <c r="M59" s="91">
        <v>25</v>
      </c>
      <c r="N59" s="91">
        <v>160616</v>
      </c>
      <c r="P59" s="91">
        <v>0</v>
      </c>
      <c r="Q59" s="3">
        <v>2054</v>
      </c>
      <c r="R59" s="3">
        <v>260428.34</v>
      </c>
      <c r="S59" s="3">
        <v>3968</v>
      </c>
      <c r="T59" s="3">
        <v>528000</v>
      </c>
      <c r="U59" s="91">
        <v>422.5</v>
      </c>
      <c r="V59" s="2">
        <v>42464</v>
      </c>
      <c r="W59" s="2">
        <v>42475</v>
      </c>
      <c r="X59" s="91">
        <v>6000461300</v>
      </c>
      <c r="Y59" s="91" t="s">
        <v>293</v>
      </c>
      <c r="Z59" s="91" t="s">
        <v>294</v>
      </c>
      <c r="AA59" s="4" t="s">
        <v>35</v>
      </c>
      <c r="AB59" s="4"/>
      <c r="AC59" s="4"/>
      <c r="AD59" s="4"/>
      <c r="AE59" s="6">
        <f t="shared" si="0"/>
        <v>2</v>
      </c>
      <c r="AF59" s="6" t="str">
        <f t="shared" si="1"/>
        <v/>
      </c>
      <c r="AG59" s="6" t="str">
        <f t="shared" si="2"/>
        <v>o</v>
      </c>
      <c r="AH59" s="15">
        <f>IF(ISNA(VLOOKUP(A59,'offre secrétariat'!A:F,5,FALSE)),"",(VLOOKUP(A59,'offre secrétariat'!A:F,5,FALSE)))</f>
        <v>42419</v>
      </c>
      <c r="AI59" s="101" t="str">
        <f t="shared" si="3"/>
        <v>J</v>
      </c>
      <c r="AJ59" s="5">
        <f t="shared" si="4"/>
        <v>42416</v>
      </c>
      <c r="AK59" s="4" t="str">
        <f t="shared" si="5"/>
        <v>J</v>
      </c>
    </row>
    <row r="60" spans="1:37" x14ac:dyDescent="0.25">
      <c r="A60" s="91" t="s">
        <v>295</v>
      </c>
      <c r="B60" s="91">
        <v>164215</v>
      </c>
      <c r="C60" s="95">
        <v>4</v>
      </c>
      <c r="D60" s="91" t="s">
        <v>296</v>
      </c>
      <c r="E60" s="91" t="s">
        <v>29</v>
      </c>
      <c r="F60" s="95" t="s">
        <v>38</v>
      </c>
      <c r="G60" s="3">
        <v>7250</v>
      </c>
      <c r="H60" s="2">
        <v>42390</v>
      </c>
      <c r="J60" s="2">
        <v>42390</v>
      </c>
      <c r="K60" s="2">
        <v>42429</v>
      </c>
      <c r="L60" s="91" t="s">
        <v>31</v>
      </c>
      <c r="M60" s="91">
        <v>50</v>
      </c>
      <c r="N60" s="91">
        <v>164215</v>
      </c>
      <c r="P60" s="91">
        <v>0</v>
      </c>
      <c r="Q60" s="91">
        <v>3</v>
      </c>
      <c r="R60" s="3">
        <v>144.97999999999999</v>
      </c>
      <c r="S60" s="91">
        <v>150</v>
      </c>
      <c r="T60" s="3">
        <v>7250</v>
      </c>
      <c r="U60" s="91">
        <v>115</v>
      </c>
      <c r="V60" s="2">
        <v>42397</v>
      </c>
      <c r="W60" s="2">
        <v>42471</v>
      </c>
      <c r="X60" s="91" t="s">
        <v>297</v>
      </c>
      <c r="Y60" s="91" t="s">
        <v>163</v>
      </c>
      <c r="Z60" s="91" t="s">
        <v>34</v>
      </c>
      <c r="AA60" s="4" t="s">
        <v>35</v>
      </c>
      <c r="AB60" s="4"/>
      <c r="AC60" s="4"/>
      <c r="AD60" s="4"/>
      <c r="AE60" s="6">
        <f t="shared" si="0"/>
        <v>1</v>
      </c>
      <c r="AF60" s="6" t="str">
        <f t="shared" si="1"/>
        <v/>
      </c>
      <c r="AG60" s="6" t="str">
        <f t="shared" si="2"/>
        <v/>
      </c>
      <c r="AH60" s="15" t="str">
        <f>IF(ISNA(VLOOKUP(A60,'offre secrétariat'!A:F,5,FALSE)),"",(VLOOKUP(A60,'offre secrétariat'!A:F,5,FALSE)))</f>
        <v/>
      </c>
      <c r="AI60" s="101" t="str">
        <f t="shared" si="3"/>
        <v/>
      </c>
      <c r="AJ60" s="5" t="str">
        <f t="shared" si="4"/>
        <v/>
      </c>
      <c r="AK60" s="4" t="str">
        <f t="shared" si="5"/>
        <v/>
      </c>
    </row>
    <row r="61" spans="1:37" x14ac:dyDescent="0.25">
      <c r="A61" s="91" t="s">
        <v>298</v>
      </c>
      <c r="C61" s="95">
        <v>3</v>
      </c>
      <c r="D61" s="91" t="s">
        <v>299</v>
      </c>
      <c r="E61" s="91" t="s">
        <v>58</v>
      </c>
      <c r="F61" s="95" t="s">
        <v>59</v>
      </c>
      <c r="G61" s="3">
        <v>78510</v>
      </c>
      <c r="H61" s="2">
        <v>42390</v>
      </c>
      <c r="I61" s="2">
        <v>42423</v>
      </c>
      <c r="J61" s="2">
        <v>42419</v>
      </c>
      <c r="K61" s="2">
        <v>42735</v>
      </c>
      <c r="L61" s="91" t="s">
        <v>31</v>
      </c>
      <c r="M61" s="91">
        <v>50</v>
      </c>
      <c r="P61" s="91">
        <v>0</v>
      </c>
      <c r="Q61" s="91">
        <v>290</v>
      </c>
      <c r="R61" s="3">
        <v>77697.16</v>
      </c>
      <c r="S61" s="91">
        <v>0</v>
      </c>
      <c r="T61" s="91">
        <v>0</v>
      </c>
      <c r="U61" s="91">
        <v>0</v>
      </c>
      <c r="X61" s="91" t="s">
        <v>300</v>
      </c>
      <c r="Y61" s="91" t="s">
        <v>301</v>
      </c>
      <c r="Z61" s="91" t="s">
        <v>302</v>
      </c>
      <c r="AA61" s="4" t="s">
        <v>35</v>
      </c>
      <c r="AB61" s="4"/>
      <c r="AC61" s="4"/>
      <c r="AD61" s="4"/>
      <c r="AE61" s="6">
        <f t="shared" si="0"/>
        <v>2</v>
      </c>
      <c r="AF61" s="6" t="str">
        <f t="shared" si="1"/>
        <v/>
      </c>
      <c r="AG61" s="6" t="str">
        <f t="shared" si="2"/>
        <v>o</v>
      </c>
      <c r="AH61" s="15">
        <f>IF(ISNA(VLOOKUP(A61,'offre secrétariat'!A:F,5,FALSE)),"",(VLOOKUP(A61,'offre secrétariat'!A:F,5,FALSE)))</f>
        <v>42418</v>
      </c>
      <c r="AI61" s="101" t="str">
        <f t="shared" si="3"/>
        <v>T</v>
      </c>
      <c r="AJ61" s="5">
        <f t="shared" si="4"/>
        <v>42420</v>
      </c>
      <c r="AK61" s="4" t="str">
        <f t="shared" si="5"/>
        <v>A</v>
      </c>
    </row>
    <row r="62" spans="1:37" x14ac:dyDescent="0.25">
      <c r="A62" s="91" t="s">
        <v>311</v>
      </c>
      <c r="C62" s="95">
        <v>3</v>
      </c>
      <c r="D62" s="91" t="s">
        <v>312</v>
      </c>
      <c r="E62" s="91" t="s">
        <v>65</v>
      </c>
      <c r="F62" s="95" t="s">
        <v>80</v>
      </c>
      <c r="G62" s="3">
        <v>114870</v>
      </c>
      <c r="H62" s="2">
        <v>42391</v>
      </c>
      <c r="I62" s="2">
        <v>42436</v>
      </c>
      <c r="J62" s="2">
        <v>42433</v>
      </c>
      <c r="K62" s="2">
        <v>42460</v>
      </c>
      <c r="L62" s="91" t="s">
        <v>31</v>
      </c>
      <c r="M62" s="91">
        <v>50</v>
      </c>
      <c r="P62" s="91">
        <v>0</v>
      </c>
      <c r="Q62" s="3">
        <v>1934.5</v>
      </c>
      <c r="R62" s="3">
        <v>112874.15</v>
      </c>
      <c r="S62" s="91">
        <v>0</v>
      </c>
      <c r="T62" s="3">
        <v>0</v>
      </c>
      <c r="U62" s="91">
        <v>0</v>
      </c>
      <c r="V62" s="2"/>
      <c r="W62" s="2"/>
      <c r="X62" s="91" t="s">
        <v>81</v>
      </c>
      <c r="Y62" s="91" t="s">
        <v>313</v>
      </c>
      <c r="Z62" s="91" t="s">
        <v>235</v>
      </c>
      <c r="AA62" s="4" t="s">
        <v>35</v>
      </c>
      <c r="AB62" s="4"/>
      <c r="AC62" s="4"/>
      <c r="AD62" s="4"/>
      <c r="AE62" s="6">
        <f t="shared" si="0"/>
        <v>3</v>
      </c>
      <c r="AF62" s="6" t="str">
        <f t="shared" si="1"/>
        <v/>
      </c>
      <c r="AG62" s="6" t="str">
        <f t="shared" si="2"/>
        <v>o</v>
      </c>
      <c r="AH62" s="15">
        <f>IF(ISNA(VLOOKUP(A62,'offre secrétariat'!A:F,5,FALSE)),"",(VLOOKUP(A62,'offre secrétariat'!A:F,5,FALSE)))</f>
        <v>42426</v>
      </c>
      <c r="AI62" s="101" t="str">
        <f t="shared" si="3"/>
        <v>T</v>
      </c>
      <c r="AJ62" s="5">
        <f t="shared" si="4"/>
        <v>42433</v>
      </c>
      <c r="AK62" s="4" t="str">
        <f t="shared" si="5"/>
        <v>A</v>
      </c>
    </row>
    <row r="63" spans="1:37" x14ac:dyDescent="0.25">
      <c r="A63" s="91" t="s">
        <v>314</v>
      </c>
      <c r="C63" s="95">
        <v>3</v>
      </c>
      <c r="D63" s="91" t="s">
        <v>315</v>
      </c>
      <c r="E63" s="91" t="s">
        <v>29</v>
      </c>
      <c r="F63" s="95" t="s">
        <v>308</v>
      </c>
      <c r="G63" s="3">
        <v>121400</v>
      </c>
      <c r="H63" s="2">
        <v>42394</v>
      </c>
      <c r="I63" s="2">
        <v>42444</v>
      </c>
      <c r="J63" s="2">
        <v>42444</v>
      </c>
      <c r="K63" s="2">
        <v>42582</v>
      </c>
      <c r="L63" s="91" t="s">
        <v>31</v>
      </c>
      <c r="M63" s="91">
        <v>90</v>
      </c>
      <c r="P63" s="91">
        <v>0</v>
      </c>
      <c r="Q63" s="91">
        <v>0</v>
      </c>
      <c r="R63" s="3">
        <v>0</v>
      </c>
      <c r="S63" s="91">
        <v>0</v>
      </c>
      <c r="T63" s="3">
        <v>0</v>
      </c>
      <c r="U63" s="91">
        <v>0</v>
      </c>
      <c r="X63" s="91" t="s">
        <v>316</v>
      </c>
      <c r="Y63" s="91" t="s">
        <v>93</v>
      </c>
      <c r="Z63" s="91" t="s">
        <v>34</v>
      </c>
      <c r="AA63" s="4" t="s">
        <v>35</v>
      </c>
      <c r="AB63" s="4"/>
      <c r="AC63" s="4"/>
      <c r="AD63" s="4"/>
      <c r="AE63" s="6">
        <f t="shared" si="0"/>
        <v>3</v>
      </c>
      <c r="AF63" s="6" t="str">
        <f t="shared" si="1"/>
        <v/>
      </c>
      <c r="AG63" s="6" t="str">
        <f t="shared" si="2"/>
        <v>o</v>
      </c>
      <c r="AH63" s="15">
        <f>IF(ISNA(VLOOKUP(A63,'offre secrétariat'!A:F,5,FALSE)),"",(VLOOKUP(A63,'offre secrétariat'!A:F,5,FALSE)))</f>
        <v>42416</v>
      </c>
      <c r="AI63" s="101" t="str">
        <f t="shared" si="3"/>
        <v>T</v>
      </c>
      <c r="AJ63" s="5">
        <f t="shared" si="4"/>
        <v>42441</v>
      </c>
      <c r="AK63" s="4" t="str">
        <f t="shared" si="5"/>
        <v>A</v>
      </c>
    </row>
    <row r="64" spans="1:37" x14ac:dyDescent="0.25">
      <c r="A64" s="91" t="s">
        <v>317</v>
      </c>
      <c r="C64" s="95">
        <v>3</v>
      </c>
      <c r="D64" s="91" t="s">
        <v>318</v>
      </c>
      <c r="E64" s="91" t="s">
        <v>29</v>
      </c>
      <c r="F64" s="95" t="s">
        <v>38</v>
      </c>
      <c r="G64" s="3">
        <v>6500</v>
      </c>
      <c r="H64" s="2">
        <v>42395</v>
      </c>
      <c r="J64" s="2">
        <v>42392</v>
      </c>
      <c r="L64" s="91" t="s">
        <v>31</v>
      </c>
      <c r="M64" s="91">
        <v>50</v>
      </c>
      <c r="P64" s="91">
        <v>0</v>
      </c>
      <c r="Q64" s="91">
        <v>80</v>
      </c>
      <c r="R64" s="3">
        <v>6500.2</v>
      </c>
      <c r="S64" s="91">
        <v>0</v>
      </c>
      <c r="T64" s="91">
        <v>0</v>
      </c>
      <c r="U64" s="91">
        <v>0</v>
      </c>
      <c r="X64" s="91" t="s">
        <v>319</v>
      </c>
      <c r="Y64" s="91" t="s">
        <v>258</v>
      </c>
      <c r="Z64" s="91" t="s">
        <v>34</v>
      </c>
      <c r="AA64" s="4" t="s">
        <v>35</v>
      </c>
      <c r="AB64" s="4"/>
      <c r="AC64" s="4"/>
      <c r="AD64" s="4"/>
      <c r="AE64" s="6">
        <f t="shared" si="0"/>
        <v>1</v>
      </c>
      <c r="AF64" s="6" t="str">
        <f t="shared" si="1"/>
        <v/>
      </c>
      <c r="AG64" s="6" t="str">
        <f t="shared" si="2"/>
        <v/>
      </c>
      <c r="AH64" s="15" t="str">
        <f>IF(ISNA(VLOOKUP(A64,'offre secrétariat'!A:F,5,FALSE)),"",(VLOOKUP(A64,'offre secrétariat'!A:F,5,FALSE)))</f>
        <v/>
      </c>
      <c r="AI64" s="101" t="str">
        <f t="shared" si="3"/>
        <v/>
      </c>
      <c r="AJ64" s="5" t="str">
        <f t="shared" si="4"/>
        <v/>
      </c>
      <c r="AK64" s="4" t="str">
        <f t="shared" si="5"/>
        <v/>
      </c>
    </row>
    <row r="65" spans="1:37" x14ac:dyDescent="0.25">
      <c r="A65" s="91" t="s">
        <v>320</v>
      </c>
      <c r="B65" s="91">
        <v>164217</v>
      </c>
      <c r="C65" s="95">
        <v>4</v>
      </c>
      <c r="D65" s="91" t="s">
        <v>321</v>
      </c>
      <c r="E65" s="91" t="s">
        <v>29</v>
      </c>
      <c r="F65" s="95" t="s">
        <v>38</v>
      </c>
      <c r="G65" s="3">
        <v>880</v>
      </c>
      <c r="H65" s="2">
        <v>42395</v>
      </c>
      <c r="I65" s="2"/>
      <c r="J65" s="2">
        <v>42392</v>
      </c>
      <c r="K65" s="2"/>
      <c r="L65" s="91" t="s">
        <v>31</v>
      </c>
      <c r="M65" s="91">
        <v>50</v>
      </c>
      <c r="N65" s="91">
        <v>164217</v>
      </c>
      <c r="P65" s="91">
        <v>0</v>
      </c>
      <c r="Q65" s="91">
        <v>18</v>
      </c>
      <c r="R65" s="3">
        <v>880.03</v>
      </c>
      <c r="S65" s="91">
        <v>18</v>
      </c>
      <c r="T65" s="3">
        <v>880</v>
      </c>
      <c r="U65" s="91">
        <v>0</v>
      </c>
      <c r="V65" s="2"/>
      <c r="W65" s="2"/>
      <c r="X65" s="91" t="s">
        <v>322</v>
      </c>
      <c r="Y65" s="91" t="s">
        <v>258</v>
      </c>
      <c r="Z65" s="91" t="s">
        <v>34</v>
      </c>
      <c r="AA65" s="4" t="s">
        <v>35</v>
      </c>
      <c r="AB65" s="4"/>
      <c r="AC65" s="4"/>
      <c r="AD65" s="4"/>
      <c r="AE65" s="6">
        <f t="shared" si="0"/>
        <v>1</v>
      </c>
      <c r="AF65" s="6" t="str">
        <f t="shared" si="1"/>
        <v/>
      </c>
      <c r="AG65" s="6" t="str">
        <f t="shared" si="2"/>
        <v/>
      </c>
      <c r="AH65" s="15" t="str">
        <f>IF(ISNA(VLOOKUP(A65,'offre secrétariat'!A:F,5,FALSE)),"",(VLOOKUP(A65,'offre secrétariat'!A:F,5,FALSE)))</f>
        <v/>
      </c>
      <c r="AI65" s="101" t="str">
        <f t="shared" si="3"/>
        <v/>
      </c>
      <c r="AJ65" s="5" t="str">
        <f t="shared" si="4"/>
        <v/>
      </c>
      <c r="AK65" s="4" t="str">
        <f t="shared" si="5"/>
        <v/>
      </c>
    </row>
    <row r="66" spans="1:37" x14ac:dyDescent="0.25">
      <c r="A66" s="91" t="s">
        <v>331</v>
      </c>
      <c r="B66" s="91">
        <v>160009</v>
      </c>
      <c r="C66" s="95">
        <v>4</v>
      </c>
      <c r="D66" s="91" t="s">
        <v>332</v>
      </c>
      <c r="E66" s="91" t="s">
        <v>65</v>
      </c>
      <c r="F66" s="95" t="s">
        <v>66</v>
      </c>
      <c r="G66" s="3">
        <v>9980</v>
      </c>
      <c r="H66" s="2">
        <v>42395</v>
      </c>
      <c r="I66" s="2">
        <v>42403</v>
      </c>
      <c r="J66" s="2">
        <v>42402</v>
      </c>
      <c r="K66" s="2">
        <v>42430</v>
      </c>
      <c r="L66" s="91" t="s">
        <v>31</v>
      </c>
      <c r="M66" s="91">
        <v>50</v>
      </c>
      <c r="N66" s="91">
        <v>160009</v>
      </c>
      <c r="P66" s="91">
        <v>0</v>
      </c>
      <c r="Q66" s="91">
        <v>106</v>
      </c>
      <c r="R66" s="3">
        <v>9976.43</v>
      </c>
      <c r="S66" s="91">
        <v>106</v>
      </c>
      <c r="T66" s="3">
        <v>9980</v>
      </c>
      <c r="U66" s="91">
        <v>83.5</v>
      </c>
      <c r="V66" s="2">
        <v>42423</v>
      </c>
      <c r="W66" s="2">
        <v>42435</v>
      </c>
      <c r="X66" s="91" t="s">
        <v>67</v>
      </c>
      <c r="Y66" s="91" t="s">
        <v>333</v>
      </c>
      <c r="Z66" s="91" t="s">
        <v>334</v>
      </c>
      <c r="AA66" s="4" t="s">
        <v>35</v>
      </c>
      <c r="AB66" s="4"/>
      <c r="AC66" s="4"/>
      <c r="AD66" s="4"/>
      <c r="AE66" s="6">
        <f t="shared" ref="AE66:AE129" si="6">MONTH(J66)</f>
        <v>2</v>
      </c>
      <c r="AF66" s="6" t="str">
        <f t="shared" si="1"/>
        <v/>
      </c>
      <c r="AG66" s="6" t="str">
        <f t="shared" si="2"/>
        <v>o</v>
      </c>
      <c r="AH66" s="15">
        <f>IF(ISNA(VLOOKUP(A66,'offre secrétariat'!A:F,5,FALSE)),"",(VLOOKUP(A66,'offre secrétariat'!A:F,5,FALSE)))</f>
        <v>42401</v>
      </c>
      <c r="AI66" s="101" t="str">
        <f t="shared" si="3"/>
        <v>T</v>
      </c>
      <c r="AJ66" s="5">
        <f t="shared" si="4"/>
        <v>42400</v>
      </c>
      <c r="AK66" s="4" t="str">
        <f t="shared" si="5"/>
        <v>R</v>
      </c>
    </row>
    <row r="67" spans="1:37" x14ac:dyDescent="0.25">
      <c r="A67" s="91" t="s">
        <v>335</v>
      </c>
      <c r="B67" s="91">
        <v>160612</v>
      </c>
      <c r="C67" s="95">
        <v>4</v>
      </c>
      <c r="D67" s="91" t="s">
        <v>336</v>
      </c>
      <c r="E67" s="91" t="s">
        <v>58</v>
      </c>
      <c r="F67" s="95" t="s">
        <v>59</v>
      </c>
      <c r="G67" s="3">
        <v>7597</v>
      </c>
      <c r="H67" s="2">
        <v>42396</v>
      </c>
      <c r="I67" s="2">
        <v>42410</v>
      </c>
      <c r="J67" s="2">
        <v>42410</v>
      </c>
      <c r="K67" s="2">
        <v>42614</v>
      </c>
      <c r="L67" s="91" t="s">
        <v>31</v>
      </c>
      <c r="M67" s="91">
        <v>50</v>
      </c>
      <c r="N67" s="91">
        <v>160612</v>
      </c>
      <c r="P67" s="91">
        <v>0</v>
      </c>
      <c r="Q67" s="91">
        <v>132.5</v>
      </c>
      <c r="R67" s="3">
        <v>7596.1</v>
      </c>
      <c r="S67" s="91">
        <v>132.5</v>
      </c>
      <c r="T67" s="3">
        <v>7597</v>
      </c>
      <c r="U67" s="91">
        <v>0</v>
      </c>
      <c r="X67" s="91">
        <v>6000463359</v>
      </c>
      <c r="Y67" s="91" t="s">
        <v>337</v>
      </c>
      <c r="Z67" s="91" t="s">
        <v>202</v>
      </c>
      <c r="AA67" s="4" t="s">
        <v>35</v>
      </c>
      <c r="AB67" s="4"/>
      <c r="AC67" s="4"/>
      <c r="AD67" s="4"/>
      <c r="AE67" s="6">
        <f t="shared" si="6"/>
        <v>2</v>
      </c>
      <c r="AF67" s="6" t="str">
        <f t="shared" ref="AF67:AF130" si="7">IF(OR(J67&lt;=I67,I67=""),"",1)</f>
        <v/>
      </c>
      <c r="AG67" s="6" t="str">
        <f t="shared" ref="AG67:AG130" si="8">IF(AH67="","","o")</f>
        <v/>
      </c>
      <c r="AH67" s="15" t="str">
        <f>IF(ISNA(VLOOKUP(A67,'offre secrétariat'!A:F,5,FALSE)),"",(VLOOKUP(A67,'offre secrétariat'!A:F,5,FALSE)))</f>
        <v/>
      </c>
      <c r="AI67" s="101" t="str">
        <f t="shared" ref="AI67:AI130" si="9">IF(AND(AH67&lt;I67,AH67&lt;&gt;I67,AH67&lt;&gt;""),"T",IF(AND(AH67=I67,AH67&lt;&gt;""),"J",IF(AH67="","","R")))</f>
        <v/>
      </c>
      <c r="AJ67" s="5">
        <f t="shared" ref="AJ67:AJ130" si="10">IF(AND(I67="",AH67=""),"",I67-3)</f>
        <v>42407</v>
      </c>
      <c r="AK67" s="4" t="str">
        <f t="shared" ref="AK67:AK130" si="11">IF(AND(AH67&lt;I67,AH67&lt;AJ67,AH67&lt;&gt;I67,AH67&lt;&gt;AJ67,AH67&lt;&gt;""),"A",IF(AND(AJ67&lt;AH67&lt;I67,AH67&lt;&gt;I67,AH67&lt;&gt;""),"T",IF(AND(AH67=I67,AH67&lt;&gt;""),"J",IF(AH67="","","R"))))</f>
        <v/>
      </c>
    </row>
    <row r="68" spans="1:37" x14ac:dyDescent="0.25">
      <c r="A68" s="91" t="s">
        <v>338</v>
      </c>
      <c r="C68" s="95">
        <v>5</v>
      </c>
      <c r="D68" s="91" t="s">
        <v>339</v>
      </c>
      <c r="E68" s="91" t="s">
        <v>29</v>
      </c>
      <c r="F68" s="95" t="s">
        <v>38</v>
      </c>
      <c r="G68" s="3">
        <v>18600</v>
      </c>
      <c r="H68" s="2">
        <v>42396</v>
      </c>
      <c r="I68" s="2"/>
      <c r="J68" s="2">
        <v>42397</v>
      </c>
      <c r="K68" s="2"/>
      <c r="L68" s="91" t="s">
        <v>31</v>
      </c>
      <c r="M68" s="91">
        <v>50</v>
      </c>
      <c r="P68" s="91">
        <v>0</v>
      </c>
      <c r="Q68" s="91">
        <v>320</v>
      </c>
      <c r="R68" s="3">
        <v>18600.78</v>
      </c>
      <c r="S68" s="91">
        <v>0</v>
      </c>
      <c r="T68" s="3">
        <v>0</v>
      </c>
      <c r="U68" s="91">
        <v>0</v>
      </c>
      <c r="X68" s="91" t="s">
        <v>340</v>
      </c>
      <c r="Y68" s="91" t="s">
        <v>163</v>
      </c>
      <c r="Z68" s="91" t="s">
        <v>34</v>
      </c>
      <c r="AA68" s="4" t="s">
        <v>35</v>
      </c>
      <c r="AB68" s="4"/>
      <c r="AC68" s="4"/>
      <c r="AD68" s="4"/>
      <c r="AE68" s="6">
        <f t="shared" si="6"/>
        <v>1</v>
      </c>
      <c r="AF68" s="6" t="str">
        <f t="shared" si="7"/>
        <v/>
      </c>
      <c r="AG68" s="6" t="str">
        <f t="shared" si="8"/>
        <v>o</v>
      </c>
      <c r="AH68" s="15">
        <f>IF(ISNA(VLOOKUP(A68,'offre secrétariat'!A:F,5,FALSE)),"",(VLOOKUP(A68,'offre secrétariat'!A:F,5,FALSE)))</f>
        <v>42396</v>
      </c>
      <c r="AI68" s="101" t="str">
        <f t="shared" si="9"/>
        <v>R</v>
      </c>
      <c r="AJ68" s="5">
        <f t="shared" si="10"/>
        <v>-3</v>
      </c>
      <c r="AK68" s="4" t="str">
        <f t="shared" si="11"/>
        <v>R</v>
      </c>
    </row>
    <row r="69" spans="1:37" x14ac:dyDescent="0.25">
      <c r="A69" s="91" t="s">
        <v>341</v>
      </c>
      <c r="B69" s="91">
        <v>160609</v>
      </c>
      <c r="C69" s="95">
        <v>4</v>
      </c>
      <c r="D69" s="91" t="s">
        <v>342</v>
      </c>
      <c r="E69" s="91" t="s">
        <v>58</v>
      </c>
      <c r="F69" s="95" t="s">
        <v>59</v>
      </c>
      <c r="G69" s="3">
        <v>2280</v>
      </c>
      <c r="H69" s="2">
        <v>42397</v>
      </c>
      <c r="I69" s="2">
        <v>42401</v>
      </c>
      <c r="J69" s="2">
        <v>42401</v>
      </c>
      <c r="K69" s="2">
        <v>42408</v>
      </c>
      <c r="L69" s="91" t="s">
        <v>31</v>
      </c>
      <c r="M69" s="91">
        <v>60</v>
      </c>
      <c r="N69" s="91">
        <v>160609</v>
      </c>
      <c r="P69" s="91">
        <v>0</v>
      </c>
      <c r="Q69" s="91">
        <v>32</v>
      </c>
      <c r="R69" s="3">
        <v>2269.4</v>
      </c>
      <c r="S69" s="91">
        <v>32</v>
      </c>
      <c r="T69" s="3">
        <v>2280</v>
      </c>
      <c r="U69" s="91">
        <v>45</v>
      </c>
      <c r="V69" s="2">
        <v>42408</v>
      </c>
      <c r="W69" s="2">
        <v>42409</v>
      </c>
      <c r="X69" s="91" t="s">
        <v>100</v>
      </c>
      <c r="Y69" s="91" t="s">
        <v>343</v>
      </c>
      <c r="Z69" s="91" t="s">
        <v>344</v>
      </c>
      <c r="AA69" s="4" t="s">
        <v>35</v>
      </c>
      <c r="AB69" s="4"/>
      <c r="AC69" s="4"/>
      <c r="AD69" s="4"/>
      <c r="AE69" s="6">
        <f t="shared" si="6"/>
        <v>2</v>
      </c>
      <c r="AF69" s="6" t="str">
        <f t="shared" si="7"/>
        <v/>
      </c>
      <c r="AG69" s="6" t="str">
        <f t="shared" si="8"/>
        <v/>
      </c>
      <c r="AH69" s="15" t="str">
        <f>IF(ISNA(VLOOKUP(A69,'offre secrétariat'!A:F,5,FALSE)),"",(VLOOKUP(A69,'offre secrétariat'!A:F,5,FALSE)))</f>
        <v/>
      </c>
      <c r="AI69" s="101" t="str">
        <f t="shared" si="9"/>
        <v/>
      </c>
      <c r="AJ69" s="5">
        <f t="shared" si="10"/>
        <v>42398</v>
      </c>
      <c r="AK69" s="4" t="str">
        <f t="shared" si="11"/>
        <v/>
      </c>
    </row>
    <row r="70" spans="1:37" x14ac:dyDescent="0.25">
      <c r="A70" s="91" t="s">
        <v>345</v>
      </c>
      <c r="B70" s="91">
        <v>160619</v>
      </c>
      <c r="C70" s="95">
        <v>4</v>
      </c>
      <c r="D70" s="91" t="s">
        <v>346</v>
      </c>
      <c r="E70" s="91" t="s">
        <v>58</v>
      </c>
      <c r="F70" s="95" t="s">
        <v>59</v>
      </c>
      <c r="G70" s="3">
        <v>3922</v>
      </c>
      <c r="H70" s="2">
        <v>42397</v>
      </c>
      <c r="I70" s="2">
        <v>42419</v>
      </c>
      <c r="J70" s="2">
        <v>42415</v>
      </c>
      <c r="K70" s="2">
        <v>42475</v>
      </c>
      <c r="L70" s="91" t="s">
        <v>31</v>
      </c>
      <c r="M70" s="91">
        <v>0</v>
      </c>
      <c r="N70" s="91">
        <v>160619</v>
      </c>
      <c r="P70" s="91">
        <v>0</v>
      </c>
      <c r="Q70" s="91">
        <v>64</v>
      </c>
      <c r="R70" s="3">
        <v>3920.26</v>
      </c>
      <c r="S70" s="91">
        <v>64</v>
      </c>
      <c r="T70" s="3">
        <v>3922</v>
      </c>
      <c r="U70" s="91">
        <v>21</v>
      </c>
      <c r="V70" s="2">
        <v>42472</v>
      </c>
      <c r="W70" s="2">
        <v>42475</v>
      </c>
      <c r="X70" s="91">
        <v>6000462522</v>
      </c>
      <c r="Y70" s="91" t="s">
        <v>347</v>
      </c>
      <c r="Z70" s="91" t="s">
        <v>239</v>
      </c>
      <c r="AA70" s="4" t="s">
        <v>35</v>
      </c>
      <c r="AB70" s="4"/>
      <c r="AC70" s="4"/>
      <c r="AD70" s="4"/>
      <c r="AE70" s="6">
        <f t="shared" si="6"/>
        <v>2</v>
      </c>
      <c r="AF70" s="6" t="str">
        <f t="shared" si="7"/>
        <v/>
      </c>
      <c r="AG70" s="6" t="str">
        <f t="shared" si="8"/>
        <v/>
      </c>
      <c r="AH70" s="15" t="str">
        <f>IF(ISNA(VLOOKUP(A70,'offre secrétariat'!A:F,5,FALSE)),"",(VLOOKUP(A70,'offre secrétariat'!A:F,5,FALSE)))</f>
        <v/>
      </c>
      <c r="AI70" s="101" t="str">
        <f t="shared" si="9"/>
        <v/>
      </c>
      <c r="AJ70" s="5">
        <f t="shared" si="10"/>
        <v>42416</v>
      </c>
      <c r="AK70" s="4" t="str">
        <f t="shared" si="11"/>
        <v/>
      </c>
    </row>
    <row r="71" spans="1:37" x14ac:dyDescent="0.25">
      <c r="A71" s="91" t="s">
        <v>351</v>
      </c>
      <c r="C71" s="95">
        <v>5</v>
      </c>
      <c r="D71" s="91" t="s">
        <v>352</v>
      </c>
      <c r="E71" s="91" t="s">
        <v>51</v>
      </c>
      <c r="F71" s="95" t="s">
        <v>52</v>
      </c>
      <c r="G71" s="3">
        <v>69810</v>
      </c>
      <c r="H71" s="2">
        <v>42397</v>
      </c>
      <c r="I71" s="2">
        <v>42398</v>
      </c>
      <c r="J71" s="2">
        <v>42397</v>
      </c>
      <c r="K71" s="2">
        <v>42673</v>
      </c>
      <c r="L71" s="91" t="s">
        <v>31</v>
      </c>
      <c r="M71" s="91">
        <v>15</v>
      </c>
      <c r="P71" s="91">
        <v>0</v>
      </c>
      <c r="Q71" s="91">
        <v>446</v>
      </c>
      <c r="R71" s="3">
        <v>35815.51</v>
      </c>
      <c r="S71" s="91">
        <v>0</v>
      </c>
      <c r="T71" s="91">
        <v>0</v>
      </c>
      <c r="U71" s="91">
        <v>0</v>
      </c>
      <c r="X71" s="91" t="s">
        <v>353</v>
      </c>
      <c r="Y71" s="91" t="s">
        <v>354</v>
      </c>
      <c r="Z71" s="91" t="s">
        <v>55</v>
      </c>
      <c r="AA71" s="4" t="s">
        <v>35</v>
      </c>
      <c r="AB71" s="4"/>
      <c r="AC71" s="4"/>
      <c r="AD71" s="4"/>
      <c r="AE71" s="6">
        <f t="shared" si="6"/>
        <v>1</v>
      </c>
      <c r="AF71" s="6" t="str">
        <f t="shared" si="7"/>
        <v/>
      </c>
      <c r="AG71" s="6" t="str">
        <f t="shared" si="8"/>
        <v>o</v>
      </c>
      <c r="AH71" s="15">
        <f>IF(ISNA(VLOOKUP(A71,'offre secrétariat'!A:F,5,FALSE)),"",(VLOOKUP(A71,'offre secrétariat'!A:F,5,FALSE)))</f>
        <v>42397</v>
      </c>
      <c r="AI71" s="101" t="str">
        <f t="shared" si="9"/>
        <v>T</v>
      </c>
      <c r="AJ71" s="5">
        <f t="shared" si="10"/>
        <v>42395</v>
      </c>
      <c r="AK71" s="4" t="str">
        <f t="shared" si="11"/>
        <v>R</v>
      </c>
    </row>
    <row r="72" spans="1:37" x14ac:dyDescent="0.25">
      <c r="A72" s="91" t="s">
        <v>355</v>
      </c>
      <c r="C72" s="95">
        <v>3</v>
      </c>
      <c r="D72" s="91" t="s">
        <v>356</v>
      </c>
      <c r="E72" s="91" t="s">
        <v>65</v>
      </c>
      <c r="F72" s="95" t="s">
        <v>30</v>
      </c>
      <c r="G72" s="3">
        <v>34700</v>
      </c>
      <c r="H72" s="2">
        <v>42398</v>
      </c>
      <c r="I72" s="2">
        <v>42417</v>
      </c>
      <c r="J72" s="2">
        <v>42417</v>
      </c>
      <c r="K72" s="2">
        <v>42475</v>
      </c>
      <c r="L72" s="91" t="s">
        <v>31</v>
      </c>
      <c r="M72" s="91">
        <v>30</v>
      </c>
      <c r="P72" s="91">
        <v>0</v>
      </c>
      <c r="Q72" s="91">
        <v>160</v>
      </c>
      <c r="R72" s="3">
        <v>34700.06</v>
      </c>
      <c r="S72" s="91">
        <v>0</v>
      </c>
      <c r="T72" s="91">
        <v>0</v>
      </c>
      <c r="U72" s="91">
        <v>0</v>
      </c>
      <c r="X72" s="91" t="s">
        <v>357</v>
      </c>
      <c r="Y72" s="91" t="s">
        <v>358</v>
      </c>
      <c r="Z72" s="91" t="s">
        <v>83</v>
      </c>
      <c r="AA72" s="4" t="s">
        <v>35</v>
      </c>
      <c r="AB72" s="4"/>
      <c r="AC72" s="4"/>
      <c r="AD72" s="4"/>
      <c r="AE72" s="6">
        <f t="shared" si="6"/>
        <v>2</v>
      </c>
      <c r="AF72" s="6" t="str">
        <f t="shared" si="7"/>
        <v/>
      </c>
      <c r="AG72" s="6" t="str">
        <f t="shared" si="8"/>
        <v>o</v>
      </c>
      <c r="AH72" s="15">
        <f>IF(ISNA(VLOOKUP(A72,'offre secrétariat'!A:F,5,FALSE)),"",(VLOOKUP(A72,'offre secrétariat'!A:F,5,FALSE)))</f>
        <v>42416</v>
      </c>
      <c r="AI72" s="101" t="str">
        <f t="shared" si="9"/>
        <v>T</v>
      </c>
      <c r="AJ72" s="5">
        <f t="shared" si="10"/>
        <v>42414</v>
      </c>
      <c r="AK72" s="4" t="str">
        <f t="shared" si="11"/>
        <v>R</v>
      </c>
    </row>
    <row r="73" spans="1:37" x14ac:dyDescent="0.25">
      <c r="A73" s="91" t="s">
        <v>359</v>
      </c>
      <c r="B73" s="91">
        <v>160263</v>
      </c>
      <c r="C73" s="95">
        <v>4</v>
      </c>
      <c r="D73" s="91" t="s">
        <v>360</v>
      </c>
      <c r="E73" s="91" t="s">
        <v>29</v>
      </c>
      <c r="F73" s="95" t="s">
        <v>308</v>
      </c>
      <c r="G73" s="3">
        <v>2400</v>
      </c>
      <c r="H73" s="2">
        <v>42398</v>
      </c>
      <c r="I73" s="2">
        <v>42403</v>
      </c>
      <c r="J73" s="2">
        <v>42402</v>
      </c>
      <c r="K73" s="2">
        <v>42410</v>
      </c>
      <c r="L73" s="91" t="s">
        <v>907</v>
      </c>
      <c r="M73" s="91">
        <v>99</v>
      </c>
      <c r="N73" s="91">
        <v>160263</v>
      </c>
      <c r="P73" s="91">
        <v>0</v>
      </c>
      <c r="Q73" s="91">
        <v>0</v>
      </c>
      <c r="R73" s="3">
        <v>0</v>
      </c>
      <c r="S73" s="91">
        <v>1</v>
      </c>
      <c r="T73" s="3">
        <v>2400</v>
      </c>
      <c r="U73" s="91">
        <v>3</v>
      </c>
      <c r="V73" s="2"/>
      <c r="W73" s="2"/>
      <c r="X73" s="91" t="s">
        <v>361</v>
      </c>
      <c r="Y73" s="91" t="s">
        <v>33</v>
      </c>
      <c r="Z73" s="91" t="s">
        <v>34</v>
      </c>
      <c r="AA73" s="4" t="s">
        <v>35</v>
      </c>
      <c r="AB73" s="4"/>
      <c r="AC73" s="4"/>
      <c r="AD73" s="4"/>
      <c r="AE73" s="6">
        <f t="shared" si="6"/>
        <v>2</v>
      </c>
      <c r="AF73" s="6" t="str">
        <f t="shared" si="7"/>
        <v/>
      </c>
      <c r="AG73" s="6" t="str">
        <f t="shared" si="8"/>
        <v/>
      </c>
      <c r="AH73" s="15" t="str">
        <f>IF(ISNA(VLOOKUP(A73,'offre secrétariat'!A:F,5,FALSE)),"",(VLOOKUP(A73,'offre secrétariat'!A:F,5,FALSE)))</f>
        <v/>
      </c>
      <c r="AI73" s="101" t="str">
        <f t="shared" si="9"/>
        <v/>
      </c>
      <c r="AJ73" s="5">
        <f t="shared" si="10"/>
        <v>42400</v>
      </c>
      <c r="AK73" s="4" t="str">
        <f t="shared" si="11"/>
        <v/>
      </c>
    </row>
    <row r="74" spans="1:37" x14ac:dyDescent="0.25">
      <c r="A74" s="91" t="s">
        <v>362</v>
      </c>
      <c r="C74" s="95">
        <v>3</v>
      </c>
      <c r="D74" s="91" t="s">
        <v>363</v>
      </c>
      <c r="E74" s="91" t="s">
        <v>29</v>
      </c>
      <c r="F74" s="95" t="s">
        <v>364</v>
      </c>
      <c r="G74" s="91">
        <v>0</v>
      </c>
      <c r="H74" s="2">
        <v>42401</v>
      </c>
      <c r="I74" s="2">
        <v>42402</v>
      </c>
      <c r="J74" s="2">
        <v>42401</v>
      </c>
      <c r="K74" s="2">
        <v>42429</v>
      </c>
      <c r="L74" s="91" t="s">
        <v>907</v>
      </c>
      <c r="M74" s="91">
        <v>80</v>
      </c>
      <c r="P74" s="91">
        <v>0</v>
      </c>
      <c r="Q74" s="91">
        <v>0</v>
      </c>
      <c r="R74" s="91">
        <v>0</v>
      </c>
      <c r="S74" s="91">
        <v>0</v>
      </c>
      <c r="T74" s="91">
        <v>0</v>
      </c>
      <c r="U74" s="91">
        <v>0</v>
      </c>
      <c r="X74" s="91" t="s">
        <v>365</v>
      </c>
      <c r="Y74" s="91" t="s">
        <v>366</v>
      </c>
      <c r="Z74" s="91" t="s">
        <v>367</v>
      </c>
      <c r="AA74" s="4" t="s">
        <v>35</v>
      </c>
      <c r="AB74" s="4"/>
      <c r="AC74" s="4"/>
      <c r="AD74" s="4"/>
      <c r="AE74" s="6">
        <f t="shared" si="6"/>
        <v>2</v>
      </c>
      <c r="AF74" s="6" t="str">
        <f t="shared" si="7"/>
        <v/>
      </c>
      <c r="AG74" s="6" t="str">
        <f t="shared" si="8"/>
        <v>o</v>
      </c>
      <c r="AH74" s="15">
        <f>IF(ISNA(VLOOKUP(A74,'offre secrétariat'!A:F,5,FALSE)),"",(VLOOKUP(A74,'offre secrétariat'!A:F,5,FALSE)))</f>
        <v>42401</v>
      </c>
      <c r="AI74" s="101" t="str">
        <f t="shared" si="9"/>
        <v>T</v>
      </c>
      <c r="AJ74" s="5">
        <f t="shared" si="10"/>
        <v>42399</v>
      </c>
      <c r="AK74" s="4" t="str">
        <f t="shared" si="11"/>
        <v>R</v>
      </c>
    </row>
    <row r="75" spans="1:37" x14ac:dyDescent="0.25">
      <c r="A75" s="91" t="s">
        <v>368</v>
      </c>
      <c r="C75" s="95">
        <v>3</v>
      </c>
      <c r="D75" s="91" t="s">
        <v>369</v>
      </c>
      <c r="E75" s="91" t="s">
        <v>29</v>
      </c>
      <c r="F75" s="95" t="s">
        <v>364</v>
      </c>
      <c r="G75" s="3">
        <v>3355</v>
      </c>
      <c r="H75" s="2">
        <v>42401</v>
      </c>
      <c r="I75" s="2">
        <v>42402</v>
      </c>
      <c r="J75" s="2">
        <v>42403</v>
      </c>
      <c r="K75" s="2">
        <v>42429</v>
      </c>
      <c r="L75" s="91" t="s">
        <v>31</v>
      </c>
      <c r="M75" s="91">
        <v>50</v>
      </c>
      <c r="P75" s="91">
        <v>0</v>
      </c>
      <c r="Q75" s="91">
        <v>0</v>
      </c>
      <c r="R75" s="3">
        <v>0</v>
      </c>
      <c r="S75" s="91">
        <v>0</v>
      </c>
      <c r="T75" s="91">
        <v>0</v>
      </c>
      <c r="U75" s="91">
        <v>0</v>
      </c>
      <c r="X75" s="91" t="s">
        <v>365</v>
      </c>
      <c r="Y75" s="91" t="s">
        <v>366</v>
      </c>
      <c r="Z75" s="91" t="s">
        <v>367</v>
      </c>
      <c r="AA75" s="4" t="s">
        <v>35</v>
      </c>
      <c r="AB75" s="4"/>
      <c r="AC75" s="4"/>
      <c r="AD75" s="4"/>
      <c r="AE75" s="6">
        <f t="shared" si="6"/>
        <v>2</v>
      </c>
      <c r="AF75" s="6">
        <f t="shared" si="7"/>
        <v>1</v>
      </c>
      <c r="AG75" s="6" t="str">
        <f t="shared" si="8"/>
        <v>o</v>
      </c>
      <c r="AH75" s="15">
        <f>IF(ISNA(VLOOKUP(A75,'offre secrétariat'!A:F,5,FALSE)),"",(VLOOKUP(A75,'offre secrétariat'!A:F,5,FALSE)))</f>
        <v>42403</v>
      </c>
      <c r="AI75" s="101" t="str">
        <f t="shared" si="9"/>
        <v>R</v>
      </c>
      <c r="AJ75" s="5">
        <f t="shared" si="10"/>
        <v>42399</v>
      </c>
      <c r="AK75" s="4" t="str">
        <f t="shared" si="11"/>
        <v>R</v>
      </c>
    </row>
    <row r="76" spans="1:37" x14ac:dyDescent="0.25">
      <c r="A76" s="91" t="s">
        <v>370</v>
      </c>
      <c r="C76" s="95">
        <v>3</v>
      </c>
      <c r="D76" s="91" t="s">
        <v>371</v>
      </c>
      <c r="E76" s="91" t="s">
        <v>58</v>
      </c>
      <c r="F76" s="95" t="s">
        <v>59</v>
      </c>
      <c r="G76" s="3">
        <v>3180</v>
      </c>
      <c r="H76" s="2">
        <v>42402</v>
      </c>
      <c r="I76" s="2">
        <v>42418</v>
      </c>
      <c r="J76" s="2">
        <v>42423</v>
      </c>
      <c r="K76" s="2">
        <v>42430</v>
      </c>
      <c r="L76" s="91" t="s">
        <v>31</v>
      </c>
      <c r="M76" s="91">
        <v>60</v>
      </c>
      <c r="P76" s="91">
        <v>0</v>
      </c>
      <c r="Q76" s="91">
        <v>24</v>
      </c>
      <c r="R76" s="3">
        <v>3338.93</v>
      </c>
      <c r="S76" s="91">
        <v>0</v>
      </c>
      <c r="T76" s="3">
        <v>0</v>
      </c>
      <c r="U76" s="91">
        <v>0</v>
      </c>
      <c r="V76" s="2"/>
      <c r="W76" s="2"/>
      <c r="X76" s="91" t="s">
        <v>100</v>
      </c>
      <c r="Y76" s="91" t="s">
        <v>201</v>
      </c>
      <c r="Z76" s="91" t="s">
        <v>202</v>
      </c>
      <c r="AA76" s="4" t="s">
        <v>35</v>
      </c>
      <c r="AB76" s="4"/>
      <c r="AC76" s="4"/>
      <c r="AD76" s="4"/>
      <c r="AE76" s="6">
        <f t="shared" si="6"/>
        <v>2</v>
      </c>
      <c r="AF76" s="6">
        <f t="shared" si="7"/>
        <v>1</v>
      </c>
      <c r="AG76" s="6" t="str">
        <f t="shared" si="8"/>
        <v/>
      </c>
      <c r="AH76" s="15" t="str">
        <f>IF(ISNA(VLOOKUP(A76,'offre secrétariat'!A:F,5,FALSE)),"",(VLOOKUP(A76,'offre secrétariat'!A:F,5,FALSE)))</f>
        <v/>
      </c>
      <c r="AI76" s="101" t="str">
        <f t="shared" si="9"/>
        <v/>
      </c>
      <c r="AJ76" s="5">
        <f t="shared" si="10"/>
        <v>42415</v>
      </c>
      <c r="AK76" s="4" t="str">
        <f t="shared" si="11"/>
        <v/>
      </c>
    </row>
    <row r="77" spans="1:37" x14ac:dyDescent="0.25">
      <c r="A77" s="91" t="s">
        <v>372</v>
      </c>
      <c r="C77" s="95">
        <v>3</v>
      </c>
      <c r="D77" s="91" t="s">
        <v>373</v>
      </c>
      <c r="E77" s="91" t="s">
        <v>58</v>
      </c>
      <c r="F77" s="95" t="s">
        <v>30</v>
      </c>
      <c r="G77" s="3">
        <v>3110</v>
      </c>
      <c r="H77" s="2">
        <v>42402</v>
      </c>
      <c r="I77" s="2">
        <v>42405</v>
      </c>
      <c r="J77" s="2">
        <v>42408</v>
      </c>
      <c r="K77" s="2">
        <v>42415</v>
      </c>
      <c r="L77" s="91" t="s">
        <v>31</v>
      </c>
      <c r="M77" s="91">
        <v>30</v>
      </c>
      <c r="P77" s="91">
        <v>0</v>
      </c>
      <c r="Q77" s="91">
        <v>48</v>
      </c>
      <c r="R77" s="3">
        <v>3112.4</v>
      </c>
      <c r="S77" s="91">
        <v>0</v>
      </c>
      <c r="T77" s="3">
        <v>0</v>
      </c>
      <c r="U77" s="91">
        <v>0</v>
      </c>
      <c r="X77" s="91" t="s">
        <v>32</v>
      </c>
      <c r="Y77" s="91" t="s">
        <v>374</v>
      </c>
      <c r="Z77" s="91" t="s">
        <v>375</v>
      </c>
      <c r="AA77" s="4" t="s">
        <v>35</v>
      </c>
      <c r="AB77" s="4"/>
      <c r="AC77" s="4"/>
      <c r="AD77" s="4"/>
      <c r="AE77" s="6">
        <f t="shared" si="6"/>
        <v>2</v>
      </c>
      <c r="AF77" s="6">
        <f t="shared" si="7"/>
        <v>1</v>
      </c>
      <c r="AG77" s="6" t="str">
        <f t="shared" si="8"/>
        <v/>
      </c>
      <c r="AH77" s="15" t="str">
        <f>IF(ISNA(VLOOKUP(A77,'offre secrétariat'!A:F,5,FALSE)),"",(VLOOKUP(A77,'offre secrétariat'!A:F,5,FALSE)))</f>
        <v/>
      </c>
      <c r="AI77" s="101" t="str">
        <f t="shared" si="9"/>
        <v/>
      </c>
      <c r="AJ77" s="5">
        <f t="shared" si="10"/>
        <v>42402</v>
      </c>
      <c r="AK77" s="4" t="str">
        <f t="shared" si="11"/>
        <v/>
      </c>
    </row>
    <row r="78" spans="1:37" x14ac:dyDescent="0.25">
      <c r="A78" s="91" t="s">
        <v>379</v>
      </c>
      <c r="B78" s="91">
        <v>160007</v>
      </c>
      <c r="C78" s="95">
        <v>4</v>
      </c>
      <c r="D78" s="91" t="s">
        <v>380</v>
      </c>
      <c r="E78" s="91" t="s">
        <v>65</v>
      </c>
      <c r="F78" s="95" t="s">
        <v>80</v>
      </c>
      <c r="G78" s="3">
        <v>3985</v>
      </c>
      <c r="H78" s="2">
        <v>42402</v>
      </c>
      <c r="I78" s="2">
        <v>42403</v>
      </c>
      <c r="J78" s="2">
        <v>42404</v>
      </c>
      <c r="K78" s="2">
        <v>42415</v>
      </c>
      <c r="L78" s="91" t="s">
        <v>31</v>
      </c>
      <c r="M78" s="91">
        <v>60</v>
      </c>
      <c r="N78" s="91">
        <v>160007</v>
      </c>
      <c r="P78" s="91">
        <v>0</v>
      </c>
      <c r="Q78" s="91">
        <v>38</v>
      </c>
      <c r="R78" s="3">
        <v>4002.53</v>
      </c>
      <c r="S78" s="91">
        <v>38</v>
      </c>
      <c r="T78" s="3">
        <v>3985</v>
      </c>
      <c r="U78" s="91">
        <v>42.5</v>
      </c>
      <c r="V78" s="2">
        <v>42417</v>
      </c>
      <c r="W78" s="2">
        <v>42418</v>
      </c>
      <c r="X78" s="91" t="s">
        <v>81</v>
      </c>
      <c r="Y78" s="91" t="s">
        <v>381</v>
      </c>
      <c r="Z78" s="91" t="s">
        <v>382</v>
      </c>
      <c r="AA78" s="4" t="s">
        <v>35</v>
      </c>
      <c r="AB78" s="4"/>
      <c r="AC78" s="4"/>
      <c r="AD78" s="4"/>
      <c r="AE78" s="6">
        <f t="shared" si="6"/>
        <v>2</v>
      </c>
      <c r="AF78" s="6">
        <f t="shared" si="7"/>
        <v>1</v>
      </c>
      <c r="AG78" s="6" t="str">
        <f t="shared" si="8"/>
        <v/>
      </c>
      <c r="AH78" s="15" t="str">
        <f>IF(ISNA(VLOOKUP(A78,'offre secrétariat'!A:F,5,FALSE)),"",(VLOOKUP(A78,'offre secrétariat'!A:F,5,FALSE)))</f>
        <v/>
      </c>
      <c r="AI78" s="101" t="str">
        <f t="shared" si="9"/>
        <v/>
      </c>
      <c r="AJ78" s="5">
        <f t="shared" si="10"/>
        <v>42400</v>
      </c>
      <c r="AK78" s="4" t="str">
        <f t="shared" si="11"/>
        <v/>
      </c>
    </row>
    <row r="79" spans="1:37" x14ac:dyDescent="0.25">
      <c r="A79" s="91" t="s">
        <v>383</v>
      </c>
      <c r="B79" s="91">
        <v>160620</v>
      </c>
      <c r="C79" s="95">
        <v>4</v>
      </c>
      <c r="D79" s="91" t="s">
        <v>384</v>
      </c>
      <c r="E79" s="91" t="s">
        <v>58</v>
      </c>
      <c r="F79" s="95" t="s">
        <v>59</v>
      </c>
      <c r="G79" s="3">
        <v>14500</v>
      </c>
      <c r="H79" s="2">
        <v>42402</v>
      </c>
      <c r="I79" s="2">
        <v>42419</v>
      </c>
      <c r="J79" s="2">
        <v>42417</v>
      </c>
      <c r="K79" s="2">
        <v>42475</v>
      </c>
      <c r="L79" s="91" t="s">
        <v>31</v>
      </c>
      <c r="M79" s="91">
        <v>0</v>
      </c>
      <c r="N79" s="91">
        <v>160620</v>
      </c>
      <c r="P79" s="91">
        <v>0</v>
      </c>
      <c r="Q79" s="91">
        <v>182</v>
      </c>
      <c r="R79" s="3">
        <v>14294.51</v>
      </c>
      <c r="S79" s="91">
        <v>182</v>
      </c>
      <c r="T79" s="3">
        <v>14500</v>
      </c>
      <c r="U79" s="91">
        <v>13</v>
      </c>
      <c r="X79" s="91">
        <v>6000462865</v>
      </c>
      <c r="Y79" s="91" t="s">
        <v>385</v>
      </c>
      <c r="Z79" s="91" t="s">
        <v>386</v>
      </c>
      <c r="AA79" s="4" t="s">
        <v>35</v>
      </c>
      <c r="AB79" s="4"/>
      <c r="AC79" s="4"/>
      <c r="AD79" s="4"/>
      <c r="AE79" s="6">
        <f t="shared" si="6"/>
        <v>2</v>
      </c>
      <c r="AF79" s="6" t="str">
        <f t="shared" si="7"/>
        <v/>
      </c>
      <c r="AG79" s="6" t="str">
        <f t="shared" si="8"/>
        <v>o</v>
      </c>
      <c r="AH79" s="15">
        <f>IF(ISNA(VLOOKUP(A79,'offre secrétariat'!A:F,5,FALSE)),"",(VLOOKUP(A79,'offre secrétariat'!A:F,5,FALSE)))</f>
        <v>42415</v>
      </c>
      <c r="AI79" s="101" t="str">
        <f t="shared" si="9"/>
        <v>T</v>
      </c>
      <c r="AJ79" s="5">
        <f t="shared" si="10"/>
        <v>42416</v>
      </c>
      <c r="AK79" s="4" t="str">
        <f t="shared" si="11"/>
        <v>A</v>
      </c>
    </row>
    <row r="80" spans="1:37" x14ac:dyDescent="0.25">
      <c r="A80" s="91" t="s">
        <v>387</v>
      </c>
      <c r="C80" s="95">
        <v>3</v>
      </c>
      <c r="D80" s="91" t="s">
        <v>388</v>
      </c>
      <c r="E80" s="91" t="s">
        <v>58</v>
      </c>
      <c r="F80" s="95" t="s">
        <v>87</v>
      </c>
      <c r="G80" s="3">
        <v>0</v>
      </c>
      <c r="H80" s="2">
        <v>42402</v>
      </c>
      <c r="I80" s="2">
        <v>42423</v>
      </c>
      <c r="J80" s="2">
        <v>42426</v>
      </c>
      <c r="L80" s="91" t="s">
        <v>31</v>
      </c>
      <c r="M80" s="91">
        <v>0</v>
      </c>
      <c r="P80" s="91">
        <v>0</v>
      </c>
      <c r="Q80" s="91">
        <v>0</v>
      </c>
      <c r="R80" s="3">
        <v>0</v>
      </c>
      <c r="S80" s="91">
        <v>0</v>
      </c>
      <c r="T80" s="91">
        <v>0</v>
      </c>
      <c r="U80" s="91">
        <v>0</v>
      </c>
      <c r="X80" s="91" t="s">
        <v>389</v>
      </c>
      <c r="Y80" s="91" t="s">
        <v>390</v>
      </c>
      <c r="Z80" s="91" t="s">
        <v>391</v>
      </c>
      <c r="AA80" s="4" t="s">
        <v>35</v>
      </c>
      <c r="AB80" s="4"/>
      <c r="AC80" s="4"/>
      <c r="AD80" s="4"/>
      <c r="AE80" s="6">
        <f t="shared" si="6"/>
        <v>2</v>
      </c>
      <c r="AF80" s="6">
        <f t="shared" si="7"/>
        <v>1</v>
      </c>
      <c r="AG80" s="6" t="str">
        <f t="shared" si="8"/>
        <v/>
      </c>
      <c r="AH80" s="15" t="str">
        <f>IF(ISNA(VLOOKUP(A80,'offre secrétariat'!A:F,5,FALSE)),"",(VLOOKUP(A80,'offre secrétariat'!A:F,5,FALSE)))</f>
        <v/>
      </c>
      <c r="AI80" s="101" t="str">
        <f t="shared" si="9"/>
        <v/>
      </c>
      <c r="AJ80" s="5">
        <f t="shared" si="10"/>
        <v>42420</v>
      </c>
      <c r="AK80" s="4" t="str">
        <f t="shared" si="11"/>
        <v/>
      </c>
    </row>
    <row r="81" spans="1:37" x14ac:dyDescent="0.25">
      <c r="A81" s="91" t="s">
        <v>392</v>
      </c>
      <c r="C81" s="95">
        <v>3</v>
      </c>
      <c r="D81" s="91" t="s">
        <v>393</v>
      </c>
      <c r="E81" s="91" t="s">
        <v>58</v>
      </c>
      <c r="F81" s="95" t="s">
        <v>30</v>
      </c>
      <c r="G81" s="3">
        <v>1175</v>
      </c>
      <c r="H81" s="2">
        <v>42403</v>
      </c>
      <c r="I81" s="2">
        <v>42405</v>
      </c>
      <c r="J81" s="2">
        <v>42404</v>
      </c>
      <c r="K81" s="2">
        <v>42415</v>
      </c>
      <c r="L81" s="91" t="s">
        <v>31</v>
      </c>
      <c r="M81" s="91">
        <v>30</v>
      </c>
      <c r="P81" s="91">
        <v>0</v>
      </c>
      <c r="Q81" s="91">
        <v>20</v>
      </c>
      <c r="R81" s="3">
        <v>1175.0999999999999</v>
      </c>
      <c r="S81" s="91">
        <v>0</v>
      </c>
      <c r="T81" s="91">
        <v>0</v>
      </c>
      <c r="U81" s="91">
        <v>0</v>
      </c>
      <c r="X81" s="91" t="s">
        <v>32</v>
      </c>
      <c r="Y81" s="91" t="s">
        <v>394</v>
      </c>
      <c r="Z81" s="91" t="s">
        <v>395</v>
      </c>
      <c r="AA81" s="4" t="s">
        <v>35</v>
      </c>
      <c r="AB81" s="4"/>
      <c r="AC81" s="4"/>
      <c r="AD81" s="4"/>
      <c r="AE81" s="6">
        <f t="shared" si="6"/>
        <v>2</v>
      </c>
      <c r="AF81" s="6" t="str">
        <f t="shared" si="7"/>
        <v/>
      </c>
      <c r="AG81" s="6" t="str">
        <f t="shared" si="8"/>
        <v/>
      </c>
      <c r="AH81" s="15" t="str">
        <f>IF(ISNA(VLOOKUP(A81,'offre secrétariat'!A:F,5,FALSE)),"",(VLOOKUP(A81,'offre secrétariat'!A:F,5,FALSE)))</f>
        <v/>
      </c>
      <c r="AI81" s="101" t="str">
        <f t="shared" si="9"/>
        <v/>
      </c>
      <c r="AJ81" s="5">
        <f t="shared" si="10"/>
        <v>42402</v>
      </c>
      <c r="AK81" s="4" t="str">
        <f t="shared" si="11"/>
        <v/>
      </c>
    </row>
    <row r="82" spans="1:37" x14ac:dyDescent="0.25">
      <c r="A82" s="91" t="s">
        <v>396</v>
      </c>
      <c r="B82" s="91">
        <v>160614</v>
      </c>
      <c r="C82" s="95">
        <v>4</v>
      </c>
      <c r="D82" s="91" t="s">
        <v>397</v>
      </c>
      <c r="E82" s="91" t="s">
        <v>58</v>
      </c>
      <c r="F82" s="95" t="s">
        <v>30</v>
      </c>
      <c r="G82" s="3">
        <v>3150</v>
      </c>
      <c r="H82" s="2">
        <v>42403</v>
      </c>
      <c r="I82" s="2">
        <v>42402</v>
      </c>
      <c r="J82" s="2">
        <v>42403</v>
      </c>
      <c r="K82" s="2">
        <v>42415</v>
      </c>
      <c r="L82" s="91" t="s">
        <v>31</v>
      </c>
      <c r="M82" s="91">
        <v>30</v>
      </c>
      <c r="N82" s="91">
        <v>160614</v>
      </c>
      <c r="P82" s="91">
        <v>0</v>
      </c>
      <c r="Q82" s="91">
        <v>32</v>
      </c>
      <c r="R82" s="3">
        <v>2565.0300000000002</v>
      </c>
      <c r="S82" s="91">
        <v>32</v>
      </c>
      <c r="T82" s="3">
        <v>3150</v>
      </c>
      <c r="U82" s="91">
        <v>29.5</v>
      </c>
      <c r="V82" s="2">
        <v>42419</v>
      </c>
      <c r="W82" s="2">
        <v>42423</v>
      </c>
      <c r="X82" s="91" t="s">
        <v>32</v>
      </c>
      <c r="Y82" s="91" t="s">
        <v>398</v>
      </c>
      <c r="Z82" s="91" t="s">
        <v>399</v>
      </c>
      <c r="AA82" s="4" t="s">
        <v>35</v>
      </c>
      <c r="AB82" s="4"/>
      <c r="AC82" s="4"/>
      <c r="AD82" s="4"/>
      <c r="AE82" s="6">
        <f t="shared" si="6"/>
        <v>2</v>
      </c>
      <c r="AF82" s="6">
        <f t="shared" si="7"/>
        <v>1</v>
      </c>
      <c r="AG82" s="6" t="str">
        <f t="shared" si="8"/>
        <v/>
      </c>
      <c r="AH82" s="15" t="str">
        <f>IF(ISNA(VLOOKUP(A82,'offre secrétariat'!A:F,5,FALSE)),"",(VLOOKUP(A82,'offre secrétariat'!A:F,5,FALSE)))</f>
        <v/>
      </c>
      <c r="AI82" s="101" t="str">
        <f t="shared" si="9"/>
        <v/>
      </c>
      <c r="AJ82" s="5">
        <f t="shared" si="10"/>
        <v>42399</v>
      </c>
      <c r="AK82" s="4" t="str">
        <f t="shared" si="11"/>
        <v/>
      </c>
    </row>
    <row r="83" spans="1:37" x14ac:dyDescent="0.25">
      <c r="A83" s="91" t="s">
        <v>400</v>
      </c>
      <c r="B83" s="91">
        <v>160617</v>
      </c>
      <c r="C83" s="95">
        <v>4</v>
      </c>
      <c r="D83" s="91" t="s">
        <v>401</v>
      </c>
      <c r="E83" s="91" t="s">
        <v>58</v>
      </c>
      <c r="F83" s="95" t="s">
        <v>59</v>
      </c>
      <c r="G83" s="3">
        <v>11090</v>
      </c>
      <c r="H83" s="2">
        <v>42404</v>
      </c>
      <c r="I83" s="2">
        <v>42412</v>
      </c>
      <c r="J83" s="2">
        <v>42417</v>
      </c>
      <c r="K83" s="2">
        <v>42430</v>
      </c>
      <c r="L83" s="91" t="s">
        <v>31</v>
      </c>
      <c r="M83" s="91">
        <v>80</v>
      </c>
      <c r="N83" s="91">
        <v>160617</v>
      </c>
      <c r="P83" s="91">
        <v>0</v>
      </c>
      <c r="Q83" s="91">
        <v>48</v>
      </c>
      <c r="R83" s="3">
        <v>4476.0600000000004</v>
      </c>
      <c r="S83" s="91">
        <v>98</v>
      </c>
      <c r="T83" s="3">
        <v>11090</v>
      </c>
      <c r="U83" s="91">
        <v>2.5</v>
      </c>
      <c r="X83" s="91" t="s">
        <v>100</v>
      </c>
      <c r="Y83" s="91" t="s">
        <v>402</v>
      </c>
      <c r="Z83" s="91" t="s">
        <v>202</v>
      </c>
      <c r="AA83" s="4" t="s">
        <v>35</v>
      </c>
      <c r="AB83" s="4"/>
      <c r="AC83" s="4"/>
      <c r="AD83" s="4"/>
      <c r="AE83" s="6">
        <f t="shared" si="6"/>
        <v>2</v>
      </c>
      <c r="AF83" s="6">
        <f t="shared" si="7"/>
        <v>1</v>
      </c>
      <c r="AG83" s="6" t="str">
        <f t="shared" si="8"/>
        <v/>
      </c>
      <c r="AH83" s="15" t="str">
        <f>IF(ISNA(VLOOKUP(A83,'offre secrétariat'!A:F,5,FALSE)),"",(VLOOKUP(A83,'offre secrétariat'!A:F,5,FALSE)))</f>
        <v/>
      </c>
      <c r="AI83" s="101" t="str">
        <f t="shared" si="9"/>
        <v/>
      </c>
      <c r="AJ83" s="5">
        <f t="shared" si="10"/>
        <v>42409</v>
      </c>
      <c r="AK83" s="4" t="str">
        <f t="shared" si="11"/>
        <v/>
      </c>
    </row>
    <row r="84" spans="1:37" x14ac:dyDescent="0.25">
      <c r="A84" s="91" t="s">
        <v>403</v>
      </c>
      <c r="C84" s="95">
        <v>5</v>
      </c>
      <c r="D84" s="91" t="s">
        <v>404</v>
      </c>
      <c r="E84" s="91" t="s">
        <v>58</v>
      </c>
      <c r="F84" s="95" t="s">
        <v>87</v>
      </c>
      <c r="G84" s="3">
        <v>6665</v>
      </c>
      <c r="H84" s="2">
        <v>42404</v>
      </c>
      <c r="I84" s="2">
        <v>42405</v>
      </c>
      <c r="J84" s="2">
        <v>42405</v>
      </c>
      <c r="K84" s="2"/>
      <c r="L84" s="91" t="s">
        <v>31</v>
      </c>
      <c r="M84" s="91">
        <v>50</v>
      </c>
      <c r="P84" s="91">
        <v>0</v>
      </c>
      <c r="Q84" s="91">
        <v>200</v>
      </c>
      <c r="R84" s="3">
        <v>278189.12</v>
      </c>
      <c r="S84" s="91">
        <v>0</v>
      </c>
      <c r="T84" s="91">
        <v>0</v>
      </c>
      <c r="U84" s="91">
        <v>0</v>
      </c>
      <c r="X84" s="91" t="s">
        <v>405</v>
      </c>
      <c r="Y84" s="91" t="s">
        <v>406</v>
      </c>
      <c r="Z84" s="91" t="s">
        <v>407</v>
      </c>
      <c r="AA84" s="4" t="s">
        <v>35</v>
      </c>
      <c r="AB84" s="4"/>
      <c r="AC84" s="4"/>
      <c r="AD84" s="4"/>
      <c r="AE84" s="6">
        <f t="shared" si="6"/>
        <v>2</v>
      </c>
      <c r="AF84" s="6" t="str">
        <f t="shared" si="7"/>
        <v/>
      </c>
      <c r="AG84" s="6" t="str">
        <f t="shared" si="8"/>
        <v/>
      </c>
      <c r="AH84" s="15" t="str">
        <f>IF(ISNA(VLOOKUP(A84,'offre secrétariat'!A:F,5,FALSE)),"",(VLOOKUP(A84,'offre secrétariat'!A:F,5,FALSE)))</f>
        <v/>
      </c>
      <c r="AI84" s="101" t="str">
        <f t="shared" si="9"/>
        <v/>
      </c>
      <c r="AJ84" s="5">
        <f t="shared" si="10"/>
        <v>42402</v>
      </c>
      <c r="AK84" s="4" t="str">
        <f t="shared" si="11"/>
        <v/>
      </c>
    </row>
    <row r="85" spans="1:37" x14ac:dyDescent="0.25">
      <c r="A85" s="91" t="s">
        <v>408</v>
      </c>
      <c r="C85" s="95">
        <v>3</v>
      </c>
      <c r="D85" s="91" t="s">
        <v>409</v>
      </c>
      <c r="E85" s="91" t="s">
        <v>58</v>
      </c>
      <c r="F85" s="95" t="s">
        <v>59</v>
      </c>
      <c r="G85" s="3">
        <v>7602</v>
      </c>
      <c r="H85" s="2">
        <v>42404</v>
      </c>
      <c r="I85" s="2">
        <v>42412</v>
      </c>
      <c r="J85" s="2">
        <v>42416</v>
      </c>
      <c r="K85" s="2">
        <v>42430</v>
      </c>
      <c r="L85" s="91" t="s">
        <v>31</v>
      </c>
      <c r="M85" s="91">
        <v>50</v>
      </c>
      <c r="P85" s="91">
        <v>0</v>
      </c>
      <c r="Q85" s="91">
        <v>66</v>
      </c>
      <c r="R85" s="3">
        <v>7602.13</v>
      </c>
      <c r="S85" s="91">
        <v>0</v>
      </c>
      <c r="T85" s="91">
        <v>0</v>
      </c>
      <c r="U85" s="91">
        <v>0</v>
      </c>
      <c r="X85" s="91" t="s">
        <v>100</v>
      </c>
      <c r="Y85" s="91" t="s">
        <v>410</v>
      </c>
      <c r="Z85" s="91" t="s">
        <v>411</v>
      </c>
      <c r="AA85" s="4" t="s">
        <v>35</v>
      </c>
      <c r="AB85" s="4"/>
      <c r="AC85" s="4"/>
      <c r="AD85" s="4"/>
      <c r="AE85" s="6">
        <f t="shared" si="6"/>
        <v>2</v>
      </c>
      <c r="AF85" s="6">
        <f t="shared" si="7"/>
        <v>1</v>
      </c>
      <c r="AG85" s="6" t="str">
        <f t="shared" si="8"/>
        <v/>
      </c>
      <c r="AH85" s="15" t="str">
        <f>IF(ISNA(VLOOKUP(A85,'offre secrétariat'!A:F,5,FALSE)),"",(VLOOKUP(A85,'offre secrétariat'!A:F,5,FALSE)))</f>
        <v/>
      </c>
      <c r="AI85" s="101" t="str">
        <f t="shared" si="9"/>
        <v/>
      </c>
      <c r="AJ85" s="5">
        <f t="shared" si="10"/>
        <v>42409</v>
      </c>
      <c r="AK85" s="4" t="str">
        <f t="shared" si="11"/>
        <v/>
      </c>
    </row>
    <row r="86" spans="1:37" x14ac:dyDescent="0.25">
      <c r="A86" s="91" t="s">
        <v>412</v>
      </c>
      <c r="B86" s="91">
        <v>160108</v>
      </c>
      <c r="C86" s="95">
        <v>4</v>
      </c>
      <c r="D86" s="91" t="s">
        <v>413</v>
      </c>
      <c r="E86" s="91" t="s">
        <v>51</v>
      </c>
      <c r="F86" s="95" t="s">
        <v>52</v>
      </c>
      <c r="G86" s="3">
        <v>1915</v>
      </c>
      <c r="H86" s="2">
        <v>42404</v>
      </c>
      <c r="I86" s="2">
        <v>42398</v>
      </c>
      <c r="J86" s="2">
        <v>42394</v>
      </c>
      <c r="K86" s="2">
        <v>42415</v>
      </c>
      <c r="L86" s="91" t="s">
        <v>31</v>
      </c>
      <c r="M86" s="91">
        <v>50</v>
      </c>
      <c r="N86" s="91">
        <v>160108</v>
      </c>
      <c r="P86" s="91">
        <v>0</v>
      </c>
      <c r="Q86" s="91">
        <v>23.25</v>
      </c>
      <c r="R86" s="3">
        <v>1912.93</v>
      </c>
      <c r="S86" s="91">
        <v>23.25</v>
      </c>
      <c r="T86" s="3">
        <v>1915</v>
      </c>
      <c r="U86" s="91">
        <v>0</v>
      </c>
      <c r="X86" s="91" t="s">
        <v>316</v>
      </c>
      <c r="Y86" s="91" t="s">
        <v>414</v>
      </c>
      <c r="Z86" s="91" t="s">
        <v>55</v>
      </c>
      <c r="AA86" s="4" t="s">
        <v>35</v>
      </c>
      <c r="AB86" s="4"/>
      <c r="AC86" s="4"/>
      <c r="AD86" s="4"/>
      <c r="AE86" s="6">
        <f t="shared" si="6"/>
        <v>1</v>
      </c>
      <c r="AF86" s="6" t="str">
        <f t="shared" si="7"/>
        <v/>
      </c>
      <c r="AG86" s="6" t="str">
        <f t="shared" si="8"/>
        <v/>
      </c>
      <c r="AH86" s="15" t="str">
        <f>IF(ISNA(VLOOKUP(A86,'offre secrétariat'!A:F,5,FALSE)),"",(VLOOKUP(A86,'offre secrétariat'!A:F,5,FALSE)))</f>
        <v/>
      </c>
      <c r="AI86" s="101" t="str">
        <f t="shared" si="9"/>
        <v/>
      </c>
      <c r="AJ86" s="5">
        <f t="shared" si="10"/>
        <v>42395</v>
      </c>
      <c r="AK86" s="4" t="str">
        <f t="shared" si="11"/>
        <v/>
      </c>
    </row>
    <row r="87" spans="1:37" x14ac:dyDescent="0.25">
      <c r="A87" s="91" t="s">
        <v>415</v>
      </c>
      <c r="C87" s="95">
        <v>3</v>
      </c>
      <c r="D87" s="91" t="s">
        <v>416</v>
      </c>
      <c r="E87" s="91" t="s">
        <v>29</v>
      </c>
      <c r="F87" s="95" t="s">
        <v>38</v>
      </c>
      <c r="G87" s="3">
        <v>4750</v>
      </c>
      <c r="H87" s="2">
        <v>42404</v>
      </c>
      <c r="J87" s="2">
        <v>42404</v>
      </c>
      <c r="L87" s="91" t="s">
        <v>31</v>
      </c>
      <c r="M87" s="91">
        <v>50</v>
      </c>
      <c r="P87" s="91">
        <v>0</v>
      </c>
      <c r="Q87" s="91">
        <v>50</v>
      </c>
      <c r="R87" s="3">
        <v>4749.8500000000004</v>
      </c>
      <c r="S87" s="91">
        <v>0</v>
      </c>
      <c r="T87" s="91">
        <v>0</v>
      </c>
      <c r="U87" s="91">
        <v>0</v>
      </c>
      <c r="X87" s="91" t="s">
        <v>417</v>
      </c>
      <c r="Y87" s="91" t="s">
        <v>93</v>
      </c>
      <c r="Z87" s="91" t="s">
        <v>34</v>
      </c>
      <c r="AA87" s="4" t="s">
        <v>35</v>
      </c>
      <c r="AB87" s="4"/>
      <c r="AC87" s="4"/>
      <c r="AD87" s="4"/>
      <c r="AE87" s="6">
        <f t="shared" si="6"/>
        <v>2</v>
      </c>
      <c r="AF87" s="6" t="str">
        <f t="shared" si="7"/>
        <v/>
      </c>
      <c r="AG87" s="6" t="str">
        <f t="shared" si="8"/>
        <v/>
      </c>
      <c r="AH87" s="15" t="str">
        <f>IF(ISNA(VLOOKUP(A87,'offre secrétariat'!A:F,5,FALSE)),"",(VLOOKUP(A87,'offre secrétariat'!A:F,5,FALSE)))</f>
        <v/>
      </c>
      <c r="AI87" s="101" t="str">
        <f t="shared" si="9"/>
        <v/>
      </c>
      <c r="AJ87" s="5" t="str">
        <f t="shared" si="10"/>
        <v/>
      </c>
      <c r="AK87" s="4" t="str">
        <f t="shared" si="11"/>
        <v/>
      </c>
    </row>
    <row r="88" spans="1:37" x14ac:dyDescent="0.25">
      <c r="A88" s="91" t="s">
        <v>418</v>
      </c>
      <c r="C88" s="95">
        <v>5</v>
      </c>
      <c r="D88" s="91" t="s">
        <v>419</v>
      </c>
      <c r="E88" s="91" t="s">
        <v>29</v>
      </c>
      <c r="F88" s="95" t="s">
        <v>30</v>
      </c>
      <c r="G88" s="3">
        <v>9545</v>
      </c>
      <c r="H88" s="2">
        <v>42409</v>
      </c>
      <c r="I88" s="2">
        <v>42405</v>
      </c>
      <c r="J88" s="2">
        <v>42415</v>
      </c>
      <c r="L88" s="91" t="s">
        <v>31</v>
      </c>
      <c r="M88" s="91">
        <v>0</v>
      </c>
      <c r="P88" s="91">
        <v>0</v>
      </c>
      <c r="Q88" s="91">
        <v>64</v>
      </c>
      <c r="R88" s="3">
        <v>9544.56</v>
      </c>
      <c r="S88" s="91">
        <v>0</v>
      </c>
      <c r="T88" s="91">
        <v>0</v>
      </c>
      <c r="U88" s="91">
        <v>0</v>
      </c>
      <c r="X88" s="91" t="s">
        <v>420</v>
      </c>
      <c r="Y88" s="91" t="s">
        <v>163</v>
      </c>
      <c r="Z88" s="91" t="s">
        <v>34</v>
      </c>
      <c r="AA88" s="4" t="s">
        <v>35</v>
      </c>
      <c r="AB88" s="4"/>
      <c r="AC88" s="4"/>
      <c r="AD88" s="4"/>
      <c r="AE88" s="6">
        <f t="shared" si="6"/>
        <v>2</v>
      </c>
      <c r="AF88" s="6">
        <f t="shared" si="7"/>
        <v>1</v>
      </c>
      <c r="AG88" s="6" t="str">
        <f t="shared" si="8"/>
        <v/>
      </c>
      <c r="AH88" s="15" t="str">
        <f>IF(ISNA(VLOOKUP(A88,'offre secrétariat'!A:F,5,FALSE)),"",(VLOOKUP(A88,'offre secrétariat'!A:F,5,FALSE)))</f>
        <v/>
      </c>
      <c r="AI88" s="101" t="str">
        <f t="shared" si="9"/>
        <v/>
      </c>
      <c r="AJ88" s="5">
        <f t="shared" si="10"/>
        <v>42402</v>
      </c>
      <c r="AK88" s="4" t="str">
        <f t="shared" si="11"/>
        <v/>
      </c>
    </row>
    <row r="89" spans="1:37" x14ac:dyDescent="0.25">
      <c r="A89" s="91" t="s">
        <v>421</v>
      </c>
      <c r="B89" s="91">
        <v>164032</v>
      </c>
      <c r="C89" s="95">
        <v>4</v>
      </c>
      <c r="D89" s="91" t="s">
        <v>422</v>
      </c>
      <c r="E89" s="91" t="s">
        <v>29</v>
      </c>
      <c r="F89" s="95" t="s">
        <v>138</v>
      </c>
      <c r="G89" s="3">
        <v>965</v>
      </c>
      <c r="H89" s="2">
        <v>42409</v>
      </c>
      <c r="I89" s="2">
        <v>42416</v>
      </c>
      <c r="J89" s="2">
        <v>42416</v>
      </c>
      <c r="K89" s="2">
        <v>42460</v>
      </c>
      <c r="L89" s="91" t="s">
        <v>31</v>
      </c>
      <c r="M89" s="91">
        <v>50</v>
      </c>
      <c r="N89" s="91">
        <v>164032</v>
      </c>
      <c r="P89" s="91">
        <v>0</v>
      </c>
      <c r="Q89" s="91">
        <v>18</v>
      </c>
      <c r="R89" s="91">
        <v>967.21</v>
      </c>
      <c r="S89" s="91">
        <v>18</v>
      </c>
      <c r="T89" s="3">
        <v>965</v>
      </c>
      <c r="U89" s="91">
        <v>9.5</v>
      </c>
      <c r="V89" s="2">
        <v>42430</v>
      </c>
      <c r="W89" s="2">
        <v>42430</v>
      </c>
      <c r="X89" s="91" t="s">
        <v>139</v>
      </c>
      <c r="Y89" s="91" t="s">
        <v>166</v>
      </c>
      <c r="Z89" s="91" t="s">
        <v>34</v>
      </c>
      <c r="AA89" s="4" t="s">
        <v>35</v>
      </c>
      <c r="AB89" s="4"/>
      <c r="AC89" s="4"/>
      <c r="AD89" s="4"/>
      <c r="AE89" s="6">
        <f t="shared" si="6"/>
        <v>2</v>
      </c>
      <c r="AF89" s="6" t="str">
        <f t="shared" si="7"/>
        <v/>
      </c>
      <c r="AG89" s="6" t="str">
        <f t="shared" si="8"/>
        <v/>
      </c>
      <c r="AH89" s="15" t="str">
        <f>IF(ISNA(VLOOKUP(A89,'offre secrétariat'!A:F,5,FALSE)),"",(VLOOKUP(A89,'offre secrétariat'!A:F,5,FALSE)))</f>
        <v/>
      </c>
      <c r="AI89" s="101" t="str">
        <f t="shared" si="9"/>
        <v/>
      </c>
      <c r="AJ89" s="5">
        <f t="shared" si="10"/>
        <v>42413</v>
      </c>
      <c r="AK89" s="4" t="str">
        <f t="shared" si="11"/>
        <v/>
      </c>
    </row>
    <row r="90" spans="1:37" x14ac:dyDescent="0.25">
      <c r="A90" s="91" t="s">
        <v>423</v>
      </c>
      <c r="B90" s="91">
        <v>164061</v>
      </c>
      <c r="C90" s="95">
        <v>4</v>
      </c>
      <c r="D90" s="91" t="s">
        <v>424</v>
      </c>
      <c r="E90" s="91" t="s">
        <v>29</v>
      </c>
      <c r="F90" s="95" t="s">
        <v>138</v>
      </c>
      <c r="G90" s="3">
        <v>2900</v>
      </c>
      <c r="H90" s="2">
        <v>42409</v>
      </c>
      <c r="I90" s="2">
        <v>42418</v>
      </c>
      <c r="J90" s="2">
        <v>42418</v>
      </c>
      <c r="K90" s="2">
        <v>42460</v>
      </c>
      <c r="L90" s="91" t="s">
        <v>31</v>
      </c>
      <c r="M90" s="91">
        <v>30</v>
      </c>
      <c r="N90" s="91">
        <v>164061</v>
      </c>
      <c r="P90" s="91">
        <v>0</v>
      </c>
      <c r="Q90" s="91">
        <v>2</v>
      </c>
      <c r="R90" s="3">
        <v>2993.34</v>
      </c>
      <c r="S90" s="91">
        <v>2</v>
      </c>
      <c r="T90" s="3">
        <v>2900</v>
      </c>
      <c r="U90" s="91">
        <v>0</v>
      </c>
      <c r="V90" s="2"/>
      <c r="W90" s="2"/>
      <c r="X90" s="91" t="s">
        <v>353</v>
      </c>
      <c r="Y90" s="91" t="s">
        <v>149</v>
      </c>
      <c r="Z90" s="91" t="s">
        <v>34</v>
      </c>
      <c r="AA90" s="4" t="s">
        <v>35</v>
      </c>
      <c r="AB90" s="4"/>
      <c r="AC90" s="4"/>
      <c r="AD90" s="4"/>
      <c r="AE90" s="6">
        <f t="shared" si="6"/>
        <v>2</v>
      </c>
      <c r="AF90" s="6" t="str">
        <f t="shared" si="7"/>
        <v/>
      </c>
      <c r="AG90" s="6" t="str">
        <f t="shared" si="8"/>
        <v/>
      </c>
      <c r="AH90" s="15" t="str">
        <f>IF(ISNA(VLOOKUP(A90,'offre secrétariat'!A:F,5,FALSE)),"",(VLOOKUP(A90,'offre secrétariat'!A:F,5,FALSE)))</f>
        <v/>
      </c>
      <c r="AI90" s="101" t="str">
        <f t="shared" si="9"/>
        <v/>
      </c>
      <c r="AJ90" s="5">
        <f t="shared" si="10"/>
        <v>42415</v>
      </c>
      <c r="AK90" s="4" t="str">
        <f t="shared" si="11"/>
        <v/>
      </c>
    </row>
    <row r="91" spans="1:37" x14ac:dyDescent="0.25">
      <c r="A91" s="91" t="s">
        <v>425</v>
      </c>
      <c r="C91" s="95">
        <v>3</v>
      </c>
      <c r="D91" s="91" t="s">
        <v>426</v>
      </c>
      <c r="E91" s="91" t="s">
        <v>29</v>
      </c>
      <c r="F91" s="95" t="s">
        <v>138</v>
      </c>
      <c r="G91" s="3">
        <v>4995</v>
      </c>
      <c r="H91" s="2">
        <v>42409</v>
      </c>
      <c r="I91" s="2">
        <v>42418</v>
      </c>
      <c r="J91" s="2">
        <v>42418</v>
      </c>
      <c r="K91" s="2">
        <v>42460</v>
      </c>
      <c r="L91" s="91" t="s">
        <v>31</v>
      </c>
      <c r="M91" s="91">
        <v>30</v>
      </c>
      <c r="P91" s="91">
        <v>0</v>
      </c>
      <c r="Q91" s="91">
        <v>2</v>
      </c>
      <c r="R91" s="3">
        <v>4995.29</v>
      </c>
      <c r="S91" s="91">
        <v>0</v>
      </c>
      <c r="T91" s="91">
        <v>0</v>
      </c>
      <c r="U91" s="91">
        <v>0</v>
      </c>
      <c r="X91" s="91" t="s">
        <v>353</v>
      </c>
      <c r="Y91" s="91" t="s">
        <v>149</v>
      </c>
      <c r="Z91" s="91" t="s">
        <v>34</v>
      </c>
      <c r="AA91" s="4" t="s">
        <v>35</v>
      </c>
      <c r="AB91" s="4"/>
      <c r="AC91" s="4"/>
      <c r="AD91" s="4"/>
      <c r="AE91" s="6">
        <f t="shared" si="6"/>
        <v>2</v>
      </c>
      <c r="AF91" s="6" t="str">
        <f t="shared" si="7"/>
        <v/>
      </c>
      <c r="AG91" s="6" t="str">
        <f t="shared" si="8"/>
        <v/>
      </c>
      <c r="AH91" s="15" t="str">
        <f>IF(ISNA(VLOOKUP(A91,'offre secrétariat'!A:F,5,FALSE)),"",(VLOOKUP(A91,'offre secrétariat'!A:F,5,FALSE)))</f>
        <v/>
      </c>
      <c r="AI91" s="101" t="str">
        <f t="shared" si="9"/>
        <v/>
      </c>
      <c r="AJ91" s="5">
        <f t="shared" si="10"/>
        <v>42415</v>
      </c>
      <c r="AK91" s="4" t="str">
        <f t="shared" si="11"/>
        <v/>
      </c>
    </row>
    <row r="92" spans="1:37" x14ac:dyDescent="0.25">
      <c r="A92" s="91" t="s">
        <v>427</v>
      </c>
      <c r="C92" s="95">
        <v>5</v>
      </c>
      <c r="D92" s="91" t="s">
        <v>428</v>
      </c>
      <c r="E92" s="91" t="s">
        <v>29</v>
      </c>
      <c r="F92" s="95" t="s">
        <v>138</v>
      </c>
      <c r="G92" s="3">
        <v>5500</v>
      </c>
      <c r="H92" s="2">
        <v>42409</v>
      </c>
      <c r="I92" s="2">
        <v>42424</v>
      </c>
      <c r="J92" s="2">
        <v>42424</v>
      </c>
      <c r="K92" s="2">
        <v>42460</v>
      </c>
      <c r="L92" s="91" t="s">
        <v>31</v>
      </c>
      <c r="M92" s="91">
        <v>25</v>
      </c>
      <c r="P92" s="91">
        <v>0</v>
      </c>
      <c r="Q92" s="91">
        <v>108</v>
      </c>
      <c r="R92" s="3">
        <v>5507.32</v>
      </c>
      <c r="S92" s="91">
        <v>0</v>
      </c>
      <c r="T92" s="3">
        <v>0</v>
      </c>
      <c r="U92" s="91">
        <v>0</v>
      </c>
      <c r="X92" s="91" t="s">
        <v>429</v>
      </c>
      <c r="Y92" s="91" t="s">
        <v>430</v>
      </c>
      <c r="Z92" s="91" t="s">
        <v>34</v>
      </c>
      <c r="AA92" s="4" t="s">
        <v>35</v>
      </c>
      <c r="AB92" s="4"/>
      <c r="AC92" s="4"/>
      <c r="AD92" s="4"/>
      <c r="AE92" s="6">
        <f t="shared" si="6"/>
        <v>2</v>
      </c>
      <c r="AF92" s="6" t="str">
        <f t="shared" si="7"/>
        <v/>
      </c>
      <c r="AG92" s="6" t="str">
        <f t="shared" si="8"/>
        <v/>
      </c>
      <c r="AH92" s="15" t="str">
        <f>IF(ISNA(VLOOKUP(A92,'offre secrétariat'!A:F,5,FALSE)),"",(VLOOKUP(A92,'offre secrétariat'!A:F,5,FALSE)))</f>
        <v/>
      </c>
      <c r="AI92" s="101" t="str">
        <f t="shared" si="9"/>
        <v/>
      </c>
      <c r="AJ92" s="5">
        <f t="shared" si="10"/>
        <v>42421</v>
      </c>
      <c r="AK92" s="4" t="str">
        <f t="shared" si="11"/>
        <v/>
      </c>
    </row>
    <row r="93" spans="1:37" x14ac:dyDescent="0.25">
      <c r="A93" s="91" t="s">
        <v>431</v>
      </c>
      <c r="C93" s="95">
        <v>3</v>
      </c>
      <c r="D93" s="91" t="s">
        <v>432</v>
      </c>
      <c r="E93" s="91" t="s">
        <v>29</v>
      </c>
      <c r="F93" s="95" t="s">
        <v>138</v>
      </c>
      <c r="G93" s="3">
        <v>775</v>
      </c>
      <c r="H93" s="2">
        <v>42409</v>
      </c>
      <c r="I93" s="2">
        <v>42425</v>
      </c>
      <c r="J93" s="2">
        <v>42425</v>
      </c>
      <c r="K93" s="2">
        <v>42460</v>
      </c>
      <c r="L93" s="91" t="s">
        <v>31</v>
      </c>
      <c r="M93" s="91">
        <v>50</v>
      </c>
      <c r="P93" s="91">
        <v>0</v>
      </c>
      <c r="Q93" s="91">
        <v>12</v>
      </c>
      <c r="R93" s="91">
        <v>775.98</v>
      </c>
      <c r="S93" s="91">
        <v>0</v>
      </c>
      <c r="T93" s="3">
        <v>0</v>
      </c>
      <c r="U93" s="91">
        <v>0</v>
      </c>
      <c r="X93" s="91" t="s">
        <v>353</v>
      </c>
      <c r="Y93" s="91" t="s">
        <v>140</v>
      </c>
      <c r="Z93" s="91" t="s">
        <v>34</v>
      </c>
      <c r="AA93" s="4" t="s">
        <v>35</v>
      </c>
      <c r="AB93" s="4"/>
      <c r="AC93" s="4"/>
      <c r="AD93" s="4"/>
      <c r="AE93" s="6">
        <f t="shared" si="6"/>
        <v>2</v>
      </c>
      <c r="AF93" s="6" t="str">
        <f t="shared" si="7"/>
        <v/>
      </c>
      <c r="AG93" s="6" t="str">
        <f t="shared" si="8"/>
        <v/>
      </c>
      <c r="AH93" s="15" t="str">
        <f>IF(ISNA(VLOOKUP(A93,'offre secrétariat'!A:F,5,FALSE)),"",(VLOOKUP(A93,'offre secrétariat'!A:F,5,FALSE)))</f>
        <v/>
      </c>
      <c r="AI93" s="101" t="str">
        <f t="shared" si="9"/>
        <v/>
      </c>
      <c r="AJ93" s="5">
        <f t="shared" si="10"/>
        <v>42422</v>
      </c>
      <c r="AK93" s="4" t="str">
        <f t="shared" si="11"/>
        <v/>
      </c>
    </row>
    <row r="94" spans="1:37" x14ac:dyDescent="0.25">
      <c r="A94" s="91" t="s">
        <v>433</v>
      </c>
      <c r="C94" s="95">
        <v>3</v>
      </c>
      <c r="D94" s="91" t="s">
        <v>434</v>
      </c>
      <c r="E94" s="91" t="s">
        <v>29</v>
      </c>
      <c r="F94" s="95" t="s">
        <v>138</v>
      </c>
      <c r="G94" s="3">
        <v>7590</v>
      </c>
      <c r="H94" s="2">
        <v>42409</v>
      </c>
      <c r="I94" s="2"/>
      <c r="J94" s="2">
        <v>42436</v>
      </c>
      <c r="K94" s="2"/>
      <c r="L94" s="91" t="s">
        <v>31</v>
      </c>
      <c r="M94" s="91">
        <v>50</v>
      </c>
      <c r="P94" s="91">
        <v>0</v>
      </c>
      <c r="Q94" s="91">
        <v>64</v>
      </c>
      <c r="R94" s="3">
        <v>7585.11</v>
      </c>
      <c r="S94" s="91">
        <v>0</v>
      </c>
      <c r="T94" s="91">
        <v>0</v>
      </c>
      <c r="U94" s="91">
        <v>0</v>
      </c>
      <c r="X94" s="91" t="s">
        <v>353</v>
      </c>
      <c r="Y94" s="91" t="s">
        <v>140</v>
      </c>
      <c r="Z94" s="91" t="s">
        <v>34</v>
      </c>
      <c r="AA94" s="4" t="s">
        <v>35</v>
      </c>
      <c r="AB94" s="4"/>
      <c r="AC94" s="4"/>
      <c r="AD94" s="4"/>
      <c r="AE94" s="6">
        <f t="shared" si="6"/>
        <v>3</v>
      </c>
      <c r="AF94" s="6" t="str">
        <f t="shared" si="7"/>
        <v/>
      </c>
      <c r="AG94" s="6" t="str">
        <f t="shared" si="8"/>
        <v/>
      </c>
      <c r="AH94" s="15" t="str">
        <f>IF(ISNA(VLOOKUP(A94,'offre secrétariat'!A:F,5,FALSE)),"",(VLOOKUP(A94,'offre secrétariat'!A:F,5,FALSE)))</f>
        <v/>
      </c>
      <c r="AI94" s="101" t="str">
        <f t="shared" si="9"/>
        <v/>
      </c>
      <c r="AJ94" s="5" t="str">
        <f t="shared" si="10"/>
        <v/>
      </c>
      <c r="AK94" s="4" t="str">
        <f t="shared" si="11"/>
        <v/>
      </c>
    </row>
    <row r="95" spans="1:37" x14ac:dyDescent="0.25">
      <c r="A95" s="91" t="s">
        <v>435</v>
      </c>
      <c r="B95" s="91">
        <v>164042</v>
      </c>
      <c r="C95" s="95">
        <v>4</v>
      </c>
      <c r="D95" s="91" t="s">
        <v>436</v>
      </c>
      <c r="E95" s="91" t="s">
        <v>29</v>
      </c>
      <c r="F95" s="95" t="s">
        <v>138</v>
      </c>
      <c r="G95" s="3">
        <v>795</v>
      </c>
      <c r="H95" s="2">
        <v>42409</v>
      </c>
      <c r="I95" s="2">
        <v>42425</v>
      </c>
      <c r="J95" s="2">
        <v>42425</v>
      </c>
      <c r="L95" s="91" t="s">
        <v>31</v>
      </c>
      <c r="M95" s="91">
        <v>50</v>
      </c>
      <c r="N95" s="91">
        <v>164042</v>
      </c>
      <c r="P95" s="91">
        <v>0</v>
      </c>
      <c r="Q95" s="91">
        <v>1</v>
      </c>
      <c r="R95" s="3">
        <v>798.6</v>
      </c>
      <c r="S95" s="91">
        <v>1</v>
      </c>
      <c r="T95" s="91">
        <v>795</v>
      </c>
      <c r="U95" s="91">
        <v>0.5</v>
      </c>
      <c r="X95" s="91" t="s">
        <v>353</v>
      </c>
      <c r="Y95" s="91" t="s">
        <v>140</v>
      </c>
      <c r="Z95" s="91" t="s">
        <v>34</v>
      </c>
      <c r="AA95" s="4" t="s">
        <v>35</v>
      </c>
      <c r="AB95" s="4"/>
      <c r="AC95" s="4"/>
      <c r="AD95" s="4"/>
      <c r="AE95" s="6">
        <f t="shared" si="6"/>
        <v>2</v>
      </c>
      <c r="AF95" s="6" t="str">
        <f t="shared" si="7"/>
        <v/>
      </c>
      <c r="AG95" s="6" t="str">
        <f t="shared" si="8"/>
        <v/>
      </c>
      <c r="AH95" s="15" t="str">
        <f>IF(ISNA(VLOOKUP(A95,'offre secrétariat'!A:F,5,FALSE)),"",(VLOOKUP(A95,'offre secrétariat'!A:F,5,FALSE)))</f>
        <v/>
      </c>
      <c r="AI95" s="101" t="str">
        <f t="shared" si="9"/>
        <v/>
      </c>
      <c r="AJ95" s="5">
        <f t="shared" si="10"/>
        <v>42422</v>
      </c>
      <c r="AK95" s="4" t="str">
        <f t="shared" si="11"/>
        <v/>
      </c>
    </row>
    <row r="96" spans="1:37" x14ac:dyDescent="0.25">
      <c r="A96" s="91" t="s">
        <v>437</v>
      </c>
      <c r="B96" s="91">
        <v>164055</v>
      </c>
      <c r="C96" s="95">
        <v>4</v>
      </c>
      <c r="D96" s="91" t="s">
        <v>438</v>
      </c>
      <c r="E96" s="91" t="s">
        <v>29</v>
      </c>
      <c r="F96" s="95" t="s">
        <v>138</v>
      </c>
      <c r="G96" s="3">
        <v>1032</v>
      </c>
      <c r="H96" s="2">
        <v>42409</v>
      </c>
      <c r="I96" s="2">
        <v>42426</v>
      </c>
      <c r="J96" s="2">
        <v>42426</v>
      </c>
      <c r="K96" s="2">
        <v>42460</v>
      </c>
      <c r="L96" s="91" t="s">
        <v>31</v>
      </c>
      <c r="M96" s="91">
        <v>50</v>
      </c>
      <c r="N96" s="91">
        <v>164055</v>
      </c>
      <c r="P96" s="91">
        <v>0</v>
      </c>
      <c r="Q96" s="91">
        <v>0</v>
      </c>
      <c r="R96" s="3">
        <v>0</v>
      </c>
      <c r="S96" s="91">
        <v>1</v>
      </c>
      <c r="T96" s="3">
        <v>1032</v>
      </c>
      <c r="U96" s="91">
        <v>0</v>
      </c>
      <c r="X96" s="91" t="s">
        <v>353</v>
      </c>
      <c r="Y96" s="91" t="s">
        <v>149</v>
      </c>
      <c r="Z96" s="91" t="s">
        <v>34</v>
      </c>
      <c r="AA96" s="4" t="s">
        <v>35</v>
      </c>
      <c r="AB96" s="4"/>
      <c r="AC96" s="4"/>
      <c r="AD96" s="4"/>
      <c r="AE96" s="6">
        <f t="shared" si="6"/>
        <v>2</v>
      </c>
      <c r="AF96" s="6" t="str">
        <f t="shared" si="7"/>
        <v/>
      </c>
      <c r="AG96" s="6" t="str">
        <f t="shared" si="8"/>
        <v/>
      </c>
      <c r="AH96" s="15" t="str">
        <f>IF(ISNA(VLOOKUP(A96,'offre secrétariat'!A:F,5,FALSE)),"",(VLOOKUP(A96,'offre secrétariat'!A:F,5,FALSE)))</f>
        <v/>
      </c>
      <c r="AI96" s="101" t="str">
        <f t="shared" si="9"/>
        <v/>
      </c>
      <c r="AJ96" s="5">
        <f t="shared" si="10"/>
        <v>42423</v>
      </c>
      <c r="AK96" s="4" t="str">
        <f t="shared" si="11"/>
        <v/>
      </c>
    </row>
    <row r="97" spans="1:37" x14ac:dyDescent="0.25">
      <c r="A97" s="91" t="s">
        <v>439</v>
      </c>
      <c r="B97" s="91">
        <v>164056</v>
      </c>
      <c r="C97" s="95">
        <v>4</v>
      </c>
      <c r="D97" s="91" t="s">
        <v>440</v>
      </c>
      <c r="E97" s="91" t="s">
        <v>29</v>
      </c>
      <c r="F97" s="95" t="s">
        <v>138</v>
      </c>
      <c r="G97" s="3">
        <v>1290</v>
      </c>
      <c r="H97" s="2">
        <v>42409</v>
      </c>
      <c r="I97" s="2">
        <v>42433</v>
      </c>
      <c r="J97" s="2">
        <v>42433</v>
      </c>
      <c r="K97" s="2">
        <v>42460</v>
      </c>
      <c r="L97" s="91" t="s">
        <v>31</v>
      </c>
      <c r="M97" s="91">
        <v>50</v>
      </c>
      <c r="N97" s="91">
        <v>164056</v>
      </c>
      <c r="P97" s="91">
        <v>0</v>
      </c>
      <c r="Q97" s="91">
        <v>18</v>
      </c>
      <c r="R97" s="3">
        <v>1263.8599999999999</v>
      </c>
      <c r="S97" s="91">
        <v>19</v>
      </c>
      <c r="T97" s="3">
        <v>1500</v>
      </c>
      <c r="U97" s="91">
        <v>17</v>
      </c>
      <c r="V97" s="2">
        <v>42442</v>
      </c>
      <c r="W97" s="2">
        <v>42442</v>
      </c>
      <c r="X97" s="91" t="s">
        <v>353</v>
      </c>
      <c r="Y97" s="91" t="s">
        <v>430</v>
      </c>
      <c r="Z97" s="91" t="s">
        <v>34</v>
      </c>
      <c r="AA97" s="4" t="s">
        <v>35</v>
      </c>
      <c r="AB97" s="4"/>
      <c r="AC97" s="4"/>
      <c r="AD97" s="4"/>
      <c r="AE97" s="6">
        <f t="shared" si="6"/>
        <v>3</v>
      </c>
      <c r="AF97" s="6" t="str">
        <f t="shared" si="7"/>
        <v/>
      </c>
      <c r="AG97" s="6" t="str">
        <f t="shared" si="8"/>
        <v/>
      </c>
      <c r="AH97" s="15" t="str">
        <f>IF(ISNA(VLOOKUP(A97,'offre secrétariat'!A:F,5,FALSE)),"",(VLOOKUP(A97,'offre secrétariat'!A:F,5,FALSE)))</f>
        <v/>
      </c>
      <c r="AI97" s="101" t="str">
        <f t="shared" si="9"/>
        <v/>
      </c>
      <c r="AJ97" s="5">
        <f t="shared" si="10"/>
        <v>42430</v>
      </c>
      <c r="AK97" s="4" t="str">
        <f t="shared" si="11"/>
        <v/>
      </c>
    </row>
    <row r="98" spans="1:37" x14ac:dyDescent="0.25">
      <c r="A98" s="91" t="s">
        <v>441</v>
      </c>
      <c r="C98" s="95">
        <v>3</v>
      </c>
      <c r="D98" s="91" t="s">
        <v>442</v>
      </c>
      <c r="E98" s="91" t="s">
        <v>29</v>
      </c>
      <c r="F98" s="95" t="s">
        <v>138</v>
      </c>
      <c r="G98" s="3">
        <v>11650</v>
      </c>
      <c r="H98" s="2">
        <v>42409</v>
      </c>
      <c r="I98" s="2">
        <v>42440</v>
      </c>
      <c r="J98" s="2">
        <v>42437</v>
      </c>
      <c r="K98" s="2">
        <v>42490</v>
      </c>
      <c r="L98" s="91" t="s">
        <v>31</v>
      </c>
      <c r="M98" s="91">
        <v>30</v>
      </c>
      <c r="P98" s="91">
        <v>0</v>
      </c>
      <c r="Q98" s="91">
        <v>192</v>
      </c>
      <c r="R98" s="3">
        <v>11647.94</v>
      </c>
      <c r="S98" s="91">
        <v>0</v>
      </c>
      <c r="T98" s="91">
        <v>0</v>
      </c>
      <c r="U98" s="91">
        <v>0</v>
      </c>
      <c r="X98" s="91" t="s">
        <v>443</v>
      </c>
      <c r="Y98" s="91" t="s">
        <v>163</v>
      </c>
      <c r="Z98" s="91" t="s">
        <v>34</v>
      </c>
      <c r="AA98" s="4" t="s">
        <v>35</v>
      </c>
      <c r="AB98" s="4"/>
      <c r="AC98" s="4"/>
      <c r="AD98" s="4"/>
      <c r="AE98" s="6">
        <f t="shared" si="6"/>
        <v>3</v>
      </c>
      <c r="AF98" s="6" t="str">
        <f t="shared" si="7"/>
        <v/>
      </c>
      <c r="AG98" s="6" t="str">
        <f t="shared" si="8"/>
        <v/>
      </c>
      <c r="AH98" s="15" t="str">
        <f>IF(ISNA(VLOOKUP(A98,'offre secrétariat'!A:F,5,FALSE)),"",(VLOOKUP(A98,'offre secrétariat'!A:F,5,FALSE)))</f>
        <v/>
      </c>
      <c r="AI98" s="101" t="str">
        <f t="shared" si="9"/>
        <v/>
      </c>
      <c r="AJ98" s="5">
        <f t="shared" si="10"/>
        <v>42437</v>
      </c>
      <c r="AK98" s="4" t="str">
        <f t="shared" si="11"/>
        <v/>
      </c>
    </row>
    <row r="99" spans="1:37" x14ac:dyDescent="0.25">
      <c r="A99" s="91" t="s">
        <v>444</v>
      </c>
      <c r="B99" s="91">
        <v>164059</v>
      </c>
      <c r="C99" s="95">
        <v>4</v>
      </c>
      <c r="D99" s="91" t="s">
        <v>445</v>
      </c>
      <c r="E99" s="91" t="s">
        <v>29</v>
      </c>
      <c r="F99" s="95" t="s">
        <v>138</v>
      </c>
      <c r="G99" s="3">
        <v>1375</v>
      </c>
      <c r="H99" s="2">
        <v>42409</v>
      </c>
      <c r="I99" s="2">
        <v>42440</v>
      </c>
      <c r="J99" s="2">
        <v>42440</v>
      </c>
      <c r="K99" s="2">
        <v>42490</v>
      </c>
      <c r="L99" s="91" t="s">
        <v>31</v>
      </c>
      <c r="M99" s="91">
        <v>30</v>
      </c>
      <c r="N99" s="91">
        <v>164059</v>
      </c>
      <c r="P99" s="91">
        <v>0</v>
      </c>
      <c r="Q99" s="91">
        <v>16</v>
      </c>
      <c r="R99" s="3">
        <v>1375.82</v>
      </c>
      <c r="S99" s="91">
        <v>16</v>
      </c>
      <c r="T99" s="3">
        <v>1375</v>
      </c>
      <c r="U99" s="91">
        <v>2</v>
      </c>
      <c r="X99" s="91" t="s">
        <v>353</v>
      </c>
      <c r="Y99" s="91" t="s">
        <v>140</v>
      </c>
      <c r="Z99" s="91" t="s">
        <v>34</v>
      </c>
      <c r="AA99" s="4" t="s">
        <v>35</v>
      </c>
      <c r="AB99" s="4"/>
      <c r="AC99" s="4"/>
      <c r="AD99" s="4"/>
      <c r="AE99" s="6">
        <f t="shared" si="6"/>
        <v>3</v>
      </c>
      <c r="AF99" s="6" t="str">
        <f t="shared" si="7"/>
        <v/>
      </c>
      <c r="AG99" s="6" t="str">
        <f t="shared" si="8"/>
        <v/>
      </c>
      <c r="AH99" s="15" t="str">
        <f>IF(ISNA(VLOOKUP(A99,'offre secrétariat'!A:F,5,FALSE)),"",(VLOOKUP(A99,'offre secrétariat'!A:F,5,FALSE)))</f>
        <v/>
      </c>
      <c r="AI99" s="101" t="str">
        <f t="shared" si="9"/>
        <v/>
      </c>
      <c r="AJ99" s="5">
        <f t="shared" si="10"/>
        <v>42437</v>
      </c>
      <c r="AK99" s="4" t="str">
        <f t="shared" si="11"/>
        <v/>
      </c>
    </row>
    <row r="100" spans="1:37" x14ac:dyDescent="0.25">
      <c r="A100" s="91" t="s">
        <v>446</v>
      </c>
      <c r="B100" s="91">
        <v>164057</v>
      </c>
      <c r="C100" s="95">
        <v>4</v>
      </c>
      <c r="D100" s="91" t="s">
        <v>447</v>
      </c>
      <c r="E100" s="91" t="s">
        <v>29</v>
      </c>
      <c r="F100" s="95" t="s">
        <v>138</v>
      </c>
      <c r="G100" s="3">
        <v>3560</v>
      </c>
      <c r="H100" s="2">
        <v>42409</v>
      </c>
      <c r="I100" s="2">
        <v>42439</v>
      </c>
      <c r="J100" s="2">
        <v>42439</v>
      </c>
      <c r="K100" s="2">
        <v>42460</v>
      </c>
      <c r="L100" s="2" t="s">
        <v>31</v>
      </c>
      <c r="M100" s="91">
        <v>50</v>
      </c>
      <c r="N100" s="91">
        <v>164057</v>
      </c>
      <c r="P100" s="91">
        <v>0</v>
      </c>
      <c r="Q100" s="91">
        <v>0</v>
      </c>
      <c r="R100" s="91">
        <v>0</v>
      </c>
      <c r="S100" s="91">
        <v>1</v>
      </c>
      <c r="T100" s="3">
        <v>3560</v>
      </c>
      <c r="U100" s="91">
        <v>42</v>
      </c>
      <c r="V100" s="2">
        <v>42451</v>
      </c>
      <c r="W100" s="2">
        <v>42452</v>
      </c>
      <c r="X100" s="91" t="s">
        <v>353</v>
      </c>
      <c r="Y100" s="91" t="s">
        <v>140</v>
      </c>
      <c r="Z100" s="91" t="s">
        <v>34</v>
      </c>
      <c r="AA100" s="4" t="s">
        <v>35</v>
      </c>
      <c r="AB100" s="4"/>
      <c r="AC100" s="4"/>
      <c r="AD100" s="4"/>
      <c r="AE100" s="6">
        <f t="shared" si="6"/>
        <v>3</v>
      </c>
      <c r="AF100" s="6" t="str">
        <f t="shared" si="7"/>
        <v/>
      </c>
      <c r="AG100" s="6" t="str">
        <f t="shared" si="8"/>
        <v/>
      </c>
      <c r="AH100" s="15" t="str">
        <f>IF(ISNA(VLOOKUP(A100,'offre secrétariat'!A:F,5,FALSE)),"",(VLOOKUP(A100,'offre secrétariat'!A:F,5,FALSE)))</f>
        <v/>
      </c>
      <c r="AI100" s="101" t="str">
        <f t="shared" si="9"/>
        <v/>
      </c>
      <c r="AJ100" s="5">
        <f t="shared" si="10"/>
        <v>42436</v>
      </c>
      <c r="AK100" s="4" t="str">
        <f t="shared" si="11"/>
        <v/>
      </c>
    </row>
    <row r="101" spans="1:37" x14ac:dyDescent="0.25">
      <c r="A101" s="91" t="s">
        <v>448</v>
      </c>
      <c r="B101" s="91">
        <v>164047</v>
      </c>
      <c r="C101" s="95">
        <v>4</v>
      </c>
      <c r="D101" s="91" t="s">
        <v>449</v>
      </c>
      <c r="E101" s="91" t="s">
        <v>29</v>
      </c>
      <c r="F101" s="95" t="s">
        <v>138</v>
      </c>
      <c r="G101" s="3">
        <v>1196</v>
      </c>
      <c r="H101" s="2">
        <v>42409</v>
      </c>
      <c r="I101" s="2">
        <v>42443</v>
      </c>
      <c r="J101" s="2">
        <v>42443</v>
      </c>
      <c r="K101" s="2">
        <v>42460</v>
      </c>
      <c r="L101" s="91" t="s">
        <v>31</v>
      </c>
      <c r="M101" s="91">
        <v>50</v>
      </c>
      <c r="N101" s="91">
        <v>164047</v>
      </c>
      <c r="P101" s="91">
        <v>0</v>
      </c>
      <c r="Q101" s="91">
        <v>0</v>
      </c>
      <c r="R101" s="3">
        <v>0</v>
      </c>
      <c r="S101" s="91">
        <v>1</v>
      </c>
      <c r="T101" s="3">
        <v>1196</v>
      </c>
      <c r="U101" s="91">
        <v>16</v>
      </c>
      <c r="V101" s="2">
        <v>42471</v>
      </c>
      <c r="W101" s="2">
        <v>42475</v>
      </c>
      <c r="X101" s="91" t="s">
        <v>353</v>
      </c>
      <c r="Y101" s="91" t="s">
        <v>140</v>
      </c>
      <c r="Z101" s="91" t="s">
        <v>34</v>
      </c>
      <c r="AA101" s="4" t="s">
        <v>35</v>
      </c>
      <c r="AB101" s="4"/>
      <c r="AC101" s="4"/>
      <c r="AD101" s="4"/>
      <c r="AE101" s="6">
        <f t="shared" si="6"/>
        <v>3</v>
      </c>
      <c r="AF101" s="6" t="str">
        <f t="shared" si="7"/>
        <v/>
      </c>
      <c r="AG101" s="6" t="str">
        <f t="shared" si="8"/>
        <v/>
      </c>
      <c r="AH101" s="15" t="str">
        <f>IF(ISNA(VLOOKUP(A101,'offre secrétariat'!A:F,5,FALSE)),"",(VLOOKUP(A101,'offre secrétariat'!A:F,5,FALSE)))</f>
        <v/>
      </c>
      <c r="AI101" s="101" t="str">
        <f t="shared" si="9"/>
        <v/>
      </c>
      <c r="AJ101" s="5">
        <f t="shared" si="10"/>
        <v>42440</v>
      </c>
      <c r="AK101" s="4" t="str">
        <f t="shared" si="11"/>
        <v/>
      </c>
    </row>
    <row r="102" spans="1:37" x14ac:dyDescent="0.25">
      <c r="A102" s="91" t="s">
        <v>450</v>
      </c>
      <c r="C102" s="95">
        <v>3</v>
      </c>
      <c r="D102" s="91" t="s">
        <v>451</v>
      </c>
      <c r="E102" s="91" t="s">
        <v>29</v>
      </c>
      <c r="F102" s="95" t="s">
        <v>138</v>
      </c>
      <c r="G102" s="3">
        <v>1196</v>
      </c>
      <c r="H102" s="2">
        <v>42409</v>
      </c>
      <c r="I102" s="2">
        <v>42443</v>
      </c>
      <c r="J102" s="2">
        <v>42443</v>
      </c>
      <c r="K102" s="2">
        <v>42551</v>
      </c>
      <c r="L102" s="91" t="s">
        <v>31</v>
      </c>
      <c r="M102" s="91">
        <v>30</v>
      </c>
      <c r="P102" s="91">
        <v>0</v>
      </c>
      <c r="Q102" s="91">
        <v>0</v>
      </c>
      <c r="R102" s="3">
        <v>0</v>
      </c>
      <c r="S102" s="91">
        <v>0</v>
      </c>
      <c r="T102" s="91">
        <v>0</v>
      </c>
      <c r="U102" s="91">
        <v>0</v>
      </c>
      <c r="X102" s="91" t="s">
        <v>353</v>
      </c>
      <c r="Y102" s="91" t="s">
        <v>140</v>
      </c>
      <c r="Z102" s="91" t="s">
        <v>34</v>
      </c>
      <c r="AA102" s="4" t="s">
        <v>35</v>
      </c>
      <c r="AB102" s="4"/>
      <c r="AC102" s="4"/>
      <c r="AD102" s="4"/>
      <c r="AE102" s="6">
        <f t="shared" si="6"/>
        <v>3</v>
      </c>
      <c r="AF102" s="6" t="str">
        <f t="shared" si="7"/>
        <v/>
      </c>
      <c r="AG102" s="6" t="str">
        <f t="shared" si="8"/>
        <v/>
      </c>
      <c r="AH102" s="15" t="str">
        <f>IF(ISNA(VLOOKUP(A102,'offre secrétariat'!A:F,5,FALSE)),"",(VLOOKUP(A102,'offre secrétariat'!A:F,5,FALSE)))</f>
        <v/>
      </c>
      <c r="AI102" s="101" t="str">
        <f t="shared" si="9"/>
        <v/>
      </c>
      <c r="AJ102" s="5">
        <f t="shared" si="10"/>
        <v>42440</v>
      </c>
      <c r="AK102" s="4" t="str">
        <f t="shared" si="11"/>
        <v/>
      </c>
    </row>
    <row r="103" spans="1:37" x14ac:dyDescent="0.25">
      <c r="A103" s="91" t="s">
        <v>452</v>
      </c>
      <c r="C103" s="95">
        <v>3</v>
      </c>
      <c r="D103" s="91" t="s">
        <v>453</v>
      </c>
      <c r="E103" s="91" t="s">
        <v>29</v>
      </c>
      <c r="F103" s="95" t="s">
        <v>138</v>
      </c>
      <c r="G103" s="3">
        <v>1995</v>
      </c>
      <c r="H103" s="2">
        <v>42409</v>
      </c>
      <c r="J103" s="2">
        <v>42447</v>
      </c>
      <c r="L103" s="91" t="s">
        <v>31</v>
      </c>
      <c r="M103" s="91">
        <v>50</v>
      </c>
      <c r="P103" s="91">
        <v>0</v>
      </c>
      <c r="Q103" s="91">
        <v>32</v>
      </c>
      <c r="R103" s="3">
        <v>1998.8</v>
      </c>
      <c r="S103" s="91">
        <v>0</v>
      </c>
      <c r="T103" s="91">
        <v>0</v>
      </c>
      <c r="U103" s="91">
        <v>0</v>
      </c>
      <c r="X103" s="91" t="s">
        <v>353</v>
      </c>
      <c r="Y103" s="91" t="s">
        <v>140</v>
      </c>
      <c r="Z103" s="91" t="s">
        <v>34</v>
      </c>
      <c r="AA103" s="4" t="s">
        <v>35</v>
      </c>
      <c r="AB103" s="4"/>
      <c r="AC103" s="4"/>
      <c r="AD103" s="4"/>
      <c r="AE103" s="6">
        <f t="shared" si="6"/>
        <v>3</v>
      </c>
      <c r="AF103" s="6" t="str">
        <f t="shared" si="7"/>
        <v/>
      </c>
      <c r="AG103" s="6" t="str">
        <f t="shared" si="8"/>
        <v/>
      </c>
      <c r="AH103" s="15" t="str">
        <f>IF(ISNA(VLOOKUP(A103,'offre secrétariat'!A:F,5,FALSE)),"",(VLOOKUP(A103,'offre secrétariat'!A:F,5,FALSE)))</f>
        <v/>
      </c>
      <c r="AI103" s="101" t="str">
        <f t="shared" si="9"/>
        <v/>
      </c>
      <c r="AJ103" s="5" t="str">
        <f t="shared" si="10"/>
        <v/>
      </c>
      <c r="AK103" s="4" t="str">
        <f t="shared" si="11"/>
        <v/>
      </c>
    </row>
    <row r="104" spans="1:37" x14ac:dyDescent="0.25">
      <c r="A104" s="91" t="s">
        <v>454</v>
      </c>
      <c r="C104" s="95">
        <v>3</v>
      </c>
      <c r="D104" s="91" t="s">
        <v>455</v>
      </c>
      <c r="E104" s="91" t="s">
        <v>29</v>
      </c>
      <c r="F104" s="95" t="s">
        <v>138</v>
      </c>
      <c r="G104" s="3">
        <v>12490</v>
      </c>
      <c r="H104" s="2">
        <v>42409</v>
      </c>
      <c r="I104" s="2">
        <v>42450</v>
      </c>
      <c r="J104" s="2">
        <v>42450</v>
      </c>
      <c r="K104" s="2">
        <v>42551</v>
      </c>
      <c r="L104" s="91" t="s">
        <v>31</v>
      </c>
      <c r="M104" s="91">
        <v>50</v>
      </c>
      <c r="P104" s="91">
        <v>0</v>
      </c>
      <c r="Q104" s="91">
        <v>2</v>
      </c>
      <c r="R104" s="3">
        <v>12485.26</v>
      </c>
      <c r="S104" s="91">
        <v>0</v>
      </c>
      <c r="T104" s="91">
        <v>0</v>
      </c>
      <c r="U104" s="91">
        <v>0</v>
      </c>
      <c r="X104" s="91" t="s">
        <v>353</v>
      </c>
      <c r="Y104" s="91" t="s">
        <v>456</v>
      </c>
      <c r="Z104" s="91" t="s">
        <v>34</v>
      </c>
      <c r="AA104" s="4" t="s">
        <v>35</v>
      </c>
      <c r="AB104" s="4"/>
      <c r="AC104" s="4"/>
      <c r="AD104" s="4"/>
      <c r="AE104" s="6">
        <f t="shared" si="6"/>
        <v>3</v>
      </c>
      <c r="AF104" s="6" t="str">
        <f t="shared" si="7"/>
        <v/>
      </c>
      <c r="AG104" s="6" t="str">
        <f t="shared" si="8"/>
        <v/>
      </c>
      <c r="AH104" s="15" t="str">
        <f>IF(ISNA(VLOOKUP(A104,'offre secrétariat'!A:F,5,FALSE)),"",(VLOOKUP(A104,'offre secrétariat'!A:F,5,FALSE)))</f>
        <v/>
      </c>
      <c r="AI104" s="101" t="str">
        <f t="shared" si="9"/>
        <v/>
      </c>
      <c r="AJ104" s="5">
        <f t="shared" si="10"/>
        <v>42447</v>
      </c>
      <c r="AK104" s="4" t="str">
        <f t="shared" si="11"/>
        <v/>
      </c>
    </row>
    <row r="105" spans="1:37" x14ac:dyDescent="0.25">
      <c r="A105" s="91" t="s">
        <v>457</v>
      </c>
      <c r="B105" s="91">
        <v>164060</v>
      </c>
      <c r="C105" s="95">
        <v>4</v>
      </c>
      <c r="D105" s="91" t="s">
        <v>458</v>
      </c>
      <c r="E105" s="91" t="s">
        <v>29</v>
      </c>
      <c r="F105" s="95" t="s">
        <v>138</v>
      </c>
      <c r="G105" s="3">
        <v>4418</v>
      </c>
      <c r="H105" s="2">
        <v>42409</v>
      </c>
      <c r="I105" s="2">
        <v>42452</v>
      </c>
      <c r="J105" s="2">
        <v>42452</v>
      </c>
      <c r="K105" s="2">
        <v>42490</v>
      </c>
      <c r="L105" s="91" t="s">
        <v>31</v>
      </c>
      <c r="M105" s="91">
        <v>30</v>
      </c>
      <c r="N105" s="91">
        <v>164060</v>
      </c>
      <c r="P105" s="91">
        <v>0</v>
      </c>
      <c r="Q105" s="91">
        <v>0</v>
      </c>
      <c r="R105" s="91">
        <v>0</v>
      </c>
      <c r="S105" s="91">
        <v>1</v>
      </c>
      <c r="T105" s="3">
        <v>4418</v>
      </c>
      <c r="U105" s="91">
        <v>57.5</v>
      </c>
      <c r="V105" s="2">
        <v>42459</v>
      </c>
      <c r="W105" s="2">
        <v>42460</v>
      </c>
      <c r="X105" s="91" t="s">
        <v>353</v>
      </c>
      <c r="Y105" s="91" t="s">
        <v>140</v>
      </c>
      <c r="Z105" s="91" t="s">
        <v>34</v>
      </c>
      <c r="AA105" s="4" t="s">
        <v>35</v>
      </c>
      <c r="AB105" s="4"/>
      <c r="AC105" s="4"/>
      <c r="AD105" s="4"/>
      <c r="AE105" s="6">
        <f t="shared" si="6"/>
        <v>3</v>
      </c>
      <c r="AF105" s="6" t="str">
        <f t="shared" si="7"/>
        <v/>
      </c>
      <c r="AG105" s="6" t="str">
        <f t="shared" si="8"/>
        <v/>
      </c>
      <c r="AH105" s="15" t="str">
        <f>IF(ISNA(VLOOKUP(A105,'offre secrétariat'!A:F,5,FALSE)),"",(VLOOKUP(A105,'offre secrétariat'!A:F,5,FALSE)))</f>
        <v/>
      </c>
      <c r="AI105" s="101" t="str">
        <f t="shared" si="9"/>
        <v/>
      </c>
      <c r="AJ105" s="5">
        <f t="shared" si="10"/>
        <v>42449</v>
      </c>
      <c r="AK105" s="4" t="str">
        <f t="shared" si="11"/>
        <v/>
      </c>
    </row>
    <row r="106" spans="1:37" x14ac:dyDescent="0.25">
      <c r="A106" s="91" t="s">
        <v>459</v>
      </c>
      <c r="C106" s="95">
        <v>3</v>
      </c>
      <c r="D106" s="91" t="s">
        <v>460</v>
      </c>
      <c r="E106" s="91" t="s">
        <v>29</v>
      </c>
      <c r="F106" s="95" t="s">
        <v>138</v>
      </c>
      <c r="G106" s="3">
        <v>14450</v>
      </c>
      <c r="H106" s="2">
        <v>42409</v>
      </c>
      <c r="I106" s="2">
        <v>42458</v>
      </c>
      <c r="J106" s="2">
        <v>42454</v>
      </c>
      <c r="K106" s="2">
        <v>42613</v>
      </c>
      <c r="L106" s="91" t="s">
        <v>31</v>
      </c>
      <c r="M106" s="91">
        <v>50</v>
      </c>
      <c r="P106" s="91">
        <v>0</v>
      </c>
      <c r="Q106" s="91">
        <v>144</v>
      </c>
      <c r="R106" s="3">
        <v>14467.37</v>
      </c>
      <c r="S106" s="91">
        <v>0</v>
      </c>
      <c r="T106" s="91">
        <v>0</v>
      </c>
      <c r="U106" s="91">
        <v>0</v>
      </c>
      <c r="X106" s="91" t="s">
        <v>353</v>
      </c>
      <c r="Y106" s="91" t="s">
        <v>430</v>
      </c>
      <c r="Z106" s="91" t="s">
        <v>34</v>
      </c>
      <c r="AA106" s="4" t="s">
        <v>35</v>
      </c>
      <c r="AB106" s="4"/>
      <c r="AC106" s="4"/>
      <c r="AD106" s="4"/>
      <c r="AE106" s="6">
        <f t="shared" si="6"/>
        <v>3</v>
      </c>
      <c r="AF106" s="6" t="str">
        <f t="shared" si="7"/>
        <v/>
      </c>
      <c r="AG106" s="6" t="str">
        <f t="shared" si="8"/>
        <v>o</v>
      </c>
      <c r="AH106" s="15">
        <f>IF(ISNA(VLOOKUP(A106,'offre secrétariat'!A:F,5,FALSE)),"",(VLOOKUP(A106,'offre secrétariat'!A:F,5,FALSE)))</f>
        <v>42453</v>
      </c>
      <c r="AI106" s="101" t="str">
        <f t="shared" si="9"/>
        <v>T</v>
      </c>
      <c r="AJ106" s="5">
        <f t="shared" si="10"/>
        <v>42455</v>
      </c>
      <c r="AK106" s="4" t="str">
        <f t="shared" si="11"/>
        <v>A</v>
      </c>
    </row>
    <row r="107" spans="1:37" x14ac:dyDescent="0.25">
      <c r="A107" s="91" t="s">
        <v>461</v>
      </c>
      <c r="C107" s="95">
        <v>3</v>
      </c>
      <c r="D107" s="91" t="s">
        <v>462</v>
      </c>
      <c r="E107" s="91" t="s">
        <v>29</v>
      </c>
      <c r="F107" s="95" t="s">
        <v>138</v>
      </c>
      <c r="G107" s="3">
        <v>2995</v>
      </c>
      <c r="H107" s="2">
        <v>42409</v>
      </c>
      <c r="I107" s="2">
        <v>42454</v>
      </c>
      <c r="J107" s="2">
        <v>42454</v>
      </c>
      <c r="K107" s="2">
        <v>42490</v>
      </c>
      <c r="L107" s="91" t="s">
        <v>31</v>
      </c>
      <c r="M107" s="91">
        <v>50</v>
      </c>
      <c r="P107" s="91">
        <v>0</v>
      </c>
      <c r="Q107" s="91">
        <v>32</v>
      </c>
      <c r="R107" s="3">
        <v>2996.44</v>
      </c>
      <c r="S107" s="91">
        <v>0</v>
      </c>
      <c r="T107" s="91">
        <v>0</v>
      </c>
      <c r="U107" s="91">
        <v>0</v>
      </c>
      <c r="X107" s="91" t="s">
        <v>353</v>
      </c>
      <c r="Y107" s="91" t="s">
        <v>140</v>
      </c>
      <c r="Z107" s="91" t="s">
        <v>34</v>
      </c>
      <c r="AA107" s="4" t="s">
        <v>35</v>
      </c>
      <c r="AB107" s="4"/>
      <c r="AC107" s="4"/>
      <c r="AD107" s="4"/>
      <c r="AE107" s="6">
        <f t="shared" si="6"/>
        <v>3</v>
      </c>
      <c r="AF107" s="6" t="str">
        <f t="shared" si="7"/>
        <v/>
      </c>
      <c r="AG107" s="6" t="str">
        <f t="shared" si="8"/>
        <v/>
      </c>
      <c r="AH107" s="15" t="str">
        <f>IF(ISNA(VLOOKUP(A107,'offre secrétariat'!A:F,5,FALSE)),"",(VLOOKUP(A107,'offre secrétariat'!A:F,5,FALSE)))</f>
        <v/>
      </c>
      <c r="AI107" s="101" t="str">
        <f t="shared" si="9"/>
        <v/>
      </c>
      <c r="AJ107" s="5">
        <f t="shared" si="10"/>
        <v>42451</v>
      </c>
      <c r="AK107" s="4" t="str">
        <f t="shared" si="11"/>
        <v/>
      </c>
    </row>
    <row r="108" spans="1:37" x14ac:dyDescent="0.25">
      <c r="A108" s="91" t="s">
        <v>463</v>
      </c>
      <c r="C108" s="95">
        <v>3</v>
      </c>
      <c r="D108" s="91" t="s">
        <v>464</v>
      </c>
      <c r="E108" s="91" t="s">
        <v>29</v>
      </c>
      <c r="F108" s="95" t="s">
        <v>138</v>
      </c>
      <c r="G108" s="3">
        <v>2995</v>
      </c>
      <c r="H108" s="2">
        <v>42409</v>
      </c>
      <c r="I108" s="2">
        <v>42454</v>
      </c>
      <c r="J108" s="2">
        <v>42454</v>
      </c>
      <c r="K108" s="2">
        <v>42490</v>
      </c>
      <c r="L108" s="91" t="s">
        <v>31</v>
      </c>
      <c r="M108" s="91">
        <v>50</v>
      </c>
      <c r="P108" s="91">
        <v>0</v>
      </c>
      <c r="Q108" s="91">
        <v>32</v>
      </c>
      <c r="R108" s="3">
        <v>2996.44</v>
      </c>
      <c r="S108" s="91">
        <v>0</v>
      </c>
      <c r="T108" s="91">
        <v>0</v>
      </c>
      <c r="U108" s="91">
        <v>0</v>
      </c>
      <c r="X108" s="91" t="s">
        <v>353</v>
      </c>
      <c r="Y108" s="91" t="s">
        <v>140</v>
      </c>
      <c r="Z108" s="91" t="s">
        <v>34</v>
      </c>
      <c r="AA108" s="4" t="s">
        <v>35</v>
      </c>
      <c r="AB108" s="4"/>
      <c r="AC108" s="4"/>
      <c r="AD108" s="4"/>
      <c r="AE108" s="6">
        <f t="shared" si="6"/>
        <v>3</v>
      </c>
      <c r="AF108" s="6" t="str">
        <f t="shared" si="7"/>
        <v/>
      </c>
      <c r="AG108" s="6" t="str">
        <f t="shared" si="8"/>
        <v/>
      </c>
      <c r="AH108" s="15" t="str">
        <f>IF(ISNA(VLOOKUP(A108,'offre secrétariat'!A:F,5,FALSE)),"",(VLOOKUP(A108,'offre secrétariat'!A:F,5,FALSE)))</f>
        <v/>
      </c>
      <c r="AI108" s="101" t="str">
        <f t="shared" si="9"/>
        <v/>
      </c>
      <c r="AJ108" s="5">
        <f t="shared" si="10"/>
        <v>42451</v>
      </c>
      <c r="AK108" s="4" t="str">
        <f t="shared" si="11"/>
        <v/>
      </c>
    </row>
    <row r="109" spans="1:37" x14ac:dyDescent="0.25">
      <c r="A109" s="91" t="s">
        <v>469</v>
      </c>
      <c r="B109" s="91">
        <v>160610</v>
      </c>
      <c r="C109" s="95">
        <v>4</v>
      </c>
      <c r="D109" s="91" t="s">
        <v>470</v>
      </c>
      <c r="E109" s="91" t="s">
        <v>58</v>
      </c>
      <c r="F109" s="95" t="s">
        <v>30</v>
      </c>
      <c r="G109" s="3">
        <v>13180</v>
      </c>
      <c r="H109" s="2">
        <v>42410</v>
      </c>
      <c r="J109" s="2">
        <v>42409</v>
      </c>
      <c r="K109" s="2">
        <v>42408</v>
      </c>
      <c r="L109" s="91" t="s">
        <v>31</v>
      </c>
      <c r="M109" s="91">
        <v>0</v>
      </c>
      <c r="N109" s="91">
        <v>160610</v>
      </c>
      <c r="P109" s="91">
        <v>0</v>
      </c>
      <c r="Q109" s="91">
        <v>136</v>
      </c>
      <c r="R109" s="3">
        <v>13115.96</v>
      </c>
      <c r="S109" s="91">
        <v>136</v>
      </c>
      <c r="T109" s="3">
        <v>13180</v>
      </c>
      <c r="U109" s="91">
        <v>60.5</v>
      </c>
      <c r="V109" s="2">
        <v>42408</v>
      </c>
      <c r="W109" s="2">
        <v>42416</v>
      </c>
      <c r="X109" s="91" t="s">
        <v>32</v>
      </c>
      <c r="Y109" s="91" t="s">
        <v>471</v>
      </c>
      <c r="Z109" s="91" t="s">
        <v>472</v>
      </c>
      <c r="AA109" s="4" t="s">
        <v>35</v>
      </c>
      <c r="AB109" s="4"/>
      <c r="AC109" s="4"/>
      <c r="AD109" s="4"/>
      <c r="AE109" s="6">
        <f t="shared" si="6"/>
        <v>2</v>
      </c>
      <c r="AF109" s="6" t="str">
        <f t="shared" si="7"/>
        <v/>
      </c>
      <c r="AG109" s="6" t="str">
        <f t="shared" si="8"/>
        <v/>
      </c>
      <c r="AH109" s="15" t="str">
        <f>IF(ISNA(VLOOKUP(A109,'offre secrétariat'!A:F,5,FALSE)),"",(VLOOKUP(A109,'offre secrétariat'!A:F,5,FALSE)))</f>
        <v/>
      </c>
      <c r="AI109" s="101" t="str">
        <f t="shared" si="9"/>
        <v/>
      </c>
      <c r="AJ109" s="5" t="str">
        <f t="shared" si="10"/>
        <v/>
      </c>
      <c r="AK109" s="4" t="str">
        <f t="shared" si="11"/>
        <v/>
      </c>
    </row>
    <row r="110" spans="1:37" x14ac:dyDescent="0.25">
      <c r="A110" s="91" t="s">
        <v>473</v>
      </c>
      <c r="C110" s="95">
        <v>5</v>
      </c>
      <c r="D110" s="91" t="s">
        <v>474</v>
      </c>
      <c r="E110" s="91" t="s">
        <v>58</v>
      </c>
      <c r="F110" s="95" t="s">
        <v>30</v>
      </c>
      <c r="G110" s="3">
        <v>30190</v>
      </c>
      <c r="H110" s="2">
        <v>42410</v>
      </c>
      <c r="I110" s="2">
        <v>42551</v>
      </c>
      <c r="J110" s="2">
        <v>42430</v>
      </c>
      <c r="L110" s="91" t="s">
        <v>31</v>
      </c>
      <c r="M110" s="91">
        <v>0</v>
      </c>
      <c r="P110" s="91">
        <v>0</v>
      </c>
      <c r="Q110" s="91">
        <v>508</v>
      </c>
      <c r="R110" s="3">
        <v>30186.639999999999</v>
      </c>
      <c r="S110" s="91">
        <v>0</v>
      </c>
      <c r="T110" s="3">
        <v>0</v>
      </c>
      <c r="U110" s="91">
        <v>0</v>
      </c>
      <c r="V110" s="2"/>
      <c r="W110" s="2"/>
      <c r="X110" s="91" t="s">
        <v>475</v>
      </c>
      <c r="Y110" s="91" t="s">
        <v>476</v>
      </c>
      <c r="Z110" s="91" t="s">
        <v>62</v>
      </c>
      <c r="AA110" s="4" t="s">
        <v>35</v>
      </c>
      <c r="AB110" s="4"/>
      <c r="AC110" s="4"/>
      <c r="AD110" s="4"/>
      <c r="AE110" s="6">
        <f t="shared" si="6"/>
        <v>3</v>
      </c>
      <c r="AF110" s="6" t="str">
        <f t="shared" si="7"/>
        <v/>
      </c>
      <c r="AG110" s="6" t="str">
        <f t="shared" si="8"/>
        <v>o</v>
      </c>
      <c r="AH110" s="15">
        <f>IF(ISNA(VLOOKUP(A110,'offre secrétariat'!A:F,5,FALSE)),"",(VLOOKUP(A110,'offre secrétariat'!A:F,5,FALSE)))</f>
        <v>42430</v>
      </c>
      <c r="AI110" s="101" t="str">
        <f t="shared" si="9"/>
        <v>T</v>
      </c>
      <c r="AJ110" s="5">
        <f t="shared" si="10"/>
        <v>42548</v>
      </c>
      <c r="AK110" s="4" t="str">
        <f t="shared" si="11"/>
        <v>A</v>
      </c>
    </row>
    <row r="111" spans="1:37" x14ac:dyDescent="0.25">
      <c r="A111" s="91" t="s">
        <v>477</v>
      </c>
      <c r="B111" s="91">
        <v>164220</v>
      </c>
      <c r="C111" s="95">
        <v>4</v>
      </c>
      <c r="D111" s="91" t="s">
        <v>478</v>
      </c>
      <c r="E111" s="91" t="s">
        <v>29</v>
      </c>
      <c r="F111" s="95" t="s">
        <v>38</v>
      </c>
      <c r="G111" s="3">
        <v>1640</v>
      </c>
      <c r="H111" s="2">
        <v>42411</v>
      </c>
      <c r="J111" s="2">
        <v>42410</v>
      </c>
      <c r="L111" s="91" t="s">
        <v>31</v>
      </c>
      <c r="M111" s="91">
        <v>50</v>
      </c>
      <c r="N111" s="91">
        <v>164220</v>
      </c>
      <c r="P111" s="91">
        <v>0</v>
      </c>
      <c r="Q111" s="91">
        <v>32</v>
      </c>
      <c r="R111" s="3">
        <v>1640.43</v>
      </c>
      <c r="S111" s="91">
        <v>32</v>
      </c>
      <c r="T111" s="3">
        <v>1640</v>
      </c>
      <c r="U111" s="91">
        <v>0</v>
      </c>
      <c r="V111" s="2"/>
      <c r="W111" s="2"/>
      <c r="X111" s="91" t="s">
        <v>479</v>
      </c>
      <c r="Y111" s="91" t="s">
        <v>480</v>
      </c>
      <c r="Z111" s="91" t="s">
        <v>34</v>
      </c>
      <c r="AA111" s="4" t="s">
        <v>35</v>
      </c>
      <c r="AB111" s="4"/>
      <c r="AC111" s="4"/>
      <c r="AD111" s="4"/>
      <c r="AE111" s="6">
        <f t="shared" si="6"/>
        <v>2</v>
      </c>
      <c r="AF111" s="6" t="str">
        <f t="shared" si="7"/>
        <v/>
      </c>
      <c r="AG111" s="6" t="str">
        <f t="shared" si="8"/>
        <v/>
      </c>
      <c r="AH111" s="15" t="str">
        <f>IF(ISNA(VLOOKUP(A111,'offre secrétariat'!A:F,5,FALSE)),"",(VLOOKUP(A111,'offre secrétariat'!A:F,5,FALSE)))</f>
        <v/>
      </c>
      <c r="AI111" s="101" t="str">
        <f t="shared" si="9"/>
        <v/>
      </c>
      <c r="AJ111" s="5" t="str">
        <f t="shared" si="10"/>
        <v/>
      </c>
      <c r="AK111" s="4" t="str">
        <f t="shared" si="11"/>
        <v/>
      </c>
    </row>
    <row r="112" spans="1:37" x14ac:dyDescent="0.25">
      <c r="A112" s="91" t="s">
        <v>481</v>
      </c>
      <c r="C112" s="95">
        <v>3</v>
      </c>
      <c r="D112" s="91" t="s">
        <v>482</v>
      </c>
      <c r="E112" s="91" t="s">
        <v>58</v>
      </c>
      <c r="F112" s="95" t="s">
        <v>30</v>
      </c>
      <c r="G112" s="3">
        <v>3250</v>
      </c>
      <c r="H112" s="2">
        <v>42411</v>
      </c>
      <c r="I112" s="2">
        <v>42551</v>
      </c>
      <c r="J112" s="2">
        <v>42461</v>
      </c>
      <c r="L112" s="91" t="s">
        <v>31</v>
      </c>
      <c r="M112" s="91">
        <v>0</v>
      </c>
      <c r="P112" s="91">
        <v>0</v>
      </c>
      <c r="Q112" s="91">
        <v>32</v>
      </c>
      <c r="R112" s="3">
        <v>3246.64</v>
      </c>
      <c r="S112" s="91">
        <v>0</v>
      </c>
      <c r="T112" s="91">
        <v>0</v>
      </c>
      <c r="U112" s="91">
        <v>0</v>
      </c>
      <c r="X112" s="91">
        <v>6000463554</v>
      </c>
      <c r="Y112" s="91" t="s">
        <v>483</v>
      </c>
      <c r="Z112" s="91" t="s">
        <v>202</v>
      </c>
      <c r="AA112" s="4" t="s">
        <v>35</v>
      </c>
      <c r="AB112" s="4"/>
      <c r="AC112" s="4"/>
      <c r="AD112" s="4"/>
      <c r="AE112" s="6">
        <f t="shared" si="6"/>
        <v>4</v>
      </c>
      <c r="AF112" s="6" t="str">
        <f t="shared" si="7"/>
        <v/>
      </c>
      <c r="AG112" s="6" t="str">
        <f t="shared" si="8"/>
        <v/>
      </c>
      <c r="AH112" s="15" t="str">
        <f>IF(ISNA(VLOOKUP(A112,'offre secrétariat'!A:F,5,FALSE)),"",(VLOOKUP(A112,'offre secrétariat'!A:F,5,FALSE)))</f>
        <v/>
      </c>
      <c r="AI112" s="101" t="str">
        <f t="shared" si="9"/>
        <v/>
      </c>
      <c r="AJ112" s="5">
        <f t="shared" si="10"/>
        <v>42548</v>
      </c>
      <c r="AK112" s="4" t="str">
        <f t="shared" si="11"/>
        <v/>
      </c>
    </row>
    <row r="113" spans="1:37" x14ac:dyDescent="0.25">
      <c r="A113" s="91" t="s">
        <v>489</v>
      </c>
      <c r="C113" s="95">
        <v>3</v>
      </c>
      <c r="D113" s="91" t="s">
        <v>490</v>
      </c>
      <c r="E113" s="91" t="s">
        <v>65</v>
      </c>
      <c r="F113" s="95" t="s">
        <v>66</v>
      </c>
      <c r="G113" s="3">
        <v>5550</v>
      </c>
      <c r="H113" s="2">
        <v>42411</v>
      </c>
      <c r="I113" s="2">
        <v>42424</v>
      </c>
      <c r="J113" s="2">
        <v>42416</v>
      </c>
      <c r="K113" s="2">
        <v>42454</v>
      </c>
      <c r="L113" s="91" t="s">
        <v>31</v>
      </c>
      <c r="M113" s="91">
        <v>25</v>
      </c>
      <c r="P113" s="91">
        <v>0</v>
      </c>
      <c r="Q113" s="91">
        <v>23</v>
      </c>
      <c r="R113" s="3">
        <v>5543.11</v>
      </c>
      <c r="S113" s="91">
        <v>0</v>
      </c>
      <c r="T113" s="91">
        <v>0</v>
      </c>
      <c r="U113" s="91">
        <v>0</v>
      </c>
      <c r="X113" s="91" t="s">
        <v>491</v>
      </c>
      <c r="Y113" s="91" t="s">
        <v>492</v>
      </c>
      <c r="Z113" s="91" t="s">
        <v>129</v>
      </c>
      <c r="AA113" s="4" t="s">
        <v>35</v>
      </c>
      <c r="AB113" s="4"/>
      <c r="AC113" s="4"/>
      <c r="AD113" s="4"/>
      <c r="AE113" s="6">
        <f t="shared" si="6"/>
        <v>2</v>
      </c>
      <c r="AF113" s="6" t="str">
        <f t="shared" si="7"/>
        <v/>
      </c>
      <c r="AG113" s="6" t="str">
        <f t="shared" si="8"/>
        <v>o</v>
      </c>
      <c r="AH113" s="15">
        <f>IF(ISNA(VLOOKUP(A113,'offre secrétariat'!A:F,5,FALSE)),"",(VLOOKUP(A113,'offre secrétariat'!A:F,5,FALSE)))</f>
        <v>42415</v>
      </c>
      <c r="AI113" s="101" t="str">
        <f t="shared" si="9"/>
        <v>T</v>
      </c>
      <c r="AJ113" s="5">
        <f t="shared" si="10"/>
        <v>42421</v>
      </c>
      <c r="AK113" s="4" t="str">
        <f t="shared" si="11"/>
        <v>A</v>
      </c>
    </row>
    <row r="114" spans="1:37" x14ac:dyDescent="0.25">
      <c r="A114" s="91" t="s">
        <v>493</v>
      </c>
      <c r="C114" s="95">
        <v>3</v>
      </c>
      <c r="D114" s="91" t="s">
        <v>494</v>
      </c>
      <c r="E114" s="91" t="s">
        <v>29</v>
      </c>
      <c r="F114" s="95" t="s">
        <v>38</v>
      </c>
      <c r="G114" s="3">
        <v>2750</v>
      </c>
      <c r="H114" s="2">
        <v>42411</v>
      </c>
      <c r="I114" s="2"/>
      <c r="J114" s="2">
        <v>42411</v>
      </c>
      <c r="K114" s="2"/>
      <c r="L114" s="91" t="s">
        <v>31</v>
      </c>
      <c r="M114" s="91">
        <v>50</v>
      </c>
      <c r="P114" s="91">
        <v>0</v>
      </c>
      <c r="Q114" s="91">
        <v>32</v>
      </c>
      <c r="R114" s="3">
        <v>2751.4</v>
      </c>
      <c r="S114" s="91">
        <v>0</v>
      </c>
      <c r="T114" s="3">
        <v>0</v>
      </c>
      <c r="U114" s="91">
        <v>0</v>
      </c>
      <c r="V114" s="2"/>
      <c r="W114" s="2"/>
      <c r="X114" s="91" t="s">
        <v>495</v>
      </c>
      <c r="Y114" s="91" t="s">
        <v>480</v>
      </c>
      <c r="Z114" s="91" t="s">
        <v>34</v>
      </c>
      <c r="AA114" s="4" t="s">
        <v>35</v>
      </c>
      <c r="AB114" s="4"/>
      <c r="AC114" s="4"/>
      <c r="AD114" s="4"/>
      <c r="AE114" s="6">
        <f t="shared" si="6"/>
        <v>2</v>
      </c>
      <c r="AF114" s="6" t="str">
        <f t="shared" si="7"/>
        <v/>
      </c>
      <c r="AG114" s="6" t="str">
        <f t="shared" si="8"/>
        <v/>
      </c>
      <c r="AH114" s="15" t="str">
        <f>IF(ISNA(VLOOKUP(A114,'offre secrétariat'!A:F,5,FALSE)),"",(VLOOKUP(A114,'offre secrétariat'!A:F,5,FALSE)))</f>
        <v/>
      </c>
      <c r="AI114" s="101" t="str">
        <f t="shared" si="9"/>
        <v/>
      </c>
      <c r="AJ114" s="5" t="str">
        <f t="shared" si="10"/>
        <v/>
      </c>
      <c r="AK114" s="4" t="str">
        <f t="shared" si="11"/>
        <v/>
      </c>
    </row>
    <row r="115" spans="1:37" x14ac:dyDescent="0.25">
      <c r="A115" s="91" t="s">
        <v>500</v>
      </c>
      <c r="C115" s="95">
        <v>3</v>
      </c>
      <c r="D115" s="91" t="s">
        <v>501</v>
      </c>
      <c r="E115" s="91" t="s">
        <v>58</v>
      </c>
      <c r="F115" s="95" t="s">
        <v>30</v>
      </c>
      <c r="G115" s="3">
        <v>5380</v>
      </c>
      <c r="H115" s="2">
        <v>42412</v>
      </c>
      <c r="I115" s="2">
        <v>42551</v>
      </c>
      <c r="J115" s="2">
        <v>42454</v>
      </c>
      <c r="K115" s="2">
        <v>42522</v>
      </c>
      <c r="L115" s="91" t="s">
        <v>31</v>
      </c>
      <c r="M115" s="91">
        <v>30</v>
      </c>
      <c r="P115" s="91">
        <v>0</v>
      </c>
      <c r="Q115" s="91">
        <v>50</v>
      </c>
      <c r="R115" s="3">
        <v>5386.52</v>
      </c>
      <c r="S115" s="91">
        <v>0</v>
      </c>
      <c r="T115" s="91">
        <v>0</v>
      </c>
      <c r="U115" s="91">
        <v>0</v>
      </c>
      <c r="X115" s="91" t="s">
        <v>502</v>
      </c>
      <c r="Y115" s="91" t="s">
        <v>337</v>
      </c>
      <c r="Z115" s="91" t="s">
        <v>202</v>
      </c>
      <c r="AA115" s="4" t="s">
        <v>35</v>
      </c>
      <c r="AB115" s="4"/>
      <c r="AC115" s="4"/>
      <c r="AD115" s="4"/>
      <c r="AE115" s="6">
        <f t="shared" si="6"/>
        <v>3</v>
      </c>
      <c r="AF115" s="6" t="str">
        <f t="shared" si="7"/>
        <v/>
      </c>
      <c r="AG115" s="6" t="str">
        <f t="shared" si="8"/>
        <v/>
      </c>
      <c r="AH115" s="15" t="str">
        <f>IF(ISNA(VLOOKUP(A115,'offre secrétariat'!A:F,5,FALSE)),"",(VLOOKUP(A115,'offre secrétariat'!A:F,5,FALSE)))</f>
        <v/>
      </c>
      <c r="AI115" s="101" t="str">
        <f t="shared" si="9"/>
        <v/>
      </c>
      <c r="AJ115" s="5">
        <f t="shared" si="10"/>
        <v>42548</v>
      </c>
      <c r="AK115" s="4" t="str">
        <f t="shared" si="11"/>
        <v/>
      </c>
    </row>
    <row r="116" spans="1:37" x14ac:dyDescent="0.25">
      <c r="A116" s="91" t="s">
        <v>503</v>
      </c>
      <c r="B116" s="91">
        <v>164023</v>
      </c>
      <c r="C116" s="95">
        <v>4</v>
      </c>
      <c r="D116" s="91" t="s">
        <v>504</v>
      </c>
      <c r="E116" s="91" t="s">
        <v>29</v>
      </c>
      <c r="F116" s="95" t="s">
        <v>138</v>
      </c>
      <c r="G116" s="3">
        <v>2390</v>
      </c>
      <c r="H116" s="2">
        <v>42412</v>
      </c>
      <c r="I116" s="2"/>
      <c r="J116" s="2">
        <v>42411</v>
      </c>
      <c r="K116" s="2"/>
      <c r="L116" s="91" t="s">
        <v>31</v>
      </c>
      <c r="M116" s="91">
        <v>50</v>
      </c>
      <c r="N116" s="91">
        <v>164023</v>
      </c>
      <c r="P116" s="91">
        <v>0</v>
      </c>
      <c r="Q116" s="91">
        <v>1</v>
      </c>
      <c r="R116" s="3">
        <v>2400.3000000000002</v>
      </c>
      <c r="S116" s="91">
        <v>1</v>
      </c>
      <c r="T116" s="3">
        <v>2390</v>
      </c>
      <c r="U116" s="91">
        <v>6.5</v>
      </c>
      <c r="X116" s="91" t="s">
        <v>505</v>
      </c>
      <c r="Y116" s="91" t="s">
        <v>149</v>
      </c>
      <c r="Z116" s="91" t="s">
        <v>34</v>
      </c>
      <c r="AA116" s="4" t="s">
        <v>35</v>
      </c>
      <c r="AB116" s="4"/>
      <c r="AC116" s="4"/>
      <c r="AD116" s="4"/>
      <c r="AE116" s="6">
        <f t="shared" si="6"/>
        <v>2</v>
      </c>
      <c r="AF116" s="6" t="str">
        <f t="shared" si="7"/>
        <v/>
      </c>
      <c r="AG116" s="6" t="str">
        <f t="shared" si="8"/>
        <v/>
      </c>
      <c r="AH116" s="15" t="str">
        <f>IF(ISNA(VLOOKUP(A116,'offre secrétariat'!A:F,5,FALSE)),"",(VLOOKUP(A116,'offre secrétariat'!A:F,5,FALSE)))</f>
        <v/>
      </c>
      <c r="AI116" s="101" t="str">
        <f t="shared" si="9"/>
        <v/>
      </c>
      <c r="AJ116" s="5" t="str">
        <f t="shared" si="10"/>
        <v/>
      </c>
      <c r="AK116" s="4" t="str">
        <f t="shared" si="11"/>
        <v/>
      </c>
    </row>
    <row r="117" spans="1:37" x14ac:dyDescent="0.25">
      <c r="A117" s="91" t="s">
        <v>506</v>
      </c>
      <c r="B117" s="91">
        <v>164222</v>
      </c>
      <c r="C117" s="95">
        <v>4</v>
      </c>
      <c r="D117" s="91" t="s">
        <v>507</v>
      </c>
      <c r="E117" s="91" t="s">
        <v>29</v>
      </c>
      <c r="F117" s="95" t="s">
        <v>38</v>
      </c>
      <c r="G117" s="3">
        <v>1525</v>
      </c>
      <c r="H117" s="2">
        <v>42412</v>
      </c>
      <c r="I117" s="2"/>
      <c r="J117" s="2">
        <v>42411</v>
      </c>
      <c r="K117" s="2"/>
      <c r="L117" s="91" t="s">
        <v>31</v>
      </c>
      <c r="M117" s="91">
        <v>50</v>
      </c>
      <c r="N117" s="91">
        <v>164222</v>
      </c>
      <c r="P117" s="91">
        <v>0</v>
      </c>
      <c r="Q117" s="91">
        <v>32</v>
      </c>
      <c r="R117" s="3">
        <v>1525.99</v>
      </c>
      <c r="S117" s="91">
        <v>32</v>
      </c>
      <c r="T117" s="3">
        <v>1525</v>
      </c>
      <c r="U117" s="91">
        <v>32</v>
      </c>
      <c r="V117" s="2">
        <v>42418</v>
      </c>
      <c r="W117" s="2">
        <v>42423</v>
      </c>
      <c r="X117" s="91" t="s">
        <v>508</v>
      </c>
      <c r="Y117" s="91" t="s">
        <v>48</v>
      </c>
      <c r="Z117" s="91" t="s">
        <v>34</v>
      </c>
      <c r="AA117" s="4" t="s">
        <v>35</v>
      </c>
      <c r="AB117" s="4"/>
      <c r="AC117" s="4"/>
      <c r="AD117" s="4"/>
      <c r="AE117" s="6">
        <f t="shared" si="6"/>
        <v>2</v>
      </c>
      <c r="AF117" s="6" t="str">
        <f t="shared" si="7"/>
        <v/>
      </c>
      <c r="AG117" s="6" t="str">
        <f t="shared" si="8"/>
        <v/>
      </c>
      <c r="AH117" s="15" t="str">
        <f>IF(ISNA(VLOOKUP(A117,'offre secrétariat'!A:F,5,FALSE)),"",(VLOOKUP(A117,'offre secrétariat'!A:F,5,FALSE)))</f>
        <v/>
      </c>
      <c r="AI117" s="101" t="str">
        <f t="shared" si="9"/>
        <v/>
      </c>
      <c r="AJ117" s="5" t="str">
        <f t="shared" si="10"/>
        <v/>
      </c>
      <c r="AK117" s="4" t="str">
        <f t="shared" si="11"/>
        <v/>
      </c>
    </row>
    <row r="118" spans="1:37" x14ac:dyDescent="0.25">
      <c r="A118" s="91" t="s">
        <v>509</v>
      </c>
      <c r="B118" s="91">
        <v>164223</v>
      </c>
      <c r="C118" s="95">
        <v>4</v>
      </c>
      <c r="D118" s="91" t="s">
        <v>510</v>
      </c>
      <c r="E118" s="91" t="s">
        <v>29</v>
      </c>
      <c r="F118" s="95" t="s">
        <v>38</v>
      </c>
      <c r="G118" s="3">
        <v>1900</v>
      </c>
      <c r="H118" s="2">
        <v>42412</v>
      </c>
      <c r="I118" s="2"/>
      <c r="J118" s="2">
        <v>42411</v>
      </c>
      <c r="K118" s="2"/>
      <c r="L118" s="91" t="s">
        <v>31</v>
      </c>
      <c r="M118" s="91">
        <v>50</v>
      </c>
      <c r="N118" s="91">
        <v>164223</v>
      </c>
      <c r="P118" s="91">
        <v>0</v>
      </c>
      <c r="Q118" s="91">
        <v>34</v>
      </c>
      <c r="R118" s="3">
        <v>2100.6999999999998</v>
      </c>
      <c r="S118" s="91">
        <v>34</v>
      </c>
      <c r="T118" s="3">
        <v>1900</v>
      </c>
      <c r="U118" s="91">
        <v>27.5</v>
      </c>
      <c r="V118" s="2">
        <v>42460</v>
      </c>
      <c r="W118" s="2">
        <v>42464</v>
      </c>
      <c r="X118" s="91" t="s">
        <v>511</v>
      </c>
      <c r="Y118" s="91" t="s">
        <v>512</v>
      </c>
      <c r="Z118" s="91" t="s">
        <v>34</v>
      </c>
      <c r="AA118" s="4" t="s">
        <v>35</v>
      </c>
      <c r="AB118" s="4"/>
      <c r="AC118" s="4"/>
      <c r="AD118" s="4"/>
      <c r="AE118" s="6">
        <f t="shared" si="6"/>
        <v>2</v>
      </c>
      <c r="AF118" s="6" t="str">
        <f t="shared" si="7"/>
        <v/>
      </c>
      <c r="AG118" s="6" t="str">
        <f t="shared" si="8"/>
        <v/>
      </c>
      <c r="AH118" s="15" t="str">
        <f>IF(ISNA(VLOOKUP(A118,'offre secrétariat'!A:F,5,FALSE)),"",(VLOOKUP(A118,'offre secrétariat'!A:F,5,FALSE)))</f>
        <v/>
      </c>
      <c r="AI118" s="101" t="str">
        <f t="shared" si="9"/>
        <v/>
      </c>
      <c r="AJ118" s="5" t="str">
        <f t="shared" si="10"/>
        <v/>
      </c>
      <c r="AK118" s="4" t="str">
        <f t="shared" si="11"/>
        <v/>
      </c>
    </row>
    <row r="119" spans="1:37" x14ac:dyDescent="0.25">
      <c r="A119" s="91" t="s">
        <v>516</v>
      </c>
      <c r="B119" s="91">
        <v>160016</v>
      </c>
      <c r="C119" s="95">
        <v>4</v>
      </c>
      <c r="D119" s="91" t="s">
        <v>517</v>
      </c>
      <c r="E119" s="91" t="s">
        <v>65</v>
      </c>
      <c r="F119" s="95" t="s">
        <v>80</v>
      </c>
      <c r="G119" s="3">
        <v>21920</v>
      </c>
      <c r="H119" s="2">
        <v>42415</v>
      </c>
      <c r="I119" s="2">
        <v>42440</v>
      </c>
      <c r="J119" s="2">
        <v>42440</v>
      </c>
      <c r="K119" s="2">
        <v>42551</v>
      </c>
      <c r="L119" s="91" t="s">
        <v>31</v>
      </c>
      <c r="M119" s="91">
        <v>0</v>
      </c>
      <c r="N119" s="91">
        <v>160016</v>
      </c>
      <c r="P119" s="91">
        <v>0</v>
      </c>
      <c r="Q119" s="91">
        <v>1</v>
      </c>
      <c r="R119" s="3">
        <v>21940.5</v>
      </c>
      <c r="S119" s="91">
        <v>1</v>
      </c>
      <c r="T119" s="3">
        <v>21920</v>
      </c>
      <c r="U119" s="91">
        <v>0</v>
      </c>
      <c r="X119" s="91" t="s">
        <v>518</v>
      </c>
      <c r="Y119" s="91" t="s">
        <v>519</v>
      </c>
      <c r="Z119" s="91" t="s">
        <v>520</v>
      </c>
      <c r="AA119" s="4" t="s">
        <v>35</v>
      </c>
      <c r="AB119" s="4"/>
      <c r="AC119" s="4"/>
      <c r="AD119" s="4"/>
      <c r="AE119" s="6">
        <f t="shared" si="6"/>
        <v>3</v>
      </c>
      <c r="AF119" s="6" t="str">
        <f t="shared" si="7"/>
        <v/>
      </c>
      <c r="AG119" s="6" t="str">
        <f t="shared" si="8"/>
        <v>o</v>
      </c>
      <c r="AH119" s="15">
        <f>IF(ISNA(VLOOKUP(A119,'offre secrétariat'!A:F,5,FALSE)),"",(VLOOKUP(A119,'offre secrétariat'!A:F,5,FALSE)))</f>
        <v>42439</v>
      </c>
      <c r="AI119" s="101" t="str">
        <f t="shared" si="9"/>
        <v>T</v>
      </c>
      <c r="AJ119" s="5">
        <f t="shared" si="10"/>
        <v>42437</v>
      </c>
      <c r="AK119" s="4" t="str">
        <f t="shared" si="11"/>
        <v>R</v>
      </c>
    </row>
    <row r="120" spans="1:37" x14ac:dyDescent="0.25">
      <c r="A120" s="91" t="s">
        <v>521</v>
      </c>
      <c r="C120" s="95">
        <v>3</v>
      </c>
      <c r="D120" s="91" t="s">
        <v>522</v>
      </c>
      <c r="E120" s="91" t="s">
        <v>188</v>
      </c>
      <c r="F120" s="95" t="s">
        <v>523</v>
      </c>
      <c r="G120" s="91">
        <v>0</v>
      </c>
      <c r="H120" s="2">
        <v>42415</v>
      </c>
      <c r="I120" s="2">
        <v>42433</v>
      </c>
      <c r="J120" s="2">
        <v>42433</v>
      </c>
      <c r="K120" s="2">
        <v>42444</v>
      </c>
      <c r="L120" s="91" t="s">
        <v>907</v>
      </c>
      <c r="M120" s="91">
        <v>45</v>
      </c>
      <c r="P120" s="91">
        <v>0</v>
      </c>
      <c r="Q120" s="91">
        <v>0</v>
      </c>
      <c r="R120" s="91">
        <v>0</v>
      </c>
      <c r="S120" s="91">
        <v>0</v>
      </c>
      <c r="T120" s="91">
        <v>0</v>
      </c>
      <c r="U120" s="91">
        <v>0</v>
      </c>
      <c r="X120" s="91" t="s">
        <v>524</v>
      </c>
      <c r="Y120" s="91" t="s">
        <v>525</v>
      </c>
      <c r="Z120" s="91" t="s">
        <v>526</v>
      </c>
      <c r="AA120" s="4" t="s">
        <v>35</v>
      </c>
      <c r="AB120" s="4"/>
      <c r="AC120" s="4"/>
      <c r="AD120" s="4"/>
      <c r="AE120" s="6">
        <f t="shared" si="6"/>
        <v>3</v>
      </c>
      <c r="AF120" s="6" t="str">
        <f t="shared" si="7"/>
        <v/>
      </c>
      <c r="AG120" s="6" t="str">
        <f t="shared" si="8"/>
        <v>o</v>
      </c>
      <c r="AH120" s="15">
        <f>IF(ISNA(VLOOKUP(A120,'offre secrétariat'!A:F,5,FALSE)),"",(VLOOKUP(A120,'offre secrétariat'!A:F,5,FALSE)))</f>
        <v>42430</v>
      </c>
      <c r="AI120" s="101" t="str">
        <f t="shared" si="9"/>
        <v>T</v>
      </c>
      <c r="AJ120" s="5">
        <f t="shared" si="10"/>
        <v>42430</v>
      </c>
      <c r="AK120" s="4" t="str">
        <f t="shared" si="11"/>
        <v>R</v>
      </c>
    </row>
    <row r="121" spans="1:37" x14ac:dyDescent="0.25">
      <c r="A121" s="91" t="s">
        <v>527</v>
      </c>
      <c r="B121" s="91">
        <v>160105</v>
      </c>
      <c r="C121" s="95">
        <v>4</v>
      </c>
      <c r="D121" s="91" t="s">
        <v>528</v>
      </c>
      <c r="E121" s="91" t="s">
        <v>51</v>
      </c>
      <c r="F121" s="95" t="s">
        <v>52</v>
      </c>
      <c r="G121" s="3">
        <v>9675</v>
      </c>
      <c r="H121" s="2">
        <v>42416</v>
      </c>
      <c r="I121" s="2">
        <v>42416</v>
      </c>
      <c r="J121" s="2">
        <v>42416</v>
      </c>
      <c r="K121" s="2">
        <v>42422</v>
      </c>
      <c r="L121" s="91" t="s">
        <v>907</v>
      </c>
      <c r="M121" s="91">
        <v>50</v>
      </c>
      <c r="N121" s="91">
        <v>160105</v>
      </c>
      <c r="P121" s="91">
        <v>0</v>
      </c>
      <c r="Q121" s="91">
        <v>148</v>
      </c>
      <c r="R121" s="3">
        <v>9676.73</v>
      </c>
      <c r="S121" s="91">
        <v>148</v>
      </c>
      <c r="T121" s="3">
        <v>9675</v>
      </c>
      <c r="U121" s="91">
        <v>125.25</v>
      </c>
      <c r="V121" s="2">
        <v>42429</v>
      </c>
      <c r="W121" s="2">
        <v>42433</v>
      </c>
      <c r="X121" s="91" t="s">
        <v>316</v>
      </c>
      <c r="Y121" s="91" t="s">
        <v>529</v>
      </c>
      <c r="Z121" s="91" t="s">
        <v>55</v>
      </c>
      <c r="AA121" s="4" t="s">
        <v>35</v>
      </c>
      <c r="AB121" s="4"/>
      <c r="AC121" s="4"/>
      <c r="AD121" s="4"/>
      <c r="AE121" s="6">
        <f t="shared" si="6"/>
        <v>2</v>
      </c>
      <c r="AF121" s="6" t="str">
        <f t="shared" si="7"/>
        <v/>
      </c>
      <c r="AG121" s="6" t="str">
        <f t="shared" si="8"/>
        <v>o</v>
      </c>
      <c r="AH121" s="15">
        <f>IF(ISNA(VLOOKUP(A121,'offre secrétariat'!A:F,5,FALSE)),"",(VLOOKUP(A121,'offre secrétariat'!A:F,5,FALSE)))</f>
        <v>42415</v>
      </c>
      <c r="AI121" s="101" t="str">
        <f t="shared" si="9"/>
        <v>T</v>
      </c>
      <c r="AJ121" s="5">
        <f t="shared" si="10"/>
        <v>42413</v>
      </c>
      <c r="AK121" s="4" t="str">
        <f t="shared" si="11"/>
        <v>R</v>
      </c>
    </row>
    <row r="122" spans="1:37" x14ac:dyDescent="0.25">
      <c r="A122" s="91" t="s">
        <v>533</v>
      </c>
      <c r="C122" s="95">
        <v>3</v>
      </c>
      <c r="D122" s="91" t="s">
        <v>534</v>
      </c>
      <c r="E122" s="91" t="s">
        <v>65</v>
      </c>
      <c r="F122" s="95" t="s">
        <v>80</v>
      </c>
      <c r="G122" s="3">
        <v>111160</v>
      </c>
      <c r="H122" s="2">
        <v>42417</v>
      </c>
      <c r="I122" s="2">
        <v>42450</v>
      </c>
      <c r="J122" s="2">
        <v>42450</v>
      </c>
      <c r="K122" s="2">
        <v>42644</v>
      </c>
      <c r="L122" s="91" t="s">
        <v>31</v>
      </c>
      <c r="M122" s="91">
        <v>30</v>
      </c>
      <c r="P122" s="91">
        <v>0</v>
      </c>
      <c r="Q122" s="91">
        <v>835</v>
      </c>
      <c r="R122" s="3">
        <v>111163.68</v>
      </c>
      <c r="S122" s="91">
        <v>0</v>
      </c>
      <c r="T122" s="91">
        <v>0</v>
      </c>
      <c r="U122" s="91">
        <v>0</v>
      </c>
      <c r="X122" s="91" t="s">
        <v>81</v>
      </c>
      <c r="Y122" s="91" t="s">
        <v>535</v>
      </c>
      <c r="Z122" s="91" t="s">
        <v>536</v>
      </c>
      <c r="AA122" s="4" t="s">
        <v>35</v>
      </c>
      <c r="AB122" s="4"/>
      <c r="AC122" s="4"/>
      <c r="AD122" s="4"/>
      <c r="AE122" s="6">
        <f t="shared" si="6"/>
        <v>3</v>
      </c>
      <c r="AF122" s="6" t="str">
        <f t="shared" si="7"/>
        <v/>
      </c>
      <c r="AG122" s="6" t="str">
        <f t="shared" si="8"/>
        <v>o</v>
      </c>
      <c r="AH122" s="15">
        <f>IF(ISNA(VLOOKUP(A122,'offre secrétariat'!A:F,5,FALSE)),"",(VLOOKUP(A122,'offre secrétariat'!A:F,5,FALSE)))</f>
        <v>42450</v>
      </c>
      <c r="AI122" s="101" t="str">
        <f t="shared" si="9"/>
        <v>J</v>
      </c>
      <c r="AJ122" s="5">
        <f t="shared" si="10"/>
        <v>42447</v>
      </c>
      <c r="AK122" s="4" t="str">
        <f t="shared" si="11"/>
        <v>J</v>
      </c>
    </row>
    <row r="123" spans="1:37" x14ac:dyDescent="0.25">
      <c r="A123" s="91" t="s">
        <v>537</v>
      </c>
      <c r="C123" s="95">
        <v>3</v>
      </c>
      <c r="D123" s="91" t="s">
        <v>538</v>
      </c>
      <c r="E123" s="91" t="s">
        <v>58</v>
      </c>
      <c r="F123" s="95" t="s">
        <v>30</v>
      </c>
      <c r="G123" s="3">
        <v>8680</v>
      </c>
      <c r="H123" s="2">
        <v>42417</v>
      </c>
      <c r="I123" s="2">
        <v>42424</v>
      </c>
      <c r="J123" s="2">
        <v>42419</v>
      </c>
      <c r="K123" s="2">
        <v>42461</v>
      </c>
      <c r="L123" s="91" t="s">
        <v>31</v>
      </c>
      <c r="M123" s="91">
        <v>30</v>
      </c>
      <c r="P123" s="91">
        <v>0</v>
      </c>
      <c r="Q123" s="91">
        <v>136</v>
      </c>
      <c r="R123" s="3">
        <v>8678.2800000000007</v>
      </c>
      <c r="S123" s="91">
        <v>0</v>
      </c>
      <c r="T123" s="3">
        <v>0</v>
      </c>
      <c r="U123" s="91">
        <v>0</v>
      </c>
      <c r="V123" s="2"/>
      <c r="W123" s="2"/>
      <c r="X123" s="91" t="s">
        <v>539</v>
      </c>
      <c r="Y123" s="91" t="s">
        <v>476</v>
      </c>
      <c r="Z123" s="91" t="s">
        <v>62</v>
      </c>
      <c r="AA123" s="4" t="s">
        <v>35</v>
      </c>
      <c r="AB123" s="4"/>
      <c r="AC123" s="4"/>
      <c r="AD123" s="4"/>
      <c r="AE123" s="6">
        <f t="shared" si="6"/>
        <v>2</v>
      </c>
      <c r="AF123" s="6" t="str">
        <f t="shared" si="7"/>
        <v/>
      </c>
      <c r="AG123" s="6" t="str">
        <f t="shared" si="8"/>
        <v/>
      </c>
      <c r="AH123" s="15" t="str">
        <f>IF(ISNA(VLOOKUP(A123,'offre secrétariat'!A:F,5,FALSE)),"",(VLOOKUP(A123,'offre secrétariat'!A:F,5,FALSE)))</f>
        <v/>
      </c>
      <c r="AI123" s="101" t="str">
        <f t="shared" si="9"/>
        <v/>
      </c>
      <c r="AJ123" s="5">
        <f t="shared" si="10"/>
        <v>42421</v>
      </c>
      <c r="AK123" s="4" t="str">
        <f t="shared" si="11"/>
        <v/>
      </c>
    </row>
    <row r="124" spans="1:37" x14ac:dyDescent="0.25">
      <c r="A124" s="91" t="s">
        <v>540</v>
      </c>
      <c r="B124" s="91">
        <v>160260</v>
      </c>
      <c r="C124" s="95">
        <v>4</v>
      </c>
      <c r="D124" s="91" t="s">
        <v>541</v>
      </c>
      <c r="E124" s="91" t="s">
        <v>29</v>
      </c>
      <c r="F124" s="95" t="s">
        <v>30</v>
      </c>
      <c r="G124" s="3">
        <v>785</v>
      </c>
      <c r="H124" s="2">
        <v>42417</v>
      </c>
      <c r="I124" s="2">
        <v>42418</v>
      </c>
      <c r="J124" s="2">
        <v>42418</v>
      </c>
      <c r="K124" s="2">
        <v>42424</v>
      </c>
      <c r="L124" s="91" t="s">
        <v>31</v>
      </c>
      <c r="M124" s="91">
        <v>30</v>
      </c>
      <c r="N124" s="91">
        <v>160260</v>
      </c>
      <c r="P124" s="91">
        <v>0</v>
      </c>
      <c r="Q124" s="91">
        <v>12</v>
      </c>
      <c r="R124" s="3">
        <v>784.08</v>
      </c>
      <c r="S124" s="91">
        <v>12</v>
      </c>
      <c r="T124" s="3">
        <v>785</v>
      </c>
      <c r="U124" s="91">
        <v>10.5</v>
      </c>
      <c r="V124" s="2">
        <v>42429</v>
      </c>
      <c r="W124" s="2">
        <v>42429</v>
      </c>
      <c r="X124" s="91" t="s">
        <v>32</v>
      </c>
      <c r="Y124" s="91" t="s">
        <v>140</v>
      </c>
      <c r="Z124" s="91" t="s">
        <v>34</v>
      </c>
      <c r="AA124" s="4" t="s">
        <v>35</v>
      </c>
      <c r="AB124" s="4"/>
      <c r="AC124" s="4"/>
      <c r="AD124" s="4"/>
      <c r="AE124" s="6">
        <f t="shared" si="6"/>
        <v>2</v>
      </c>
      <c r="AF124" s="6" t="str">
        <f t="shared" si="7"/>
        <v/>
      </c>
      <c r="AG124" s="6" t="str">
        <f t="shared" si="8"/>
        <v/>
      </c>
      <c r="AH124" s="15" t="str">
        <f>IF(ISNA(VLOOKUP(A124,'offre secrétariat'!A:F,5,FALSE)),"",(VLOOKUP(A124,'offre secrétariat'!A:F,5,FALSE)))</f>
        <v/>
      </c>
      <c r="AI124" s="101" t="str">
        <f t="shared" si="9"/>
        <v/>
      </c>
      <c r="AJ124" s="5">
        <f t="shared" si="10"/>
        <v>42415</v>
      </c>
      <c r="AK124" s="4" t="str">
        <f t="shared" si="11"/>
        <v/>
      </c>
    </row>
    <row r="125" spans="1:37" x14ac:dyDescent="0.25">
      <c r="A125" s="91" t="s">
        <v>542</v>
      </c>
      <c r="C125" s="95">
        <v>3</v>
      </c>
      <c r="D125" s="91" t="s">
        <v>543</v>
      </c>
      <c r="E125" s="91" t="s">
        <v>29</v>
      </c>
      <c r="F125" s="95" t="s">
        <v>30</v>
      </c>
      <c r="G125" s="3">
        <v>940</v>
      </c>
      <c r="H125" s="2">
        <v>42417</v>
      </c>
      <c r="I125" s="2">
        <v>42418</v>
      </c>
      <c r="J125" s="2">
        <v>42418</v>
      </c>
      <c r="K125" s="2">
        <v>42424</v>
      </c>
      <c r="L125" s="91" t="s">
        <v>31</v>
      </c>
      <c r="M125" s="91">
        <v>30</v>
      </c>
      <c r="P125" s="91">
        <v>0</v>
      </c>
      <c r="Q125" s="91">
        <v>12</v>
      </c>
      <c r="R125" s="3">
        <v>936.4</v>
      </c>
      <c r="S125" s="91">
        <v>0</v>
      </c>
      <c r="T125" s="91">
        <v>0</v>
      </c>
      <c r="U125" s="91">
        <v>0</v>
      </c>
      <c r="X125" s="91" t="s">
        <v>32</v>
      </c>
      <c r="Y125" s="91" t="s">
        <v>140</v>
      </c>
      <c r="Z125" s="91" t="s">
        <v>34</v>
      </c>
      <c r="AA125" s="4" t="s">
        <v>35</v>
      </c>
      <c r="AB125" s="4"/>
      <c r="AC125" s="4"/>
      <c r="AD125" s="4"/>
      <c r="AE125" s="6">
        <f t="shared" si="6"/>
        <v>2</v>
      </c>
      <c r="AF125" s="6" t="str">
        <f t="shared" si="7"/>
        <v/>
      </c>
      <c r="AG125" s="6" t="str">
        <f t="shared" si="8"/>
        <v/>
      </c>
      <c r="AH125" s="15" t="str">
        <f>IF(ISNA(VLOOKUP(A125,'offre secrétariat'!A:F,5,FALSE)),"",(VLOOKUP(A125,'offre secrétariat'!A:F,5,FALSE)))</f>
        <v/>
      </c>
      <c r="AI125" s="101" t="str">
        <f t="shared" si="9"/>
        <v/>
      </c>
      <c r="AJ125" s="5">
        <f t="shared" si="10"/>
        <v>42415</v>
      </c>
      <c r="AK125" s="4" t="str">
        <f t="shared" si="11"/>
        <v/>
      </c>
    </row>
    <row r="126" spans="1:37" x14ac:dyDescent="0.25">
      <c r="A126" s="91" t="s">
        <v>544</v>
      </c>
      <c r="C126" s="95">
        <v>3</v>
      </c>
      <c r="D126" s="91" t="s">
        <v>545</v>
      </c>
      <c r="E126" s="91" t="s">
        <v>29</v>
      </c>
      <c r="F126" s="95" t="s">
        <v>30</v>
      </c>
      <c r="G126" s="3">
        <v>6485</v>
      </c>
      <c r="H126" s="2">
        <v>42417</v>
      </c>
      <c r="I126" s="2">
        <v>42418</v>
      </c>
      <c r="J126" s="2">
        <v>42418</v>
      </c>
      <c r="K126" s="2">
        <v>42424</v>
      </c>
      <c r="L126" s="91" t="s">
        <v>31</v>
      </c>
      <c r="M126" s="91">
        <v>30</v>
      </c>
      <c r="P126" s="91">
        <v>0</v>
      </c>
      <c r="Q126" s="91">
        <v>96</v>
      </c>
      <c r="R126" s="3">
        <v>6485.68</v>
      </c>
      <c r="S126" s="91">
        <v>0</v>
      </c>
      <c r="T126" s="3">
        <v>0</v>
      </c>
      <c r="U126" s="91">
        <v>0</v>
      </c>
      <c r="V126" s="2"/>
      <c r="W126" s="2"/>
      <c r="X126" s="91" t="s">
        <v>32</v>
      </c>
      <c r="Y126" s="91" t="s">
        <v>140</v>
      </c>
      <c r="Z126" s="91" t="s">
        <v>34</v>
      </c>
      <c r="AA126" s="4" t="s">
        <v>35</v>
      </c>
      <c r="AB126" s="4"/>
      <c r="AC126" s="4"/>
      <c r="AD126" s="4"/>
      <c r="AE126" s="6">
        <f t="shared" si="6"/>
        <v>2</v>
      </c>
      <c r="AF126" s="6" t="str">
        <f t="shared" si="7"/>
        <v/>
      </c>
      <c r="AG126" s="6" t="str">
        <f t="shared" si="8"/>
        <v/>
      </c>
      <c r="AH126" s="15" t="str">
        <f>IF(ISNA(VLOOKUP(A126,'offre secrétariat'!A:F,5,FALSE)),"",(VLOOKUP(A126,'offre secrétariat'!A:F,5,FALSE)))</f>
        <v/>
      </c>
      <c r="AI126" s="101" t="str">
        <f t="shared" si="9"/>
        <v/>
      </c>
      <c r="AJ126" s="5">
        <f t="shared" si="10"/>
        <v>42415</v>
      </c>
      <c r="AK126" s="4" t="str">
        <f t="shared" si="11"/>
        <v/>
      </c>
    </row>
    <row r="127" spans="1:37" x14ac:dyDescent="0.25">
      <c r="A127" s="91" t="s">
        <v>554</v>
      </c>
      <c r="C127" s="95">
        <v>3</v>
      </c>
      <c r="D127" s="91" t="s">
        <v>555</v>
      </c>
      <c r="E127" s="91" t="s">
        <v>29</v>
      </c>
      <c r="F127" s="95" t="s">
        <v>38</v>
      </c>
      <c r="G127" s="3">
        <v>2175</v>
      </c>
      <c r="H127" s="2">
        <v>42418</v>
      </c>
      <c r="J127" s="2">
        <v>42416</v>
      </c>
      <c r="L127" s="91" t="s">
        <v>31</v>
      </c>
      <c r="M127" s="91">
        <v>50</v>
      </c>
      <c r="P127" s="91">
        <v>0</v>
      </c>
      <c r="Q127" s="91">
        <v>46</v>
      </c>
      <c r="R127" s="3">
        <v>2174.87</v>
      </c>
      <c r="S127" s="91">
        <v>0</v>
      </c>
      <c r="T127" s="91">
        <v>0</v>
      </c>
      <c r="U127" s="91">
        <v>0</v>
      </c>
      <c r="X127" s="91" t="s">
        <v>556</v>
      </c>
      <c r="Y127" s="91" t="s">
        <v>48</v>
      </c>
      <c r="Z127" s="91" t="s">
        <v>34</v>
      </c>
      <c r="AA127" s="4" t="s">
        <v>35</v>
      </c>
      <c r="AB127" s="4"/>
      <c r="AC127" s="4"/>
      <c r="AD127" s="4"/>
      <c r="AE127" s="6">
        <f t="shared" si="6"/>
        <v>2</v>
      </c>
      <c r="AF127" s="6" t="str">
        <f t="shared" si="7"/>
        <v/>
      </c>
      <c r="AG127" s="6" t="str">
        <f t="shared" si="8"/>
        <v/>
      </c>
      <c r="AH127" s="15" t="str">
        <f>IF(ISNA(VLOOKUP(A127,'offre secrétariat'!A:F,5,FALSE)),"",(VLOOKUP(A127,'offre secrétariat'!A:F,5,FALSE)))</f>
        <v/>
      </c>
      <c r="AI127" s="101" t="str">
        <f t="shared" si="9"/>
        <v/>
      </c>
      <c r="AJ127" s="5" t="str">
        <f t="shared" si="10"/>
        <v/>
      </c>
      <c r="AK127" s="4" t="str">
        <f t="shared" si="11"/>
        <v/>
      </c>
    </row>
    <row r="128" spans="1:37" x14ac:dyDescent="0.25">
      <c r="A128" s="91" t="s">
        <v>557</v>
      </c>
      <c r="B128" s="91">
        <v>164225</v>
      </c>
      <c r="C128" s="95">
        <v>4</v>
      </c>
      <c r="D128" s="91" t="s">
        <v>558</v>
      </c>
      <c r="E128" s="91" t="s">
        <v>29</v>
      </c>
      <c r="F128" s="95" t="s">
        <v>38</v>
      </c>
      <c r="G128" s="3">
        <v>1950</v>
      </c>
      <c r="H128" s="2">
        <v>42418</v>
      </c>
      <c r="J128" s="2">
        <v>42416</v>
      </c>
      <c r="L128" s="91" t="s">
        <v>31</v>
      </c>
      <c r="M128" s="91">
        <v>50</v>
      </c>
      <c r="N128" s="91">
        <v>164225</v>
      </c>
      <c r="P128" s="91">
        <v>0</v>
      </c>
      <c r="Q128" s="91">
        <v>26</v>
      </c>
      <c r="R128" s="3">
        <v>1950.22</v>
      </c>
      <c r="S128" s="91">
        <v>26</v>
      </c>
      <c r="T128" s="3">
        <v>1950</v>
      </c>
      <c r="U128" s="91">
        <v>24.5</v>
      </c>
      <c r="V128" s="2">
        <v>42466</v>
      </c>
      <c r="W128" s="2">
        <v>42468</v>
      </c>
      <c r="X128" s="91" t="s">
        <v>559</v>
      </c>
      <c r="Y128" s="91" t="s">
        <v>48</v>
      </c>
      <c r="Z128" s="91" t="s">
        <v>34</v>
      </c>
      <c r="AA128" s="4" t="s">
        <v>35</v>
      </c>
      <c r="AB128" s="4"/>
      <c r="AC128" s="4"/>
      <c r="AD128" s="4"/>
      <c r="AE128" s="6">
        <f t="shared" si="6"/>
        <v>2</v>
      </c>
      <c r="AF128" s="6" t="str">
        <f t="shared" si="7"/>
        <v/>
      </c>
      <c r="AG128" s="6" t="str">
        <f t="shared" si="8"/>
        <v/>
      </c>
      <c r="AH128" s="15" t="str">
        <f>IF(ISNA(VLOOKUP(A128,'offre secrétariat'!A:F,5,FALSE)),"",(VLOOKUP(A128,'offre secrétariat'!A:F,5,FALSE)))</f>
        <v/>
      </c>
      <c r="AI128" s="101" t="str">
        <f t="shared" si="9"/>
        <v/>
      </c>
      <c r="AJ128" s="5" t="str">
        <f t="shared" si="10"/>
        <v/>
      </c>
      <c r="AK128" s="4" t="str">
        <f t="shared" si="11"/>
        <v/>
      </c>
    </row>
    <row r="129" spans="1:37" x14ac:dyDescent="0.25">
      <c r="A129" s="91" t="s">
        <v>560</v>
      </c>
      <c r="C129" s="95">
        <v>3</v>
      </c>
      <c r="D129" s="91" t="s">
        <v>561</v>
      </c>
      <c r="E129" s="91" t="s">
        <v>58</v>
      </c>
      <c r="F129" s="95" t="s">
        <v>59</v>
      </c>
      <c r="G129" s="3">
        <v>15689</v>
      </c>
      <c r="H129" s="2">
        <v>42418</v>
      </c>
      <c r="I129" s="2">
        <v>42440</v>
      </c>
      <c r="J129" s="2">
        <v>42440</v>
      </c>
      <c r="L129" s="91" t="s">
        <v>31</v>
      </c>
      <c r="M129" s="91">
        <v>0</v>
      </c>
      <c r="P129" s="91">
        <v>0</v>
      </c>
      <c r="Q129" s="91">
        <v>120</v>
      </c>
      <c r="R129" s="3">
        <v>15689.05</v>
      </c>
      <c r="S129" s="91">
        <v>0</v>
      </c>
      <c r="T129" s="91">
        <v>0</v>
      </c>
      <c r="U129" s="91">
        <v>0</v>
      </c>
      <c r="X129" s="91" t="s">
        <v>562</v>
      </c>
      <c r="Y129" s="91" t="s">
        <v>563</v>
      </c>
      <c r="Z129" s="91" t="s">
        <v>564</v>
      </c>
      <c r="AA129" s="4" t="s">
        <v>35</v>
      </c>
      <c r="AB129" s="4"/>
      <c r="AC129" s="4"/>
      <c r="AD129" s="4"/>
      <c r="AE129" s="6">
        <f t="shared" si="6"/>
        <v>3</v>
      </c>
      <c r="AF129" s="6" t="str">
        <f t="shared" si="7"/>
        <v/>
      </c>
      <c r="AG129" s="6" t="str">
        <f t="shared" si="8"/>
        <v>o</v>
      </c>
      <c r="AH129" s="15">
        <f>IF(ISNA(VLOOKUP(A129,'offre secrétariat'!A:F,5,FALSE)),"",(VLOOKUP(A129,'offre secrétariat'!A:F,5,FALSE)))</f>
        <v>42439</v>
      </c>
      <c r="AI129" s="101" t="str">
        <f t="shared" si="9"/>
        <v>T</v>
      </c>
      <c r="AJ129" s="5">
        <f t="shared" si="10"/>
        <v>42437</v>
      </c>
      <c r="AK129" s="4" t="str">
        <f t="shared" si="11"/>
        <v>R</v>
      </c>
    </row>
    <row r="130" spans="1:37" x14ac:dyDescent="0.25">
      <c r="A130" s="91" t="s">
        <v>565</v>
      </c>
      <c r="B130" s="91">
        <v>160252</v>
      </c>
      <c r="C130" s="95">
        <v>4</v>
      </c>
      <c r="D130" s="91" t="s">
        <v>566</v>
      </c>
      <c r="E130" s="91" t="s">
        <v>29</v>
      </c>
      <c r="F130" s="95" t="s">
        <v>30</v>
      </c>
      <c r="G130" s="3">
        <v>14200</v>
      </c>
      <c r="H130" s="2">
        <v>42419</v>
      </c>
      <c r="I130" s="2">
        <v>42426</v>
      </c>
      <c r="J130" s="2">
        <v>42420</v>
      </c>
      <c r="K130" s="2">
        <v>42409</v>
      </c>
      <c r="L130" s="91" t="s">
        <v>31</v>
      </c>
      <c r="M130" s="91">
        <v>50</v>
      </c>
      <c r="N130" s="91">
        <v>160252</v>
      </c>
      <c r="P130" s="91">
        <v>0</v>
      </c>
      <c r="Q130" s="91">
        <v>182</v>
      </c>
      <c r="R130" s="3">
        <v>14178.5</v>
      </c>
      <c r="S130" s="91">
        <v>183</v>
      </c>
      <c r="T130" s="3">
        <v>14853.96</v>
      </c>
      <c r="U130" s="91">
        <v>212</v>
      </c>
      <c r="V130" s="2">
        <v>42429</v>
      </c>
      <c r="W130" s="2">
        <v>42437</v>
      </c>
      <c r="X130" s="91" t="s">
        <v>32</v>
      </c>
      <c r="Y130" s="91" t="s">
        <v>163</v>
      </c>
      <c r="Z130" s="91" t="s">
        <v>34</v>
      </c>
      <c r="AA130" s="4" t="s">
        <v>35</v>
      </c>
      <c r="AB130" s="4"/>
      <c r="AC130" s="4"/>
      <c r="AD130" s="4"/>
      <c r="AE130" s="6">
        <f t="shared" ref="AE130:AE193" si="12">MONTH(J130)</f>
        <v>2</v>
      </c>
      <c r="AF130" s="6" t="str">
        <f t="shared" si="7"/>
        <v/>
      </c>
      <c r="AG130" s="6" t="str">
        <f t="shared" si="8"/>
        <v/>
      </c>
      <c r="AH130" s="15" t="str">
        <f>IF(ISNA(VLOOKUP(A130,'offre secrétariat'!A:F,5,FALSE)),"",(VLOOKUP(A130,'offre secrétariat'!A:F,5,FALSE)))</f>
        <v/>
      </c>
      <c r="AI130" s="101" t="str">
        <f t="shared" si="9"/>
        <v/>
      </c>
      <c r="AJ130" s="5">
        <f t="shared" si="10"/>
        <v>42423</v>
      </c>
      <c r="AK130" s="4" t="str">
        <f t="shared" si="11"/>
        <v/>
      </c>
    </row>
    <row r="131" spans="1:37" x14ac:dyDescent="0.25">
      <c r="A131" s="91" t="s">
        <v>567</v>
      </c>
      <c r="B131" s="91">
        <v>160266</v>
      </c>
      <c r="C131" s="95">
        <v>4</v>
      </c>
      <c r="D131" s="91" t="s">
        <v>568</v>
      </c>
      <c r="E131" s="91" t="s">
        <v>29</v>
      </c>
      <c r="F131" s="95" t="s">
        <v>30</v>
      </c>
      <c r="G131" s="3">
        <v>13965</v>
      </c>
      <c r="H131" s="2">
        <v>42422</v>
      </c>
      <c r="I131" s="2">
        <v>42423</v>
      </c>
      <c r="J131" s="2">
        <v>42423</v>
      </c>
      <c r="K131" s="2">
        <v>42433</v>
      </c>
      <c r="L131" s="91" t="s">
        <v>31</v>
      </c>
      <c r="M131" s="91">
        <v>90</v>
      </c>
      <c r="N131" s="91">
        <v>160266</v>
      </c>
      <c r="P131" s="91">
        <v>0</v>
      </c>
      <c r="Q131" s="91">
        <v>193</v>
      </c>
      <c r="R131" s="3">
        <v>16197.98</v>
      </c>
      <c r="S131" s="91">
        <v>178</v>
      </c>
      <c r="T131" s="3">
        <v>13965</v>
      </c>
      <c r="U131" s="91">
        <v>104</v>
      </c>
      <c r="V131" s="2">
        <v>42458</v>
      </c>
      <c r="W131" s="2">
        <v>42474</v>
      </c>
      <c r="X131" s="91" t="s">
        <v>32</v>
      </c>
      <c r="Y131" s="91" t="s">
        <v>33</v>
      </c>
      <c r="Z131" s="91" t="s">
        <v>34</v>
      </c>
      <c r="AA131" s="4" t="s">
        <v>35</v>
      </c>
      <c r="AB131" s="4"/>
      <c r="AC131" s="4"/>
      <c r="AD131" s="4"/>
      <c r="AE131" s="6">
        <f t="shared" si="12"/>
        <v>2</v>
      </c>
      <c r="AF131" s="6" t="str">
        <f t="shared" ref="AF131:AF194" si="13">IF(OR(J131&lt;=I131,I131=""),"",1)</f>
        <v/>
      </c>
      <c r="AG131" s="6" t="str">
        <f t="shared" ref="AG131:AG194" si="14">IF(AH131="","","o")</f>
        <v>o</v>
      </c>
      <c r="AH131" s="15">
        <f>IF(ISNA(VLOOKUP(A131,'offre secrétariat'!A:F,5,FALSE)),"",(VLOOKUP(A131,'offre secrétariat'!A:F,5,FALSE)))</f>
        <v>42422</v>
      </c>
      <c r="AI131" s="101" t="str">
        <f t="shared" ref="AI131:AI194" si="15">IF(AND(AH131&lt;I131,AH131&lt;&gt;I131,AH131&lt;&gt;""),"T",IF(AND(AH131=I131,AH131&lt;&gt;""),"J",IF(AH131="","","R")))</f>
        <v>T</v>
      </c>
      <c r="AJ131" s="5">
        <f t="shared" ref="AJ131:AJ194" si="16">IF(AND(I131="",AH131=""),"",I131-3)</f>
        <v>42420</v>
      </c>
      <c r="AK131" s="4" t="str">
        <f t="shared" ref="AK131:AK194" si="17">IF(AND(AH131&lt;I131,AH131&lt;AJ131,AH131&lt;&gt;I131,AH131&lt;&gt;AJ131,AH131&lt;&gt;""),"A",IF(AND(AJ131&lt;AH131&lt;I131,AH131&lt;&gt;I131,AH131&lt;&gt;""),"T",IF(AND(AH131=I131,AH131&lt;&gt;""),"J",IF(AH131="","","R"))))</f>
        <v>R</v>
      </c>
    </row>
    <row r="132" spans="1:37" x14ac:dyDescent="0.25">
      <c r="A132" s="91" t="s">
        <v>569</v>
      </c>
      <c r="C132" s="95">
        <v>3</v>
      </c>
      <c r="D132" s="91" t="s">
        <v>570</v>
      </c>
      <c r="E132" s="91" t="s">
        <v>29</v>
      </c>
      <c r="F132" s="95" t="s">
        <v>30</v>
      </c>
      <c r="G132" s="3">
        <v>22500</v>
      </c>
      <c r="H132" s="2">
        <v>42422</v>
      </c>
      <c r="I132" s="2">
        <v>42440</v>
      </c>
      <c r="J132" s="2">
        <v>42438</v>
      </c>
      <c r="K132" s="2">
        <v>42460</v>
      </c>
      <c r="L132" s="91" t="s">
        <v>31</v>
      </c>
      <c r="M132" s="91">
        <v>50</v>
      </c>
      <c r="P132" s="91">
        <v>0</v>
      </c>
      <c r="Q132" s="91">
        <v>307</v>
      </c>
      <c r="R132" s="3">
        <v>22516.560000000001</v>
      </c>
      <c r="S132" s="91">
        <v>0</v>
      </c>
      <c r="T132" s="3">
        <v>0</v>
      </c>
      <c r="U132" s="91">
        <v>0</v>
      </c>
      <c r="V132" s="2"/>
      <c r="W132" s="2"/>
      <c r="X132" s="91" t="s">
        <v>32</v>
      </c>
      <c r="Y132" s="91" t="s">
        <v>33</v>
      </c>
      <c r="Z132" s="91" t="s">
        <v>34</v>
      </c>
      <c r="AA132" s="4" t="s">
        <v>35</v>
      </c>
      <c r="AB132" s="4"/>
      <c r="AC132" s="4"/>
      <c r="AD132" s="4"/>
      <c r="AE132" s="6">
        <f t="shared" si="12"/>
        <v>3</v>
      </c>
      <c r="AF132" s="6" t="str">
        <f t="shared" si="13"/>
        <v/>
      </c>
      <c r="AG132" s="6" t="str">
        <f t="shared" si="14"/>
        <v>o</v>
      </c>
      <c r="AH132" s="15">
        <f>IF(ISNA(VLOOKUP(A132,'offre secrétariat'!A:F,5,FALSE)),"",(VLOOKUP(A132,'offre secrétariat'!A:F,5,FALSE)))</f>
        <v>42438</v>
      </c>
      <c r="AI132" s="101" t="str">
        <f t="shared" si="15"/>
        <v>T</v>
      </c>
      <c r="AJ132" s="5">
        <f t="shared" si="16"/>
        <v>42437</v>
      </c>
      <c r="AK132" s="4" t="str">
        <f t="shared" si="17"/>
        <v>R</v>
      </c>
    </row>
    <row r="133" spans="1:37" x14ac:dyDescent="0.25">
      <c r="A133" s="91" t="s">
        <v>571</v>
      </c>
      <c r="B133" s="91">
        <v>160618</v>
      </c>
      <c r="C133" s="95">
        <v>4</v>
      </c>
      <c r="D133" s="91" t="s">
        <v>572</v>
      </c>
      <c r="E133" s="91" t="s">
        <v>58</v>
      </c>
      <c r="F133" s="95" t="s">
        <v>59</v>
      </c>
      <c r="G133" s="3">
        <v>6575</v>
      </c>
      <c r="H133" s="2">
        <v>42423</v>
      </c>
      <c r="I133" s="2">
        <v>42433</v>
      </c>
      <c r="J133" s="2">
        <v>42423</v>
      </c>
      <c r="K133" s="2">
        <v>42436</v>
      </c>
      <c r="L133" s="91" t="s">
        <v>31</v>
      </c>
      <c r="M133" s="91">
        <v>65</v>
      </c>
      <c r="N133" s="91">
        <v>160618</v>
      </c>
      <c r="P133" s="91">
        <v>0</v>
      </c>
      <c r="Q133" s="91">
        <v>48</v>
      </c>
      <c r="R133" s="3">
        <v>5591.01</v>
      </c>
      <c r="S133" s="91">
        <v>48</v>
      </c>
      <c r="T133" s="3">
        <v>6575</v>
      </c>
      <c r="U133" s="91">
        <v>71</v>
      </c>
      <c r="V133" s="2">
        <v>42461</v>
      </c>
      <c r="W133" s="2">
        <v>42465</v>
      </c>
      <c r="X133" s="91" t="s">
        <v>100</v>
      </c>
      <c r="Y133" s="91" t="s">
        <v>337</v>
      </c>
      <c r="Z133" s="91" t="s">
        <v>202</v>
      </c>
      <c r="AA133" s="4" t="s">
        <v>35</v>
      </c>
      <c r="AB133" s="4"/>
      <c r="AC133" s="4"/>
      <c r="AD133" s="4"/>
      <c r="AE133" s="6">
        <f t="shared" si="12"/>
        <v>2</v>
      </c>
      <c r="AF133" s="6" t="str">
        <f t="shared" si="13"/>
        <v/>
      </c>
      <c r="AG133" s="6" t="str">
        <f t="shared" si="14"/>
        <v/>
      </c>
      <c r="AH133" s="15" t="str">
        <f>IF(ISNA(VLOOKUP(A133,'offre secrétariat'!A:F,5,FALSE)),"",(VLOOKUP(A133,'offre secrétariat'!A:F,5,FALSE)))</f>
        <v/>
      </c>
      <c r="AI133" s="101" t="str">
        <f t="shared" si="15"/>
        <v/>
      </c>
      <c r="AJ133" s="5">
        <f t="shared" si="16"/>
        <v>42430</v>
      </c>
      <c r="AK133" s="4" t="str">
        <f t="shared" si="17"/>
        <v/>
      </c>
    </row>
    <row r="134" spans="1:37" x14ac:dyDescent="0.25">
      <c r="A134" s="91" t="s">
        <v>573</v>
      </c>
      <c r="C134" s="95">
        <v>4</v>
      </c>
      <c r="D134" s="91" t="s">
        <v>574</v>
      </c>
      <c r="E134" s="91" t="s">
        <v>58</v>
      </c>
      <c r="F134" s="95" t="s">
        <v>59</v>
      </c>
      <c r="G134" s="3">
        <v>9420</v>
      </c>
      <c r="H134" s="2">
        <v>42423</v>
      </c>
      <c r="I134" s="2">
        <v>42527</v>
      </c>
      <c r="J134" s="2">
        <v>42423</v>
      </c>
      <c r="K134" s="2">
        <v>42529</v>
      </c>
      <c r="L134" s="91" t="s">
        <v>31</v>
      </c>
      <c r="M134" s="91">
        <v>60</v>
      </c>
      <c r="P134" s="91">
        <v>0</v>
      </c>
      <c r="Q134" s="91">
        <v>160</v>
      </c>
      <c r="R134" s="3">
        <v>9419.2099999999991</v>
      </c>
      <c r="S134" s="91">
        <v>0</v>
      </c>
      <c r="T134" s="91">
        <v>0</v>
      </c>
      <c r="U134" s="91">
        <v>0</v>
      </c>
      <c r="X134" s="91" t="s">
        <v>100</v>
      </c>
      <c r="Y134" s="91" t="s">
        <v>337</v>
      </c>
      <c r="Z134" s="91" t="s">
        <v>202</v>
      </c>
      <c r="AA134" s="4" t="s">
        <v>35</v>
      </c>
      <c r="AB134" s="4"/>
      <c r="AC134" s="4"/>
      <c r="AD134" s="4"/>
      <c r="AE134" s="6">
        <f t="shared" si="12"/>
        <v>2</v>
      </c>
      <c r="AF134" s="6" t="str">
        <f t="shared" si="13"/>
        <v/>
      </c>
      <c r="AG134" s="6" t="str">
        <f t="shared" si="14"/>
        <v/>
      </c>
      <c r="AH134" s="15" t="str">
        <f>IF(ISNA(VLOOKUP(A134,'offre secrétariat'!A:F,5,FALSE)),"",(VLOOKUP(A134,'offre secrétariat'!A:F,5,FALSE)))</f>
        <v/>
      </c>
      <c r="AI134" s="101" t="str">
        <f t="shared" si="15"/>
        <v/>
      </c>
      <c r="AJ134" s="5">
        <f t="shared" si="16"/>
        <v>42524</v>
      </c>
      <c r="AK134" s="4" t="str">
        <f t="shared" si="17"/>
        <v/>
      </c>
    </row>
    <row r="135" spans="1:37" x14ac:dyDescent="0.25">
      <c r="A135" s="91" t="s">
        <v>575</v>
      </c>
      <c r="B135" s="91">
        <v>164226</v>
      </c>
      <c r="C135" s="95">
        <v>4</v>
      </c>
      <c r="D135" s="91" t="s">
        <v>576</v>
      </c>
      <c r="E135" s="91" t="s">
        <v>29</v>
      </c>
      <c r="F135" s="95" t="s">
        <v>38</v>
      </c>
      <c r="G135" s="3">
        <v>1850</v>
      </c>
      <c r="H135" s="2">
        <v>42423</v>
      </c>
      <c r="J135" s="2">
        <v>42423</v>
      </c>
      <c r="K135" s="2"/>
      <c r="L135" s="2" t="s">
        <v>31</v>
      </c>
      <c r="M135" s="2">
        <v>50</v>
      </c>
      <c r="N135" s="2">
        <v>164226</v>
      </c>
      <c r="P135" s="91">
        <v>0</v>
      </c>
      <c r="Q135" s="91">
        <v>5</v>
      </c>
      <c r="R135" s="3">
        <v>1951.4</v>
      </c>
      <c r="S135" s="91">
        <v>5</v>
      </c>
      <c r="T135" s="3">
        <v>1850</v>
      </c>
      <c r="U135" s="3">
        <v>4.5</v>
      </c>
      <c r="V135" s="2">
        <v>42440</v>
      </c>
      <c r="W135" s="2">
        <v>42440</v>
      </c>
      <c r="X135" s="91" t="s">
        <v>577</v>
      </c>
      <c r="Y135" s="91" t="s">
        <v>93</v>
      </c>
      <c r="Z135" s="91" t="s">
        <v>34</v>
      </c>
      <c r="AA135" s="4" t="s">
        <v>35</v>
      </c>
      <c r="AB135" s="4"/>
      <c r="AC135" s="4"/>
      <c r="AD135" s="4"/>
      <c r="AE135" s="6">
        <f t="shared" si="12"/>
        <v>2</v>
      </c>
      <c r="AF135" s="6" t="str">
        <f t="shared" si="13"/>
        <v/>
      </c>
      <c r="AG135" s="6" t="str">
        <f t="shared" si="14"/>
        <v/>
      </c>
      <c r="AH135" s="15" t="str">
        <f>IF(ISNA(VLOOKUP(A135,'offre secrétariat'!A:F,5,FALSE)),"",(VLOOKUP(A135,'offre secrétariat'!A:F,5,FALSE)))</f>
        <v/>
      </c>
      <c r="AI135" s="101" t="str">
        <f t="shared" si="15"/>
        <v/>
      </c>
      <c r="AJ135" s="5" t="str">
        <f t="shared" si="16"/>
        <v/>
      </c>
      <c r="AK135" s="4" t="str">
        <f t="shared" si="17"/>
        <v/>
      </c>
    </row>
    <row r="136" spans="1:37" x14ac:dyDescent="0.25">
      <c r="A136" s="91" t="s">
        <v>578</v>
      </c>
      <c r="C136" s="95">
        <v>3</v>
      </c>
      <c r="D136" s="91" t="s">
        <v>579</v>
      </c>
      <c r="E136" s="91" t="s">
        <v>29</v>
      </c>
      <c r="F136" s="95" t="s">
        <v>308</v>
      </c>
      <c r="G136" s="3">
        <v>27520</v>
      </c>
      <c r="H136" s="2">
        <v>42423</v>
      </c>
      <c r="I136" s="2"/>
      <c r="J136" s="2">
        <v>42423</v>
      </c>
      <c r="K136" s="2"/>
      <c r="L136" s="91" t="s">
        <v>31</v>
      </c>
      <c r="M136" s="91">
        <v>50</v>
      </c>
      <c r="P136" s="91">
        <v>0</v>
      </c>
      <c r="Q136" s="91">
        <v>0</v>
      </c>
      <c r="R136" s="3">
        <v>0</v>
      </c>
      <c r="S136" s="91">
        <v>0</v>
      </c>
      <c r="T136" s="3">
        <v>0</v>
      </c>
      <c r="U136" s="91">
        <v>0</v>
      </c>
      <c r="X136" s="91" t="s">
        <v>580</v>
      </c>
      <c r="Y136" s="91" t="s">
        <v>33</v>
      </c>
      <c r="Z136" s="91" t="s">
        <v>34</v>
      </c>
      <c r="AA136" s="4" t="s">
        <v>35</v>
      </c>
      <c r="AB136" s="4"/>
      <c r="AC136" s="4"/>
      <c r="AD136" s="4"/>
      <c r="AE136" s="6">
        <f t="shared" si="12"/>
        <v>2</v>
      </c>
      <c r="AF136" s="6" t="str">
        <f t="shared" si="13"/>
        <v/>
      </c>
      <c r="AG136" s="6" t="str">
        <f t="shared" si="14"/>
        <v>o</v>
      </c>
      <c r="AH136" s="15">
        <f>IF(ISNA(VLOOKUP(A136,'offre secrétariat'!A:F,5,FALSE)),"",(VLOOKUP(A136,'offre secrétariat'!A:F,5,FALSE)))</f>
        <v>42423</v>
      </c>
      <c r="AI136" s="101" t="str">
        <f t="shared" si="15"/>
        <v>R</v>
      </c>
      <c r="AJ136" s="5">
        <f t="shared" si="16"/>
        <v>-3</v>
      </c>
      <c r="AK136" s="4" t="str">
        <f t="shared" si="17"/>
        <v>R</v>
      </c>
    </row>
    <row r="137" spans="1:37" x14ac:dyDescent="0.25">
      <c r="A137" s="91" t="s">
        <v>588</v>
      </c>
      <c r="B137" s="91">
        <v>164227</v>
      </c>
      <c r="C137" s="95">
        <v>4</v>
      </c>
      <c r="D137" s="91" t="s">
        <v>589</v>
      </c>
      <c r="E137" s="91" t="s">
        <v>29</v>
      </c>
      <c r="F137" s="95" t="s">
        <v>38</v>
      </c>
      <c r="G137" s="3">
        <v>1480</v>
      </c>
      <c r="H137" s="2">
        <v>42423</v>
      </c>
      <c r="I137" s="2"/>
      <c r="J137" s="2">
        <v>42423</v>
      </c>
      <c r="K137" s="2"/>
      <c r="L137" s="91" t="s">
        <v>31</v>
      </c>
      <c r="M137" s="91">
        <v>50</v>
      </c>
      <c r="N137" s="91">
        <v>164227</v>
      </c>
      <c r="P137" s="91">
        <v>0</v>
      </c>
      <c r="Q137" s="91">
        <v>26</v>
      </c>
      <c r="R137" s="3">
        <v>1480.62</v>
      </c>
      <c r="S137" s="91">
        <v>26</v>
      </c>
      <c r="T137" s="3">
        <v>1480</v>
      </c>
      <c r="U137" s="91">
        <v>24</v>
      </c>
      <c r="V137" s="2">
        <v>42430</v>
      </c>
      <c r="W137" s="2">
        <v>42438</v>
      </c>
      <c r="X137" s="91" t="s">
        <v>590</v>
      </c>
      <c r="Y137" s="91" t="s">
        <v>48</v>
      </c>
      <c r="Z137" s="91" t="s">
        <v>34</v>
      </c>
      <c r="AA137" s="4" t="s">
        <v>35</v>
      </c>
      <c r="AB137" s="4"/>
      <c r="AC137" s="4"/>
      <c r="AD137" s="4"/>
      <c r="AE137" s="6">
        <f t="shared" si="12"/>
        <v>2</v>
      </c>
      <c r="AF137" s="6" t="str">
        <f t="shared" si="13"/>
        <v/>
      </c>
      <c r="AG137" s="6" t="str">
        <f t="shared" si="14"/>
        <v/>
      </c>
      <c r="AH137" s="15" t="str">
        <f>IF(ISNA(VLOOKUP(A137,'offre secrétariat'!A:F,5,FALSE)),"",(VLOOKUP(A137,'offre secrétariat'!A:F,5,FALSE)))</f>
        <v/>
      </c>
      <c r="AI137" s="101" t="str">
        <f t="shared" si="15"/>
        <v/>
      </c>
      <c r="AJ137" s="5" t="str">
        <f t="shared" si="16"/>
        <v/>
      </c>
      <c r="AK137" s="4" t="str">
        <f t="shared" si="17"/>
        <v/>
      </c>
    </row>
    <row r="138" spans="1:37" x14ac:dyDescent="0.25">
      <c r="A138" s="91" t="s">
        <v>591</v>
      </c>
      <c r="B138" s="91">
        <v>164228</v>
      </c>
      <c r="C138" s="95">
        <v>4</v>
      </c>
      <c r="D138" s="91" t="s">
        <v>592</v>
      </c>
      <c r="E138" s="91" t="s">
        <v>29</v>
      </c>
      <c r="F138" s="95" t="s">
        <v>38</v>
      </c>
      <c r="G138" s="3">
        <v>4695</v>
      </c>
      <c r="H138" s="2">
        <v>42423</v>
      </c>
      <c r="I138" s="2"/>
      <c r="J138" s="2">
        <v>42423</v>
      </c>
      <c r="K138" s="2"/>
      <c r="L138" s="91" t="s">
        <v>31</v>
      </c>
      <c r="M138" s="91">
        <v>50</v>
      </c>
      <c r="N138" s="91">
        <v>164228</v>
      </c>
      <c r="P138" s="91">
        <v>0</v>
      </c>
      <c r="Q138" s="91">
        <v>120</v>
      </c>
      <c r="R138" s="3">
        <v>5900.83</v>
      </c>
      <c r="S138" s="91">
        <v>80</v>
      </c>
      <c r="T138" s="3">
        <v>4695</v>
      </c>
      <c r="U138" s="91">
        <v>77.75</v>
      </c>
      <c r="V138" s="2">
        <v>42429</v>
      </c>
      <c r="W138" s="2">
        <v>42433</v>
      </c>
      <c r="X138" s="91" t="s">
        <v>593</v>
      </c>
      <c r="Y138" s="91" t="s">
        <v>48</v>
      </c>
      <c r="Z138" s="91" t="s">
        <v>34</v>
      </c>
      <c r="AA138" s="4" t="s">
        <v>35</v>
      </c>
      <c r="AB138" s="4"/>
      <c r="AC138" s="4"/>
      <c r="AD138" s="4"/>
      <c r="AE138" s="6">
        <f t="shared" si="12"/>
        <v>2</v>
      </c>
      <c r="AF138" s="6" t="str">
        <f t="shared" si="13"/>
        <v/>
      </c>
      <c r="AG138" s="6" t="str">
        <f t="shared" si="14"/>
        <v/>
      </c>
      <c r="AH138" s="15" t="str">
        <f>IF(ISNA(VLOOKUP(A138,'offre secrétariat'!A:F,5,FALSE)),"",(VLOOKUP(A138,'offre secrétariat'!A:F,5,FALSE)))</f>
        <v/>
      </c>
      <c r="AI138" s="101" t="str">
        <f t="shared" si="15"/>
        <v/>
      </c>
      <c r="AJ138" s="5" t="str">
        <f t="shared" si="16"/>
        <v/>
      </c>
      <c r="AK138" s="4" t="str">
        <f t="shared" si="17"/>
        <v/>
      </c>
    </row>
    <row r="139" spans="1:37" x14ac:dyDescent="0.25">
      <c r="A139" s="91" t="s">
        <v>594</v>
      </c>
      <c r="B139" s="91">
        <v>160262</v>
      </c>
      <c r="C139" s="95">
        <v>4</v>
      </c>
      <c r="D139" s="91" t="s">
        <v>595</v>
      </c>
      <c r="E139" s="91" t="s">
        <v>29</v>
      </c>
      <c r="F139" s="95" t="s">
        <v>30</v>
      </c>
      <c r="G139" s="3">
        <v>1813</v>
      </c>
      <c r="H139" s="2">
        <v>42424</v>
      </c>
      <c r="I139" s="2">
        <v>42426</v>
      </c>
      <c r="J139" s="2">
        <v>42426</v>
      </c>
      <c r="K139" s="2">
        <v>42444</v>
      </c>
      <c r="L139" s="91" t="s">
        <v>31</v>
      </c>
      <c r="M139" s="91">
        <v>30</v>
      </c>
      <c r="N139" s="91">
        <v>160262</v>
      </c>
      <c r="P139" s="91">
        <v>0</v>
      </c>
      <c r="Q139" s="91">
        <v>20</v>
      </c>
      <c r="R139" s="3">
        <v>1601.63</v>
      </c>
      <c r="S139" s="91">
        <v>20</v>
      </c>
      <c r="T139" s="3">
        <v>1813</v>
      </c>
      <c r="U139" s="91">
        <v>25</v>
      </c>
      <c r="V139" s="2">
        <v>42431</v>
      </c>
      <c r="W139" s="2">
        <v>42431</v>
      </c>
      <c r="X139" s="91" t="s">
        <v>32</v>
      </c>
      <c r="Y139" s="91" t="s">
        <v>140</v>
      </c>
      <c r="Z139" s="91" t="s">
        <v>34</v>
      </c>
      <c r="AA139" s="4" t="s">
        <v>35</v>
      </c>
      <c r="AB139" s="4"/>
      <c r="AC139" s="4"/>
      <c r="AD139" s="4"/>
      <c r="AE139" s="6">
        <f t="shared" si="12"/>
        <v>2</v>
      </c>
      <c r="AF139" s="6" t="str">
        <f t="shared" si="13"/>
        <v/>
      </c>
      <c r="AG139" s="6" t="str">
        <f t="shared" si="14"/>
        <v/>
      </c>
      <c r="AH139" s="15" t="str">
        <f>IF(ISNA(VLOOKUP(A139,'offre secrétariat'!A:F,5,FALSE)),"",(VLOOKUP(A139,'offre secrétariat'!A:F,5,FALSE)))</f>
        <v/>
      </c>
      <c r="AI139" s="101" t="str">
        <f t="shared" si="15"/>
        <v/>
      </c>
      <c r="AJ139" s="5">
        <f t="shared" si="16"/>
        <v>42423</v>
      </c>
      <c r="AK139" s="4" t="str">
        <f t="shared" si="17"/>
        <v/>
      </c>
    </row>
    <row r="140" spans="1:37" x14ac:dyDescent="0.25">
      <c r="A140" s="91" t="s">
        <v>596</v>
      </c>
      <c r="C140" s="95">
        <v>3</v>
      </c>
      <c r="D140" s="91" t="s">
        <v>597</v>
      </c>
      <c r="E140" s="91" t="s">
        <v>29</v>
      </c>
      <c r="F140" s="95" t="s">
        <v>30</v>
      </c>
      <c r="G140" s="3">
        <v>3550</v>
      </c>
      <c r="H140" s="2">
        <v>42424</v>
      </c>
      <c r="I140" s="2">
        <v>42426</v>
      </c>
      <c r="J140" s="2">
        <v>42426</v>
      </c>
      <c r="K140" s="2">
        <v>42444</v>
      </c>
      <c r="L140" s="91" t="s">
        <v>31</v>
      </c>
      <c r="M140" s="91">
        <v>30</v>
      </c>
      <c r="P140" s="91">
        <v>0</v>
      </c>
      <c r="Q140" s="91">
        <v>44</v>
      </c>
      <c r="R140" s="3">
        <v>3548.51</v>
      </c>
      <c r="S140" s="91">
        <v>0</v>
      </c>
      <c r="T140" s="91">
        <v>0</v>
      </c>
      <c r="U140" s="91">
        <v>0</v>
      </c>
      <c r="X140" s="91" t="s">
        <v>32</v>
      </c>
      <c r="Y140" s="91" t="s">
        <v>598</v>
      </c>
      <c r="Z140" s="91" t="s">
        <v>34</v>
      </c>
      <c r="AA140" s="4" t="s">
        <v>35</v>
      </c>
      <c r="AB140" s="4"/>
      <c r="AC140" s="4"/>
      <c r="AD140" s="4"/>
      <c r="AE140" s="6">
        <f t="shared" si="12"/>
        <v>2</v>
      </c>
      <c r="AF140" s="6" t="str">
        <f t="shared" si="13"/>
        <v/>
      </c>
      <c r="AG140" s="6" t="str">
        <f t="shared" si="14"/>
        <v/>
      </c>
      <c r="AH140" s="15" t="str">
        <f>IF(ISNA(VLOOKUP(A140,'offre secrétariat'!A:F,5,FALSE)),"",(VLOOKUP(A140,'offre secrétariat'!A:F,5,FALSE)))</f>
        <v/>
      </c>
      <c r="AI140" s="101" t="str">
        <f t="shared" si="15"/>
        <v/>
      </c>
      <c r="AJ140" s="5">
        <f t="shared" si="16"/>
        <v>42423</v>
      </c>
      <c r="AK140" s="4" t="str">
        <f t="shared" si="17"/>
        <v/>
      </c>
    </row>
    <row r="141" spans="1:37" x14ac:dyDescent="0.25">
      <c r="A141" s="91" t="s">
        <v>599</v>
      </c>
      <c r="C141" s="95">
        <v>3</v>
      </c>
      <c r="D141" s="91" t="s">
        <v>600</v>
      </c>
      <c r="E141" s="91" t="s">
        <v>29</v>
      </c>
      <c r="F141" s="95" t="s">
        <v>30</v>
      </c>
      <c r="G141" s="3">
        <v>20400</v>
      </c>
      <c r="H141" s="2">
        <v>42424</v>
      </c>
      <c r="I141" s="2">
        <v>42433</v>
      </c>
      <c r="J141" s="2">
        <v>42432</v>
      </c>
      <c r="K141" s="2">
        <v>42460</v>
      </c>
      <c r="L141" s="91" t="s">
        <v>31</v>
      </c>
      <c r="M141" s="91">
        <v>30</v>
      </c>
      <c r="P141" s="91">
        <v>0</v>
      </c>
      <c r="Q141" s="91">
        <v>282</v>
      </c>
      <c r="R141" s="3">
        <v>20397.669999999998</v>
      </c>
      <c r="S141" s="91">
        <v>0</v>
      </c>
      <c r="T141" s="91">
        <v>0</v>
      </c>
      <c r="U141" s="91">
        <v>0</v>
      </c>
      <c r="X141" s="91" t="s">
        <v>32</v>
      </c>
      <c r="Y141" s="91" t="s">
        <v>140</v>
      </c>
      <c r="Z141" s="91" t="s">
        <v>34</v>
      </c>
      <c r="AA141" s="4" t="s">
        <v>35</v>
      </c>
      <c r="AB141" s="4"/>
      <c r="AC141" s="4"/>
      <c r="AD141" s="4"/>
      <c r="AE141" s="6">
        <f t="shared" si="12"/>
        <v>3</v>
      </c>
      <c r="AF141" s="6" t="str">
        <f t="shared" si="13"/>
        <v/>
      </c>
      <c r="AG141" s="6" t="str">
        <f t="shared" si="14"/>
        <v>o</v>
      </c>
      <c r="AH141" s="15">
        <f>IF(ISNA(VLOOKUP(A141,'offre secrétariat'!A:F,5,FALSE)),"",(VLOOKUP(A141,'offre secrétariat'!A:F,5,FALSE)))</f>
        <v>42432</v>
      </c>
      <c r="AI141" s="101" t="str">
        <f t="shared" si="15"/>
        <v>T</v>
      </c>
      <c r="AJ141" s="5">
        <f t="shared" si="16"/>
        <v>42430</v>
      </c>
      <c r="AK141" s="4" t="str">
        <f t="shared" si="17"/>
        <v>R</v>
      </c>
    </row>
    <row r="142" spans="1:37" x14ac:dyDescent="0.25">
      <c r="A142" s="91" t="s">
        <v>601</v>
      </c>
      <c r="B142" s="91">
        <v>160261</v>
      </c>
      <c r="C142" s="95">
        <v>4</v>
      </c>
      <c r="D142" s="91" t="s">
        <v>602</v>
      </c>
      <c r="E142" s="91" t="s">
        <v>29</v>
      </c>
      <c r="F142" s="95" t="s">
        <v>30</v>
      </c>
      <c r="G142" s="3">
        <v>900</v>
      </c>
      <c r="H142" s="2">
        <v>42424</v>
      </c>
      <c r="I142" s="2">
        <v>42425</v>
      </c>
      <c r="J142" s="2">
        <v>42424</v>
      </c>
      <c r="K142" s="2">
        <v>42426</v>
      </c>
      <c r="L142" s="91" t="s">
        <v>31</v>
      </c>
      <c r="M142" s="91">
        <v>30</v>
      </c>
      <c r="N142" s="91">
        <v>160261</v>
      </c>
      <c r="P142" s="91">
        <v>0</v>
      </c>
      <c r="Q142" s="91">
        <v>12</v>
      </c>
      <c r="R142" s="3">
        <v>900.87</v>
      </c>
      <c r="S142" s="91">
        <v>12</v>
      </c>
      <c r="T142" s="3">
        <v>900</v>
      </c>
      <c r="U142" s="91">
        <v>12</v>
      </c>
      <c r="V142" s="2">
        <v>42426</v>
      </c>
      <c r="W142" s="2">
        <v>42426</v>
      </c>
      <c r="X142" s="91" t="s">
        <v>32</v>
      </c>
      <c r="Y142" s="91" t="s">
        <v>603</v>
      </c>
      <c r="Z142" s="91" t="s">
        <v>604</v>
      </c>
      <c r="AA142" s="4" t="s">
        <v>35</v>
      </c>
      <c r="AB142" s="4"/>
      <c r="AC142" s="4"/>
      <c r="AD142" s="4"/>
      <c r="AE142" s="6">
        <f t="shared" si="12"/>
        <v>2</v>
      </c>
      <c r="AF142" s="6" t="str">
        <f t="shared" si="13"/>
        <v/>
      </c>
      <c r="AG142" s="6" t="str">
        <f t="shared" si="14"/>
        <v/>
      </c>
      <c r="AH142" s="15" t="str">
        <f>IF(ISNA(VLOOKUP(A142,'offre secrétariat'!A:F,5,FALSE)),"",(VLOOKUP(A142,'offre secrétariat'!A:F,5,FALSE)))</f>
        <v/>
      </c>
      <c r="AI142" s="101" t="str">
        <f t="shared" si="15"/>
        <v/>
      </c>
      <c r="AJ142" s="5">
        <f t="shared" si="16"/>
        <v>42422</v>
      </c>
      <c r="AK142" s="4" t="str">
        <f t="shared" si="17"/>
        <v/>
      </c>
    </row>
    <row r="143" spans="1:37" x14ac:dyDescent="0.25">
      <c r="A143" s="91" t="s">
        <v>605</v>
      </c>
      <c r="C143" s="95">
        <v>3</v>
      </c>
      <c r="D143" s="91" t="s">
        <v>606</v>
      </c>
      <c r="E143" s="91" t="s">
        <v>58</v>
      </c>
      <c r="F143" s="95" t="s">
        <v>30</v>
      </c>
      <c r="G143" s="3">
        <v>11090</v>
      </c>
      <c r="H143" s="2">
        <v>42424</v>
      </c>
      <c r="I143" s="2">
        <v>42431</v>
      </c>
      <c r="J143" s="2">
        <v>42426</v>
      </c>
      <c r="K143" s="2">
        <v>42475</v>
      </c>
      <c r="L143" s="91" t="s">
        <v>31</v>
      </c>
      <c r="M143" s="91">
        <v>30</v>
      </c>
      <c r="P143" s="91">
        <v>0</v>
      </c>
      <c r="Q143" s="91">
        <v>181</v>
      </c>
      <c r="R143" s="3">
        <v>11088.71</v>
      </c>
      <c r="S143" s="91">
        <v>0</v>
      </c>
      <c r="T143" s="91">
        <v>0</v>
      </c>
      <c r="U143" s="91">
        <v>0</v>
      </c>
      <c r="X143" s="91" t="s">
        <v>607</v>
      </c>
      <c r="Y143" s="91" t="s">
        <v>608</v>
      </c>
      <c r="Z143" s="91" t="s">
        <v>488</v>
      </c>
      <c r="AA143" s="4" t="s">
        <v>35</v>
      </c>
      <c r="AB143" s="4"/>
      <c r="AC143" s="4"/>
      <c r="AD143" s="4"/>
      <c r="AE143" s="6">
        <f t="shared" si="12"/>
        <v>2</v>
      </c>
      <c r="AF143" s="6" t="str">
        <f t="shared" si="13"/>
        <v/>
      </c>
      <c r="AG143" s="6" t="str">
        <f t="shared" si="14"/>
        <v/>
      </c>
      <c r="AH143" s="15" t="str">
        <f>IF(ISNA(VLOOKUP(A143,'offre secrétariat'!A:F,5,FALSE)),"",(VLOOKUP(A143,'offre secrétariat'!A:F,5,FALSE)))</f>
        <v/>
      </c>
      <c r="AI143" s="101" t="str">
        <f t="shared" si="15"/>
        <v/>
      </c>
      <c r="AJ143" s="5">
        <f t="shared" si="16"/>
        <v>42428</v>
      </c>
      <c r="AK143" s="4" t="str">
        <f t="shared" si="17"/>
        <v/>
      </c>
    </row>
    <row r="144" spans="1:37" x14ac:dyDescent="0.25">
      <c r="A144" s="91" t="s">
        <v>609</v>
      </c>
      <c r="B144" s="91">
        <v>160015</v>
      </c>
      <c r="C144" s="95">
        <v>4</v>
      </c>
      <c r="D144" s="91" t="s">
        <v>610</v>
      </c>
      <c r="E144" s="91" t="s">
        <v>65</v>
      </c>
      <c r="F144" s="95" t="s">
        <v>80</v>
      </c>
      <c r="G144" s="3">
        <v>10175</v>
      </c>
      <c r="H144" s="2">
        <v>42425</v>
      </c>
      <c r="I144" s="2">
        <v>42436</v>
      </c>
      <c r="J144" s="2">
        <v>42436</v>
      </c>
      <c r="K144" s="2">
        <v>42597</v>
      </c>
      <c r="L144" s="91" t="s">
        <v>31</v>
      </c>
      <c r="M144" s="91">
        <v>33</v>
      </c>
      <c r="N144" s="91">
        <v>160015</v>
      </c>
      <c r="P144" s="91">
        <v>0</v>
      </c>
      <c r="Q144" s="91">
        <v>138</v>
      </c>
      <c r="R144" s="3">
        <v>10176.1</v>
      </c>
      <c r="S144" s="91">
        <v>138</v>
      </c>
      <c r="T144" s="3">
        <v>10175</v>
      </c>
      <c r="U144" s="91">
        <v>1</v>
      </c>
      <c r="X144" s="91" t="s">
        <v>611</v>
      </c>
      <c r="Y144" s="91" t="s">
        <v>612</v>
      </c>
      <c r="Z144" s="91" t="s">
        <v>235</v>
      </c>
      <c r="AA144" s="4" t="s">
        <v>35</v>
      </c>
      <c r="AB144" s="4"/>
      <c r="AC144" s="4"/>
      <c r="AD144" s="4"/>
      <c r="AE144" s="6">
        <f t="shared" si="12"/>
        <v>3</v>
      </c>
      <c r="AF144" s="6" t="str">
        <f t="shared" si="13"/>
        <v/>
      </c>
      <c r="AG144" s="6" t="str">
        <f t="shared" si="14"/>
        <v/>
      </c>
      <c r="AH144" s="15" t="str">
        <f>IF(ISNA(VLOOKUP(A144,'offre secrétariat'!A:F,5,FALSE)),"",(VLOOKUP(A144,'offre secrétariat'!A:F,5,FALSE)))</f>
        <v/>
      </c>
      <c r="AI144" s="101" t="str">
        <f t="shared" si="15"/>
        <v/>
      </c>
      <c r="AJ144" s="5">
        <f t="shared" si="16"/>
        <v>42433</v>
      </c>
      <c r="AK144" s="4" t="str">
        <f t="shared" si="17"/>
        <v/>
      </c>
    </row>
    <row r="145" spans="1:37" x14ac:dyDescent="0.25">
      <c r="A145" s="91" t="s">
        <v>617</v>
      </c>
      <c r="C145" s="95">
        <v>3</v>
      </c>
      <c r="D145" s="91" t="s">
        <v>618</v>
      </c>
      <c r="E145" s="91" t="s">
        <v>29</v>
      </c>
      <c r="F145" s="95" t="s">
        <v>38</v>
      </c>
      <c r="G145" s="3">
        <v>4850</v>
      </c>
      <c r="H145" s="2">
        <v>42425</v>
      </c>
      <c r="J145" s="2">
        <v>42424</v>
      </c>
      <c r="L145" s="91" t="s">
        <v>31</v>
      </c>
      <c r="M145" s="91">
        <v>50</v>
      </c>
      <c r="P145" s="91">
        <v>0</v>
      </c>
      <c r="Q145" s="91">
        <v>100</v>
      </c>
      <c r="R145" s="3">
        <v>4850.34</v>
      </c>
      <c r="S145" s="91">
        <v>0</v>
      </c>
      <c r="T145" s="3">
        <v>0</v>
      </c>
      <c r="U145" s="91">
        <v>0</v>
      </c>
      <c r="V145" s="2"/>
      <c r="W145" s="2"/>
      <c r="X145" s="91" t="s">
        <v>619</v>
      </c>
      <c r="Y145" s="91" t="s">
        <v>163</v>
      </c>
      <c r="Z145" s="91" t="s">
        <v>34</v>
      </c>
      <c r="AA145" s="4" t="s">
        <v>35</v>
      </c>
      <c r="AB145" s="4"/>
      <c r="AC145" s="4"/>
      <c r="AD145" s="4"/>
      <c r="AE145" s="6">
        <f t="shared" si="12"/>
        <v>2</v>
      </c>
      <c r="AF145" s="6" t="str">
        <f t="shared" si="13"/>
        <v/>
      </c>
      <c r="AG145" s="6" t="str">
        <f t="shared" si="14"/>
        <v/>
      </c>
      <c r="AH145" s="15" t="str">
        <f>IF(ISNA(VLOOKUP(A145,'offre secrétariat'!A:F,5,FALSE)),"",(VLOOKUP(A145,'offre secrétariat'!A:F,5,FALSE)))</f>
        <v/>
      </c>
      <c r="AI145" s="101" t="str">
        <f t="shared" si="15"/>
        <v/>
      </c>
      <c r="AJ145" s="5" t="str">
        <f t="shared" si="16"/>
        <v/>
      </c>
      <c r="AK145" s="4" t="str">
        <f t="shared" si="17"/>
        <v/>
      </c>
    </row>
    <row r="146" spans="1:37" x14ac:dyDescent="0.25">
      <c r="A146" s="91" t="s">
        <v>620</v>
      </c>
      <c r="B146" s="91">
        <v>160106</v>
      </c>
      <c r="C146" s="95">
        <v>4</v>
      </c>
      <c r="D146" s="91" t="s">
        <v>621</v>
      </c>
      <c r="E146" s="91" t="s">
        <v>51</v>
      </c>
      <c r="F146" s="95" t="s">
        <v>132</v>
      </c>
      <c r="G146" s="3">
        <v>1563</v>
      </c>
      <c r="H146" s="2">
        <v>42425</v>
      </c>
      <c r="I146" s="2">
        <v>42437</v>
      </c>
      <c r="J146" s="2">
        <v>42438</v>
      </c>
      <c r="K146" s="2">
        <v>42444</v>
      </c>
      <c r="L146" s="91" t="s">
        <v>31</v>
      </c>
      <c r="M146" s="91">
        <v>100</v>
      </c>
      <c r="N146" s="91">
        <v>160106</v>
      </c>
      <c r="P146" s="91">
        <v>0</v>
      </c>
      <c r="Q146" s="91">
        <v>0</v>
      </c>
      <c r="R146" s="3">
        <v>0</v>
      </c>
      <c r="S146" s="91">
        <v>27</v>
      </c>
      <c r="T146" s="3">
        <v>1563</v>
      </c>
      <c r="U146" s="91">
        <v>26.25</v>
      </c>
      <c r="V146" s="2">
        <v>42445</v>
      </c>
      <c r="W146" s="2">
        <v>42445</v>
      </c>
      <c r="X146" s="91" t="s">
        <v>622</v>
      </c>
      <c r="Y146" s="91" t="s">
        <v>134</v>
      </c>
      <c r="Z146" s="91" t="s">
        <v>135</v>
      </c>
      <c r="AA146" s="4" t="s">
        <v>35</v>
      </c>
      <c r="AB146" s="4"/>
      <c r="AC146" s="4"/>
      <c r="AD146" s="4"/>
      <c r="AE146" s="6">
        <f t="shared" si="12"/>
        <v>3</v>
      </c>
      <c r="AF146" s="6">
        <f t="shared" si="13"/>
        <v>1</v>
      </c>
      <c r="AG146" s="6" t="str">
        <f t="shared" si="14"/>
        <v>o</v>
      </c>
      <c r="AH146" s="15">
        <f>IF(ISNA(VLOOKUP(A146,'offre secrétariat'!A:F,5,FALSE)),"",(VLOOKUP(A146,'offre secrétariat'!A:F,5,FALSE)))</f>
        <v>42437</v>
      </c>
      <c r="AI146" s="101" t="str">
        <f t="shared" si="15"/>
        <v>J</v>
      </c>
      <c r="AJ146" s="5">
        <f t="shared" si="16"/>
        <v>42434</v>
      </c>
      <c r="AK146" s="4" t="str">
        <f t="shared" si="17"/>
        <v>J</v>
      </c>
    </row>
    <row r="147" spans="1:37" x14ac:dyDescent="0.25">
      <c r="A147" s="91" t="s">
        <v>623</v>
      </c>
      <c r="C147" s="95">
        <v>3</v>
      </c>
      <c r="D147" s="91" t="s">
        <v>624</v>
      </c>
      <c r="E147" s="91" t="s">
        <v>58</v>
      </c>
      <c r="F147" s="95" t="s">
        <v>59</v>
      </c>
      <c r="G147" s="3">
        <v>29124</v>
      </c>
      <c r="H147" s="2">
        <v>42425</v>
      </c>
      <c r="I147" s="2">
        <v>42437</v>
      </c>
      <c r="J147" s="2">
        <v>42447</v>
      </c>
      <c r="K147" s="2">
        <v>42444</v>
      </c>
      <c r="L147" s="91" t="s">
        <v>31</v>
      </c>
      <c r="M147" s="91">
        <v>40</v>
      </c>
      <c r="P147" s="91">
        <v>0</v>
      </c>
      <c r="Q147" s="91">
        <v>96</v>
      </c>
      <c r="R147" s="3">
        <v>29124</v>
      </c>
      <c r="S147" s="91">
        <v>0</v>
      </c>
      <c r="T147" s="91">
        <v>0</v>
      </c>
      <c r="U147" s="91">
        <v>0</v>
      </c>
      <c r="X147" s="91" t="s">
        <v>100</v>
      </c>
      <c r="Y147" s="91" t="s">
        <v>625</v>
      </c>
      <c r="Z147" s="91" t="s">
        <v>411</v>
      </c>
      <c r="AA147" s="4" t="s">
        <v>35</v>
      </c>
      <c r="AB147" s="4"/>
      <c r="AC147" s="4"/>
      <c r="AD147" s="4"/>
      <c r="AE147" s="6">
        <f t="shared" si="12"/>
        <v>3</v>
      </c>
      <c r="AF147" s="6">
        <f t="shared" si="13"/>
        <v>1</v>
      </c>
      <c r="AG147" s="6" t="str">
        <f t="shared" si="14"/>
        <v>o</v>
      </c>
      <c r="AH147" s="15">
        <f>IF(ISNA(VLOOKUP(A147,'offre secrétariat'!A:F,5,FALSE)),"",(VLOOKUP(A147,'offre secrétariat'!A:F,5,FALSE)))</f>
        <v>42446</v>
      </c>
      <c r="AI147" s="101" t="str">
        <f t="shared" si="15"/>
        <v>R</v>
      </c>
      <c r="AJ147" s="5">
        <f t="shared" si="16"/>
        <v>42434</v>
      </c>
      <c r="AK147" s="4" t="str">
        <f t="shared" si="17"/>
        <v>R</v>
      </c>
    </row>
    <row r="148" spans="1:37" x14ac:dyDescent="0.25">
      <c r="A148" s="91" t="s">
        <v>626</v>
      </c>
      <c r="C148" s="95">
        <v>3</v>
      </c>
      <c r="D148" s="91" t="s">
        <v>627</v>
      </c>
      <c r="E148" s="91" t="s">
        <v>58</v>
      </c>
      <c r="F148" s="95" t="s">
        <v>59</v>
      </c>
      <c r="G148" s="3">
        <v>13479</v>
      </c>
      <c r="H148" s="2">
        <v>42425</v>
      </c>
      <c r="I148" s="2">
        <v>42437</v>
      </c>
      <c r="J148" s="2">
        <v>42437</v>
      </c>
      <c r="K148" s="2">
        <v>42444</v>
      </c>
      <c r="L148" s="91" t="s">
        <v>31</v>
      </c>
      <c r="M148" s="91">
        <v>40</v>
      </c>
      <c r="P148" s="91">
        <v>0</v>
      </c>
      <c r="Q148" s="91">
        <v>80</v>
      </c>
      <c r="R148" s="3">
        <v>13478.4</v>
      </c>
      <c r="S148" s="91">
        <v>0</v>
      </c>
      <c r="T148" s="3">
        <v>0</v>
      </c>
      <c r="U148" s="91">
        <v>0</v>
      </c>
      <c r="V148" s="2"/>
      <c r="W148" s="2"/>
      <c r="X148" s="91" t="s">
        <v>100</v>
      </c>
      <c r="Y148" s="91" t="s">
        <v>625</v>
      </c>
      <c r="Z148" s="91" t="s">
        <v>411</v>
      </c>
      <c r="AA148" s="4" t="s">
        <v>35</v>
      </c>
      <c r="AB148" s="4"/>
      <c r="AC148" s="4"/>
      <c r="AD148" s="4"/>
      <c r="AE148" s="6">
        <f t="shared" si="12"/>
        <v>3</v>
      </c>
      <c r="AF148" s="6" t="str">
        <f t="shared" si="13"/>
        <v/>
      </c>
      <c r="AG148" s="6" t="str">
        <f t="shared" si="14"/>
        <v/>
      </c>
      <c r="AH148" s="15" t="str">
        <f>IF(ISNA(VLOOKUP(A148,'offre secrétariat'!A:F,5,FALSE)),"",(VLOOKUP(A148,'offre secrétariat'!A:F,5,FALSE)))</f>
        <v/>
      </c>
      <c r="AI148" s="101" t="str">
        <f t="shared" si="15"/>
        <v/>
      </c>
      <c r="AJ148" s="5">
        <f t="shared" si="16"/>
        <v>42434</v>
      </c>
      <c r="AK148" s="4" t="str">
        <f t="shared" si="17"/>
        <v/>
      </c>
    </row>
    <row r="149" spans="1:37" x14ac:dyDescent="0.25">
      <c r="A149" s="91" t="s">
        <v>628</v>
      </c>
      <c r="C149" s="95">
        <v>3</v>
      </c>
      <c r="D149" s="91" t="s">
        <v>629</v>
      </c>
      <c r="E149" s="91" t="s">
        <v>58</v>
      </c>
      <c r="F149" s="95" t="s">
        <v>59</v>
      </c>
      <c r="G149" s="3">
        <v>2200.8000000000002</v>
      </c>
      <c r="H149" s="2">
        <v>42425</v>
      </c>
      <c r="I149" s="2">
        <v>42437</v>
      </c>
      <c r="J149" s="2">
        <v>42446</v>
      </c>
      <c r="K149" s="2">
        <v>42444</v>
      </c>
      <c r="L149" s="91" t="s">
        <v>31</v>
      </c>
      <c r="M149" s="91">
        <v>40</v>
      </c>
      <c r="P149" s="91">
        <v>0</v>
      </c>
      <c r="Q149" s="91">
        <v>0</v>
      </c>
      <c r="R149" s="3">
        <v>0</v>
      </c>
      <c r="S149" s="91">
        <v>0</v>
      </c>
      <c r="T149" s="91">
        <v>0</v>
      </c>
      <c r="U149" s="91">
        <v>0</v>
      </c>
      <c r="X149" s="91" t="s">
        <v>100</v>
      </c>
      <c r="Y149" s="91" t="s">
        <v>625</v>
      </c>
      <c r="Z149" s="91" t="s">
        <v>411</v>
      </c>
      <c r="AA149" s="4" t="s">
        <v>35</v>
      </c>
      <c r="AB149" s="4"/>
      <c r="AC149" s="4"/>
      <c r="AD149" s="4"/>
      <c r="AE149" s="6">
        <f t="shared" si="12"/>
        <v>3</v>
      </c>
      <c r="AF149" s="6">
        <f t="shared" si="13"/>
        <v>1</v>
      </c>
      <c r="AG149" s="6" t="str">
        <f t="shared" si="14"/>
        <v/>
      </c>
      <c r="AH149" s="15" t="str">
        <f>IF(ISNA(VLOOKUP(A149,'offre secrétariat'!A:F,5,FALSE)),"",(VLOOKUP(A149,'offre secrétariat'!A:F,5,FALSE)))</f>
        <v/>
      </c>
      <c r="AI149" s="101" t="str">
        <f t="shared" si="15"/>
        <v/>
      </c>
      <c r="AJ149" s="5">
        <f t="shared" si="16"/>
        <v>42434</v>
      </c>
      <c r="AK149" s="4" t="str">
        <f t="shared" si="17"/>
        <v/>
      </c>
    </row>
    <row r="150" spans="1:37" x14ac:dyDescent="0.25">
      <c r="A150" s="91" t="s">
        <v>631</v>
      </c>
      <c r="C150" s="95">
        <v>3</v>
      </c>
      <c r="D150" s="91" t="s">
        <v>632</v>
      </c>
      <c r="E150" s="91" t="s">
        <v>65</v>
      </c>
      <c r="F150" s="95" t="s">
        <v>30</v>
      </c>
      <c r="G150" s="3">
        <v>1770</v>
      </c>
      <c r="H150" s="2">
        <v>42425</v>
      </c>
      <c r="I150" s="2">
        <v>42433</v>
      </c>
      <c r="J150" s="2">
        <v>42431</v>
      </c>
      <c r="K150" s="2">
        <v>42475</v>
      </c>
      <c r="L150" s="91" t="s">
        <v>31</v>
      </c>
      <c r="M150" s="91">
        <v>30</v>
      </c>
      <c r="P150" s="91">
        <v>0</v>
      </c>
      <c r="Q150" s="91">
        <v>0</v>
      </c>
      <c r="R150" s="3">
        <v>0</v>
      </c>
      <c r="S150" s="91">
        <v>0</v>
      </c>
      <c r="T150" s="91">
        <v>0</v>
      </c>
      <c r="U150" s="91">
        <v>0</v>
      </c>
      <c r="X150" s="91" t="s">
        <v>32</v>
      </c>
      <c r="Y150" s="91" t="s">
        <v>633</v>
      </c>
      <c r="Z150" s="91" t="s">
        <v>634</v>
      </c>
      <c r="AA150" s="4" t="s">
        <v>35</v>
      </c>
      <c r="AB150" s="4"/>
      <c r="AC150" s="4"/>
      <c r="AD150" s="4"/>
      <c r="AE150" s="6">
        <f t="shared" si="12"/>
        <v>3</v>
      </c>
      <c r="AF150" s="6" t="str">
        <f t="shared" si="13"/>
        <v/>
      </c>
      <c r="AG150" s="6" t="str">
        <f t="shared" si="14"/>
        <v/>
      </c>
      <c r="AH150" s="15" t="str">
        <f>IF(ISNA(VLOOKUP(A150,'offre secrétariat'!A:F,5,FALSE)),"",(VLOOKUP(A150,'offre secrétariat'!A:F,5,FALSE)))</f>
        <v/>
      </c>
      <c r="AI150" s="101" t="str">
        <f t="shared" si="15"/>
        <v/>
      </c>
      <c r="AJ150" s="5">
        <f t="shared" si="16"/>
        <v>42430</v>
      </c>
      <c r="AK150" s="4" t="str">
        <f t="shared" si="17"/>
        <v/>
      </c>
    </row>
    <row r="151" spans="1:37" x14ac:dyDescent="0.25">
      <c r="A151" s="91" t="s">
        <v>635</v>
      </c>
      <c r="B151" s="91">
        <v>160109</v>
      </c>
      <c r="C151" s="95">
        <v>4</v>
      </c>
      <c r="D151" s="91" t="s">
        <v>636</v>
      </c>
      <c r="E151" s="91" t="s">
        <v>51</v>
      </c>
      <c r="F151" s="95" t="s">
        <v>132</v>
      </c>
      <c r="G151" s="3">
        <v>60718</v>
      </c>
      <c r="H151" s="2">
        <v>42425</v>
      </c>
      <c r="I151" s="2">
        <v>42460</v>
      </c>
      <c r="J151" s="2">
        <v>42433</v>
      </c>
      <c r="K151" s="2">
        <v>42522</v>
      </c>
      <c r="L151" s="91" t="s">
        <v>31</v>
      </c>
      <c r="M151" s="91">
        <v>0</v>
      </c>
      <c r="N151" s="91">
        <v>160109</v>
      </c>
      <c r="P151" s="91">
        <v>0</v>
      </c>
      <c r="Q151" s="91">
        <v>954.6</v>
      </c>
      <c r="R151" s="3">
        <v>79854.31</v>
      </c>
      <c r="S151" s="91">
        <v>598.4</v>
      </c>
      <c r="T151" s="3">
        <v>60718</v>
      </c>
      <c r="U151" s="91">
        <v>86</v>
      </c>
      <c r="V151" s="2">
        <v>42465</v>
      </c>
      <c r="W151" s="2">
        <v>42468</v>
      </c>
      <c r="X151" s="91">
        <v>6000464584</v>
      </c>
      <c r="Y151" s="91" t="s">
        <v>637</v>
      </c>
      <c r="Z151" s="91" t="s">
        <v>55</v>
      </c>
      <c r="AA151" s="4" t="s">
        <v>35</v>
      </c>
      <c r="AB151" s="4"/>
      <c r="AC151" s="4"/>
      <c r="AD151" s="4"/>
      <c r="AE151" s="6">
        <f t="shared" si="12"/>
        <v>3</v>
      </c>
      <c r="AF151" s="6" t="str">
        <f t="shared" si="13"/>
        <v/>
      </c>
      <c r="AG151" s="6" t="str">
        <f t="shared" si="14"/>
        <v>o</v>
      </c>
      <c r="AH151" s="15">
        <f>IF(ISNA(VLOOKUP(A151,'offre secrétariat'!A:F,5,FALSE)),"",(VLOOKUP(A151,'offre secrétariat'!A:F,5,FALSE)))</f>
        <v>42430</v>
      </c>
      <c r="AI151" s="101" t="str">
        <f t="shared" si="15"/>
        <v>T</v>
      </c>
      <c r="AJ151" s="5">
        <f t="shared" si="16"/>
        <v>42457</v>
      </c>
      <c r="AK151" s="4" t="str">
        <f t="shared" si="17"/>
        <v>A</v>
      </c>
    </row>
    <row r="152" spans="1:37" x14ac:dyDescent="0.25">
      <c r="A152" s="91" t="s">
        <v>641</v>
      </c>
      <c r="C152" s="95">
        <v>3</v>
      </c>
      <c r="D152" s="91" t="s">
        <v>642</v>
      </c>
      <c r="E152" s="91" t="s">
        <v>65</v>
      </c>
      <c r="F152" s="95" t="s">
        <v>66</v>
      </c>
      <c r="G152" s="3">
        <v>3375</v>
      </c>
      <c r="H152" s="2">
        <v>42426</v>
      </c>
      <c r="I152" s="2">
        <v>42433</v>
      </c>
      <c r="J152" s="2">
        <v>42431</v>
      </c>
      <c r="K152" s="2">
        <v>42444</v>
      </c>
      <c r="L152" s="91" t="s">
        <v>31</v>
      </c>
      <c r="M152" s="91">
        <v>30</v>
      </c>
      <c r="P152" s="91">
        <v>0</v>
      </c>
      <c r="Q152" s="91">
        <v>41</v>
      </c>
      <c r="R152" s="3">
        <v>3377.23</v>
      </c>
      <c r="S152" s="91">
        <v>0</v>
      </c>
      <c r="T152" s="91">
        <v>0</v>
      </c>
      <c r="U152" s="91">
        <v>0</v>
      </c>
      <c r="X152" s="91" t="s">
        <v>32</v>
      </c>
      <c r="Y152" s="91" t="s">
        <v>358</v>
      </c>
      <c r="Z152" s="91" t="s">
        <v>83</v>
      </c>
      <c r="AA152" s="4" t="s">
        <v>35</v>
      </c>
      <c r="AB152" s="4"/>
      <c r="AC152" s="4"/>
      <c r="AD152" s="4"/>
      <c r="AE152" s="6">
        <f t="shared" si="12"/>
        <v>3</v>
      </c>
      <c r="AF152" s="6" t="str">
        <f t="shared" si="13"/>
        <v/>
      </c>
      <c r="AG152" s="6" t="str">
        <f t="shared" si="14"/>
        <v/>
      </c>
      <c r="AH152" s="15" t="str">
        <f>IF(ISNA(VLOOKUP(A152,'offre secrétariat'!A:F,5,FALSE)),"",(VLOOKUP(A152,'offre secrétariat'!A:F,5,FALSE)))</f>
        <v/>
      </c>
      <c r="AI152" s="101" t="str">
        <f t="shared" si="15"/>
        <v/>
      </c>
      <c r="AJ152" s="5">
        <f t="shared" si="16"/>
        <v>42430</v>
      </c>
      <c r="AK152" s="4" t="str">
        <f t="shared" si="17"/>
        <v/>
      </c>
    </row>
    <row r="153" spans="1:37" x14ac:dyDescent="0.25">
      <c r="A153" s="91" t="s">
        <v>643</v>
      </c>
      <c r="C153" s="95">
        <v>3</v>
      </c>
      <c r="D153" s="91" t="s">
        <v>644</v>
      </c>
      <c r="E153" s="91" t="s">
        <v>58</v>
      </c>
      <c r="F153" s="95" t="s">
        <v>30</v>
      </c>
      <c r="G153" s="3">
        <v>23815</v>
      </c>
      <c r="H153" s="2">
        <v>42430</v>
      </c>
      <c r="I153" s="2">
        <v>42436</v>
      </c>
      <c r="J153" s="2">
        <v>42436</v>
      </c>
      <c r="K153" s="2">
        <v>42444</v>
      </c>
      <c r="L153" s="91" t="s">
        <v>31</v>
      </c>
      <c r="M153" s="91">
        <v>30</v>
      </c>
      <c r="P153" s="91">
        <v>0</v>
      </c>
      <c r="Q153" s="91">
        <v>202</v>
      </c>
      <c r="R153" s="3">
        <v>23815.05</v>
      </c>
      <c r="S153" s="91">
        <v>0</v>
      </c>
      <c r="T153" s="91">
        <v>0</v>
      </c>
      <c r="U153" s="91">
        <v>0</v>
      </c>
      <c r="X153" s="91" t="s">
        <v>645</v>
      </c>
      <c r="Y153" s="91" t="s">
        <v>646</v>
      </c>
      <c r="Z153" s="91" t="s">
        <v>647</v>
      </c>
      <c r="AA153" s="4" t="s">
        <v>35</v>
      </c>
      <c r="AB153" s="4"/>
      <c r="AC153" s="4"/>
      <c r="AD153" s="4"/>
      <c r="AE153" s="6">
        <f t="shared" si="12"/>
        <v>3</v>
      </c>
      <c r="AF153" s="6" t="str">
        <f t="shared" si="13"/>
        <v/>
      </c>
      <c r="AG153" s="6" t="str">
        <f t="shared" si="14"/>
        <v>o</v>
      </c>
      <c r="AH153" s="15">
        <f>IF(ISNA(VLOOKUP(A153,'offre secrétariat'!A:F,5,FALSE)),"",(VLOOKUP(A153,'offre secrétariat'!A:F,5,FALSE)))</f>
        <v>42436</v>
      </c>
      <c r="AI153" s="101" t="str">
        <f t="shared" si="15"/>
        <v>J</v>
      </c>
      <c r="AJ153" s="5">
        <f t="shared" si="16"/>
        <v>42433</v>
      </c>
      <c r="AK153" s="4" t="str">
        <f t="shared" si="17"/>
        <v>J</v>
      </c>
    </row>
    <row r="154" spans="1:37" x14ac:dyDescent="0.25">
      <c r="A154" s="91" t="s">
        <v>648</v>
      </c>
      <c r="B154" s="91">
        <v>164232</v>
      </c>
      <c r="C154" s="95">
        <v>4</v>
      </c>
      <c r="D154" s="91" t="s">
        <v>649</v>
      </c>
      <c r="E154" s="91" t="s">
        <v>29</v>
      </c>
      <c r="F154" s="95" t="s">
        <v>38</v>
      </c>
      <c r="G154" s="3">
        <v>2450</v>
      </c>
      <c r="H154" s="2">
        <v>42430</v>
      </c>
      <c r="J154" s="2">
        <v>42426</v>
      </c>
      <c r="L154" s="91" t="s">
        <v>31</v>
      </c>
      <c r="M154" s="91">
        <v>50</v>
      </c>
      <c r="N154" s="91">
        <v>164232</v>
      </c>
      <c r="P154" s="91">
        <v>0</v>
      </c>
      <c r="Q154" s="91">
        <v>50</v>
      </c>
      <c r="R154" s="3">
        <v>2450.09</v>
      </c>
      <c r="S154" s="91">
        <v>50</v>
      </c>
      <c r="T154" s="3">
        <v>2450</v>
      </c>
      <c r="U154" s="91">
        <v>50</v>
      </c>
      <c r="V154" s="2">
        <v>42430</v>
      </c>
      <c r="W154" s="2">
        <v>42432</v>
      </c>
      <c r="X154" s="91" t="s">
        <v>650</v>
      </c>
      <c r="Y154" s="91" t="s">
        <v>48</v>
      </c>
      <c r="Z154" s="91" t="s">
        <v>34</v>
      </c>
      <c r="AA154" s="4" t="s">
        <v>35</v>
      </c>
      <c r="AB154" s="4"/>
      <c r="AC154" s="4"/>
      <c r="AD154" s="4"/>
      <c r="AE154" s="6">
        <f t="shared" si="12"/>
        <v>2</v>
      </c>
      <c r="AF154" s="6" t="str">
        <f t="shared" si="13"/>
        <v/>
      </c>
      <c r="AG154" s="6" t="str">
        <f t="shared" si="14"/>
        <v/>
      </c>
      <c r="AH154" s="15" t="str">
        <f>IF(ISNA(VLOOKUP(A154,'offre secrétariat'!A:F,5,FALSE)),"",(VLOOKUP(A154,'offre secrétariat'!A:F,5,FALSE)))</f>
        <v/>
      </c>
      <c r="AI154" s="101" t="str">
        <f t="shared" si="15"/>
        <v/>
      </c>
      <c r="AJ154" s="5" t="str">
        <f t="shared" si="16"/>
        <v/>
      </c>
      <c r="AK154" s="4" t="str">
        <f t="shared" si="17"/>
        <v/>
      </c>
    </row>
    <row r="155" spans="1:37" x14ac:dyDescent="0.25">
      <c r="A155" s="91" t="s">
        <v>651</v>
      </c>
      <c r="B155" s="91">
        <v>164233</v>
      </c>
      <c r="C155" s="95">
        <v>4</v>
      </c>
      <c r="D155" s="91" t="s">
        <v>652</v>
      </c>
      <c r="E155" s="91" t="s">
        <v>29</v>
      </c>
      <c r="F155" s="95" t="s">
        <v>38</v>
      </c>
      <c r="G155" s="3">
        <v>1785</v>
      </c>
      <c r="H155" s="2">
        <v>42430</v>
      </c>
      <c r="I155" s="2"/>
      <c r="J155" s="2">
        <v>42427</v>
      </c>
      <c r="K155" s="2"/>
      <c r="L155" s="91" t="s">
        <v>31</v>
      </c>
      <c r="M155" s="91">
        <v>50</v>
      </c>
      <c r="N155" s="91">
        <v>164233</v>
      </c>
      <c r="P155" s="91">
        <v>0</v>
      </c>
      <c r="Q155" s="91">
        <v>18</v>
      </c>
      <c r="R155" s="3">
        <v>1785.12</v>
      </c>
      <c r="S155" s="91">
        <v>18</v>
      </c>
      <c r="T155" s="3">
        <v>1785</v>
      </c>
      <c r="U155" s="91">
        <v>16</v>
      </c>
      <c r="V155" s="2">
        <v>42431</v>
      </c>
      <c r="W155" s="2">
        <v>42431</v>
      </c>
      <c r="X155" s="91" t="s">
        <v>653</v>
      </c>
      <c r="Y155" s="91" t="s">
        <v>93</v>
      </c>
      <c r="Z155" s="91" t="s">
        <v>34</v>
      </c>
      <c r="AA155" s="4" t="s">
        <v>35</v>
      </c>
      <c r="AB155" s="4"/>
      <c r="AC155" s="4"/>
      <c r="AD155" s="4"/>
      <c r="AE155" s="6">
        <f t="shared" si="12"/>
        <v>2</v>
      </c>
      <c r="AF155" s="6" t="str">
        <f t="shared" si="13"/>
        <v/>
      </c>
      <c r="AG155" s="6" t="str">
        <f t="shared" si="14"/>
        <v/>
      </c>
      <c r="AH155" s="15" t="str">
        <f>IF(ISNA(VLOOKUP(A155,'offre secrétariat'!A:F,5,FALSE)),"",(VLOOKUP(A155,'offre secrétariat'!A:F,5,FALSE)))</f>
        <v/>
      </c>
      <c r="AI155" s="101" t="str">
        <f t="shared" si="15"/>
        <v/>
      </c>
      <c r="AJ155" s="5" t="str">
        <f t="shared" si="16"/>
        <v/>
      </c>
      <c r="AK155" s="4" t="str">
        <f t="shared" si="17"/>
        <v/>
      </c>
    </row>
    <row r="156" spans="1:37" x14ac:dyDescent="0.25">
      <c r="A156" s="91" t="s">
        <v>654</v>
      </c>
      <c r="C156" s="95">
        <v>7</v>
      </c>
      <c r="D156" s="91" t="s">
        <v>655</v>
      </c>
      <c r="E156" s="91" t="s">
        <v>58</v>
      </c>
      <c r="F156" s="95" t="s">
        <v>87</v>
      </c>
      <c r="G156" s="3">
        <v>27040</v>
      </c>
      <c r="H156" s="2">
        <v>42430</v>
      </c>
      <c r="I156" s="2">
        <v>42440</v>
      </c>
      <c r="J156" s="2">
        <v>42439</v>
      </c>
      <c r="K156" s="2">
        <v>42459</v>
      </c>
      <c r="L156" s="91" t="s">
        <v>31</v>
      </c>
      <c r="M156" s="91">
        <v>30</v>
      </c>
      <c r="P156" s="91">
        <v>0</v>
      </c>
      <c r="Q156" s="91">
        <v>240</v>
      </c>
      <c r="R156" s="3">
        <v>25723.360000000001</v>
      </c>
      <c r="S156" s="91">
        <v>0</v>
      </c>
      <c r="T156" s="91">
        <v>0</v>
      </c>
      <c r="U156" s="91">
        <v>0</v>
      </c>
      <c r="X156" s="91" t="s">
        <v>656</v>
      </c>
      <c r="Y156" s="91" t="s">
        <v>657</v>
      </c>
      <c r="Z156" s="91" t="s">
        <v>658</v>
      </c>
      <c r="AA156" s="4" t="s">
        <v>35</v>
      </c>
      <c r="AB156" s="4"/>
      <c r="AC156" s="4"/>
      <c r="AD156" s="4"/>
      <c r="AE156" s="6">
        <f t="shared" si="12"/>
        <v>3</v>
      </c>
      <c r="AF156" s="6" t="str">
        <f t="shared" si="13"/>
        <v/>
      </c>
      <c r="AG156" s="6" t="str">
        <f t="shared" si="14"/>
        <v>o</v>
      </c>
      <c r="AH156" s="15">
        <f>IF(ISNA(VLOOKUP(A156,'offre secrétariat'!A:F,5,FALSE)),"",(VLOOKUP(A156,'offre secrétariat'!A:F,5,FALSE)))</f>
        <v>42439</v>
      </c>
      <c r="AI156" s="101" t="str">
        <f t="shared" si="15"/>
        <v>T</v>
      </c>
      <c r="AJ156" s="5">
        <f t="shared" si="16"/>
        <v>42437</v>
      </c>
      <c r="AK156" s="4" t="str">
        <f t="shared" si="17"/>
        <v>R</v>
      </c>
    </row>
    <row r="157" spans="1:37" x14ac:dyDescent="0.25">
      <c r="A157" s="91" t="s">
        <v>659</v>
      </c>
      <c r="B157" s="91">
        <v>160013</v>
      </c>
      <c r="C157" s="95">
        <v>4</v>
      </c>
      <c r="D157" s="91" t="s">
        <v>660</v>
      </c>
      <c r="E157" s="91" t="s">
        <v>65</v>
      </c>
      <c r="F157" s="95" t="s">
        <v>30</v>
      </c>
      <c r="G157" s="3">
        <v>1965</v>
      </c>
      <c r="H157" s="2">
        <v>42431</v>
      </c>
      <c r="I157" s="2">
        <v>42431</v>
      </c>
      <c r="J157" s="2">
        <v>42431</v>
      </c>
      <c r="K157" s="2">
        <v>42436</v>
      </c>
      <c r="L157" s="91" t="s">
        <v>31</v>
      </c>
      <c r="M157" s="91">
        <v>50</v>
      </c>
      <c r="N157" s="91">
        <v>160013</v>
      </c>
      <c r="P157" s="91">
        <v>0</v>
      </c>
      <c r="Q157" s="91">
        <v>1</v>
      </c>
      <c r="R157" s="3">
        <v>0</v>
      </c>
      <c r="S157" s="91">
        <v>12</v>
      </c>
      <c r="T157" s="3">
        <v>1965</v>
      </c>
      <c r="U157" s="91">
        <v>9.5</v>
      </c>
      <c r="V157" s="2">
        <v>42439</v>
      </c>
      <c r="W157" s="2">
        <v>42439</v>
      </c>
      <c r="X157" s="91" t="s">
        <v>32</v>
      </c>
      <c r="Y157" s="91" t="s">
        <v>265</v>
      </c>
      <c r="Z157" s="91" t="s">
        <v>266</v>
      </c>
      <c r="AA157" s="4" t="s">
        <v>35</v>
      </c>
      <c r="AB157" s="4"/>
      <c r="AC157" s="4"/>
      <c r="AD157" s="4"/>
      <c r="AE157" s="6">
        <f t="shared" si="12"/>
        <v>3</v>
      </c>
      <c r="AF157" s="6" t="str">
        <f t="shared" si="13"/>
        <v/>
      </c>
      <c r="AG157" s="6" t="str">
        <f t="shared" si="14"/>
        <v/>
      </c>
      <c r="AH157" s="15" t="str">
        <f>IF(ISNA(VLOOKUP(A157,'offre secrétariat'!A:F,5,FALSE)),"",(VLOOKUP(A157,'offre secrétariat'!A:F,5,FALSE)))</f>
        <v/>
      </c>
      <c r="AI157" s="101" t="str">
        <f t="shared" si="15"/>
        <v/>
      </c>
      <c r="AJ157" s="5">
        <f t="shared" si="16"/>
        <v>42428</v>
      </c>
      <c r="AK157" s="4" t="str">
        <f t="shared" si="17"/>
        <v/>
      </c>
    </row>
    <row r="158" spans="1:37" x14ac:dyDescent="0.25">
      <c r="A158" s="91" t="s">
        <v>661</v>
      </c>
      <c r="C158" s="95">
        <v>3</v>
      </c>
      <c r="D158" s="91" t="s">
        <v>662</v>
      </c>
      <c r="E158" s="91" t="s">
        <v>65</v>
      </c>
      <c r="F158" s="95" t="s">
        <v>30</v>
      </c>
      <c r="G158" s="3">
        <v>3880</v>
      </c>
      <c r="H158" s="2">
        <v>42431</v>
      </c>
      <c r="I158" s="2">
        <v>42433</v>
      </c>
      <c r="J158" s="2">
        <v>42431</v>
      </c>
      <c r="K158" s="2">
        <v>42460</v>
      </c>
      <c r="L158" s="91" t="s">
        <v>31</v>
      </c>
      <c r="M158" s="91">
        <v>30</v>
      </c>
      <c r="P158" s="91">
        <v>0</v>
      </c>
      <c r="Q158" s="91">
        <v>32</v>
      </c>
      <c r="R158" s="3">
        <v>3881.64</v>
      </c>
      <c r="S158" s="91">
        <v>0</v>
      </c>
      <c r="T158" s="91">
        <v>0</v>
      </c>
      <c r="U158" s="91">
        <v>0</v>
      </c>
      <c r="X158" s="91" t="s">
        <v>32</v>
      </c>
      <c r="Y158" s="91" t="s">
        <v>265</v>
      </c>
      <c r="Z158" s="91" t="s">
        <v>266</v>
      </c>
      <c r="AA158" s="4" t="s">
        <v>35</v>
      </c>
      <c r="AB158" s="4"/>
      <c r="AC158" s="4"/>
      <c r="AD158" s="4"/>
      <c r="AE158" s="6">
        <f t="shared" si="12"/>
        <v>3</v>
      </c>
      <c r="AF158" s="6" t="str">
        <f t="shared" si="13"/>
        <v/>
      </c>
      <c r="AG158" s="6" t="str">
        <f t="shared" si="14"/>
        <v/>
      </c>
      <c r="AH158" s="15" t="str">
        <f>IF(ISNA(VLOOKUP(A158,'offre secrétariat'!A:F,5,FALSE)),"",(VLOOKUP(A158,'offre secrétariat'!A:F,5,FALSE)))</f>
        <v/>
      </c>
      <c r="AI158" s="101" t="str">
        <f t="shared" si="15"/>
        <v/>
      </c>
      <c r="AJ158" s="5">
        <f t="shared" si="16"/>
        <v>42430</v>
      </c>
      <c r="AK158" s="4" t="str">
        <f t="shared" si="17"/>
        <v/>
      </c>
    </row>
    <row r="159" spans="1:37" x14ac:dyDescent="0.25">
      <c r="A159" s="91" t="s">
        <v>663</v>
      </c>
      <c r="C159" s="95">
        <v>3</v>
      </c>
      <c r="D159" s="91" t="s">
        <v>664</v>
      </c>
      <c r="E159" s="91" t="s">
        <v>65</v>
      </c>
      <c r="F159" s="95" t="s">
        <v>30</v>
      </c>
      <c r="G159" s="3">
        <v>15980</v>
      </c>
      <c r="H159" s="2">
        <v>42431</v>
      </c>
      <c r="I159" s="2">
        <v>42440</v>
      </c>
      <c r="J159" s="2">
        <v>42438</v>
      </c>
      <c r="K159" s="2">
        <v>42490</v>
      </c>
      <c r="L159" s="91" t="s">
        <v>31</v>
      </c>
      <c r="M159" s="91">
        <v>30</v>
      </c>
      <c r="P159" s="91">
        <v>0</v>
      </c>
      <c r="Q159" s="3">
        <v>191</v>
      </c>
      <c r="R159" s="3">
        <v>15979.36</v>
      </c>
      <c r="S159" s="91">
        <v>0</v>
      </c>
      <c r="T159" s="91">
        <v>0</v>
      </c>
      <c r="U159" s="91">
        <v>0</v>
      </c>
      <c r="X159" s="91" t="s">
        <v>32</v>
      </c>
      <c r="Y159" s="91" t="s">
        <v>265</v>
      </c>
      <c r="Z159" s="91" t="s">
        <v>266</v>
      </c>
      <c r="AA159" s="4" t="s">
        <v>35</v>
      </c>
      <c r="AB159" s="4"/>
      <c r="AC159" s="4"/>
      <c r="AD159" s="4"/>
      <c r="AE159" s="6">
        <f t="shared" si="12"/>
        <v>3</v>
      </c>
      <c r="AF159" s="6" t="str">
        <f t="shared" si="13"/>
        <v/>
      </c>
      <c r="AG159" s="6" t="str">
        <f t="shared" si="14"/>
        <v>o</v>
      </c>
      <c r="AH159" s="15">
        <f>IF(ISNA(VLOOKUP(A159,'offre secrétariat'!A:F,5,FALSE)),"",(VLOOKUP(A159,'offre secrétariat'!A:F,5,FALSE)))</f>
        <v>42438</v>
      </c>
      <c r="AI159" s="101" t="str">
        <f t="shared" si="15"/>
        <v>T</v>
      </c>
      <c r="AJ159" s="5">
        <f t="shared" si="16"/>
        <v>42437</v>
      </c>
      <c r="AK159" s="4" t="str">
        <f t="shared" si="17"/>
        <v>R</v>
      </c>
    </row>
    <row r="160" spans="1:37" x14ac:dyDescent="0.25">
      <c r="A160" s="91" t="s">
        <v>665</v>
      </c>
      <c r="C160" s="95">
        <v>3</v>
      </c>
      <c r="D160" s="91" t="s">
        <v>666</v>
      </c>
      <c r="E160" s="91" t="s">
        <v>58</v>
      </c>
      <c r="F160" s="95" t="s">
        <v>30</v>
      </c>
      <c r="G160" s="3">
        <v>2630</v>
      </c>
      <c r="H160" s="2">
        <v>42431</v>
      </c>
      <c r="I160" s="2">
        <v>42440</v>
      </c>
      <c r="J160" s="2">
        <v>42437</v>
      </c>
      <c r="K160" s="2">
        <v>42460</v>
      </c>
      <c r="L160" s="91" t="s">
        <v>31</v>
      </c>
      <c r="M160" s="91">
        <v>30</v>
      </c>
      <c r="P160" s="91">
        <v>0</v>
      </c>
      <c r="Q160" s="91">
        <v>48</v>
      </c>
      <c r="R160" s="3">
        <v>2629.2</v>
      </c>
      <c r="S160" s="91">
        <v>0</v>
      </c>
      <c r="T160" s="91">
        <v>0</v>
      </c>
      <c r="U160" s="91">
        <v>0</v>
      </c>
      <c r="X160" s="91" t="s">
        <v>32</v>
      </c>
      <c r="Y160" s="91" t="s">
        <v>402</v>
      </c>
      <c r="Z160" s="91" t="s">
        <v>202</v>
      </c>
      <c r="AA160" s="4" t="s">
        <v>35</v>
      </c>
      <c r="AB160" s="4"/>
      <c r="AC160" s="4"/>
      <c r="AD160" s="4"/>
      <c r="AE160" s="6">
        <f t="shared" si="12"/>
        <v>3</v>
      </c>
      <c r="AF160" s="6" t="str">
        <f t="shared" si="13"/>
        <v/>
      </c>
      <c r="AG160" s="6" t="str">
        <f t="shared" si="14"/>
        <v/>
      </c>
      <c r="AH160" s="15" t="str">
        <f>IF(ISNA(VLOOKUP(A160,'offre secrétariat'!A:F,5,FALSE)),"",(VLOOKUP(A160,'offre secrétariat'!A:F,5,FALSE)))</f>
        <v/>
      </c>
      <c r="AI160" s="101" t="str">
        <f t="shared" si="15"/>
        <v/>
      </c>
      <c r="AJ160" s="5">
        <f t="shared" si="16"/>
        <v>42437</v>
      </c>
      <c r="AK160" s="4" t="str">
        <f t="shared" si="17"/>
        <v/>
      </c>
    </row>
    <row r="161" spans="1:37" x14ac:dyDescent="0.25">
      <c r="A161" s="91" t="s">
        <v>667</v>
      </c>
      <c r="B161" s="91">
        <v>160623</v>
      </c>
      <c r="C161" s="95">
        <v>4</v>
      </c>
      <c r="D161" s="91" t="s">
        <v>668</v>
      </c>
      <c r="E161" s="91" t="s">
        <v>58</v>
      </c>
      <c r="F161" s="95" t="s">
        <v>30</v>
      </c>
      <c r="G161" s="3">
        <v>9280</v>
      </c>
      <c r="H161" s="2">
        <v>42431</v>
      </c>
      <c r="I161" s="2">
        <v>42471</v>
      </c>
      <c r="J161" s="2">
        <v>42440</v>
      </c>
      <c r="K161" s="2"/>
      <c r="L161" s="91" t="s">
        <v>31</v>
      </c>
      <c r="M161" s="91">
        <v>30</v>
      </c>
      <c r="N161" s="91">
        <v>160623</v>
      </c>
      <c r="P161" s="91">
        <v>0</v>
      </c>
      <c r="Q161" s="91">
        <v>100</v>
      </c>
      <c r="R161" s="3">
        <v>9281.1200000000008</v>
      </c>
      <c r="S161" s="91">
        <v>100</v>
      </c>
      <c r="T161" s="3">
        <v>9280</v>
      </c>
      <c r="U161" s="91">
        <v>0</v>
      </c>
      <c r="X161" s="91">
        <v>6000464917</v>
      </c>
      <c r="Y161" s="91" t="s">
        <v>337</v>
      </c>
      <c r="Z161" s="91" t="s">
        <v>202</v>
      </c>
      <c r="AA161" s="4" t="s">
        <v>35</v>
      </c>
      <c r="AB161" s="4"/>
      <c r="AC161" s="4"/>
      <c r="AD161" s="4"/>
      <c r="AE161" s="6">
        <f t="shared" si="12"/>
        <v>3</v>
      </c>
      <c r="AF161" s="6" t="str">
        <f t="shared" si="13"/>
        <v/>
      </c>
      <c r="AG161" s="6" t="str">
        <f t="shared" si="14"/>
        <v/>
      </c>
      <c r="AH161" s="15" t="str">
        <f>IF(ISNA(VLOOKUP(A161,'offre secrétariat'!A:F,5,FALSE)),"",(VLOOKUP(A161,'offre secrétariat'!A:F,5,FALSE)))</f>
        <v/>
      </c>
      <c r="AI161" s="101" t="str">
        <f t="shared" si="15"/>
        <v/>
      </c>
      <c r="AJ161" s="5">
        <f t="shared" si="16"/>
        <v>42468</v>
      </c>
      <c r="AK161" s="4" t="str">
        <f t="shared" si="17"/>
        <v/>
      </c>
    </row>
    <row r="162" spans="1:37" x14ac:dyDescent="0.25">
      <c r="A162" s="91" t="s">
        <v>669</v>
      </c>
      <c r="C162" s="95">
        <v>3</v>
      </c>
      <c r="D162" s="91" t="s">
        <v>670</v>
      </c>
      <c r="E162" s="91" t="s">
        <v>58</v>
      </c>
      <c r="F162" s="95" t="s">
        <v>30</v>
      </c>
      <c r="G162" s="3">
        <v>2915</v>
      </c>
      <c r="H162" s="2">
        <v>42431</v>
      </c>
      <c r="I162" s="2">
        <v>42471</v>
      </c>
      <c r="J162" s="2">
        <v>42447</v>
      </c>
      <c r="K162" s="2">
        <v>42490</v>
      </c>
      <c r="L162" s="91" t="s">
        <v>31</v>
      </c>
      <c r="M162" s="91">
        <v>30</v>
      </c>
      <c r="P162" s="91">
        <v>0</v>
      </c>
      <c r="Q162" s="91">
        <v>50</v>
      </c>
      <c r="R162" s="3">
        <v>2914.57</v>
      </c>
      <c r="S162" s="91">
        <v>0</v>
      </c>
      <c r="T162" s="3">
        <v>0</v>
      </c>
      <c r="U162" s="91">
        <v>0</v>
      </c>
      <c r="X162" s="91">
        <v>6000463552</v>
      </c>
      <c r="Y162" s="91" t="s">
        <v>337</v>
      </c>
      <c r="Z162" s="91" t="s">
        <v>202</v>
      </c>
      <c r="AA162" s="4" t="s">
        <v>35</v>
      </c>
      <c r="AB162" s="4"/>
      <c r="AC162" s="4"/>
      <c r="AD162" s="4"/>
      <c r="AE162" s="6">
        <f t="shared" si="12"/>
        <v>3</v>
      </c>
      <c r="AF162" s="6" t="str">
        <f t="shared" si="13"/>
        <v/>
      </c>
      <c r="AG162" s="6" t="str">
        <f t="shared" si="14"/>
        <v/>
      </c>
      <c r="AH162" s="15" t="str">
        <f>IF(ISNA(VLOOKUP(A162,'offre secrétariat'!A:F,5,FALSE)),"",(VLOOKUP(A162,'offre secrétariat'!A:F,5,FALSE)))</f>
        <v/>
      </c>
      <c r="AI162" s="101" t="str">
        <f t="shared" si="15"/>
        <v/>
      </c>
      <c r="AJ162" s="5">
        <f t="shared" si="16"/>
        <v>42468</v>
      </c>
      <c r="AK162" s="4" t="str">
        <f t="shared" si="17"/>
        <v/>
      </c>
    </row>
    <row r="163" spans="1:37" x14ac:dyDescent="0.25">
      <c r="A163" s="91" t="s">
        <v>671</v>
      </c>
      <c r="C163" s="95">
        <v>3</v>
      </c>
      <c r="D163" s="91" t="s">
        <v>672</v>
      </c>
      <c r="E163" s="91" t="s">
        <v>65</v>
      </c>
      <c r="F163" s="95" t="s">
        <v>66</v>
      </c>
      <c r="G163" s="3">
        <v>149970</v>
      </c>
      <c r="H163" s="2">
        <v>42431</v>
      </c>
      <c r="I163" s="2">
        <v>42445</v>
      </c>
      <c r="J163" s="2">
        <v>42445</v>
      </c>
      <c r="K163" s="2">
        <v>42513</v>
      </c>
      <c r="L163" s="91" t="s">
        <v>31</v>
      </c>
      <c r="M163" s="91">
        <v>0</v>
      </c>
      <c r="P163" s="91">
        <v>0</v>
      </c>
      <c r="Q163" s="91">
        <v>848</v>
      </c>
      <c r="R163" s="3">
        <v>149966.91</v>
      </c>
      <c r="S163" s="91">
        <v>0</v>
      </c>
      <c r="T163" s="91">
        <v>0</v>
      </c>
      <c r="U163" s="91">
        <v>0</v>
      </c>
      <c r="X163" s="91" t="s">
        <v>673</v>
      </c>
      <c r="Y163" s="91" t="s">
        <v>492</v>
      </c>
      <c r="Z163" s="91" t="s">
        <v>129</v>
      </c>
      <c r="AA163" s="4" t="s">
        <v>35</v>
      </c>
      <c r="AB163" s="4"/>
      <c r="AC163" s="4"/>
      <c r="AD163" s="4"/>
      <c r="AE163" s="6">
        <f t="shared" si="12"/>
        <v>3</v>
      </c>
      <c r="AF163" s="6" t="str">
        <f t="shared" si="13"/>
        <v/>
      </c>
      <c r="AG163" s="6" t="str">
        <f t="shared" si="14"/>
        <v/>
      </c>
      <c r="AH163" s="15" t="str">
        <f>IF(ISNA(VLOOKUP(A163,'offre secrétariat'!A:F,5,FALSE)),"",(VLOOKUP(A163,'offre secrétariat'!A:F,5,FALSE)))</f>
        <v/>
      </c>
      <c r="AI163" s="101" t="str">
        <f t="shared" si="15"/>
        <v/>
      </c>
      <c r="AJ163" s="5">
        <f t="shared" si="16"/>
        <v>42442</v>
      </c>
      <c r="AK163" s="4" t="str">
        <f t="shared" si="17"/>
        <v/>
      </c>
    </row>
    <row r="164" spans="1:37" x14ac:dyDescent="0.25">
      <c r="A164" s="91" t="s">
        <v>674</v>
      </c>
      <c r="C164" s="95">
        <v>3</v>
      </c>
      <c r="D164" s="91" t="s">
        <v>675</v>
      </c>
      <c r="E164" s="91" t="s">
        <v>65</v>
      </c>
      <c r="F164" s="95" t="s">
        <v>66</v>
      </c>
      <c r="G164" s="3">
        <v>273559</v>
      </c>
      <c r="H164" s="2">
        <v>42431</v>
      </c>
      <c r="I164" s="2">
        <v>42454</v>
      </c>
      <c r="J164" s="2">
        <v>42454</v>
      </c>
      <c r="K164" s="2">
        <v>42478</v>
      </c>
      <c r="L164" s="91" t="s">
        <v>31</v>
      </c>
      <c r="M164" s="91">
        <v>0</v>
      </c>
      <c r="P164" s="91">
        <v>0</v>
      </c>
      <c r="Q164" s="91">
        <v>0</v>
      </c>
      <c r="R164" s="3">
        <v>0</v>
      </c>
      <c r="S164" s="91">
        <v>0</v>
      </c>
      <c r="T164" s="91">
        <v>0</v>
      </c>
      <c r="U164" s="91">
        <v>0</v>
      </c>
      <c r="X164" s="91" t="s">
        <v>676</v>
      </c>
      <c r="Y164" s="91" t="s">
        <v>677</v>
      </c>
      <c r="Z164" s="91" t="s">
        <v>520</v>
      </c>
      <c r="AA164" s="4" t="s">
        <v>35</v>
      </c>
      <c r="AB164" s="4"/>
      <c r="AC164" s="4"/>
      <c r="AD164" s="4"/>
      <c r="AE164" s="6">
        <f t="shared" si="12"/>
        <v>3</v>
      </c>
      <c r="AF164" s="6" t="str">
        <f t="shared" si="13"/>
        <v/>
      </c>
      <c r="AG164" s="6" t="str">
        <f t="shared" si="14"/>
        <v>o</v>
      </c>
      <c r="AH164" s="15">
        <f>IF(ISNA(VLOOKUP(A164,'offre secrétariat'!A:F,5,FALSE)),"",(VLOOKUP(A164,'offre secrétariat'!A:F,5,FALSE)))</f>
        <v>42454</v>
      </c>
      <c r="AI164" s="101" t="str">
        <f t="shared" si="15"/>
        <v>J</v>
      </c>
      <c r="AJ164" s="5">
        <f t="shared" si="16"/>
        <v>42451</v>
      </c>
      <c r="AK164" s="4" t="str">
        <f t="shared" si="17"/>
        <v>J</v>
      </c>
    </row>
    <row r="165" spans="1:37" x14ac:dyDescent="0.25">
      <c r="A165" s="91" t="s">
        <v>678</v>
      </c>
      <c r="B165" s="91">
        <v>160624</v>
      </c>
      <c r="C165" s="95">
        <v>4</v>
      </c>
      <c r="D165" s="91" t="s">
        <v>679</v>
      </c>
      <c r="E165" s="91" t="s">
        <v>58</v>
      </c>
      <c r="F165" s="95" t="s">
        <v>87</v>
      </c>
      <c r="G165" s="3">
        <v>8500</v>
      </c>
      <c r="H165" s="2">
        <v>42431</v>
      </c>
      <c r="I165" s="2"/>
      <c r="J165" s="2">
        <v>42437</v>
      </c>
      <c r="K165" s="2"/>
      <c r="L165" s="91" t="s">
        <v>31</v>
      </c>
      <c r="M165" s="91">
        <v>0</v>
      </c>
      <c r="N165" s="91">
        <v>160624</v>
      </c>
      <c r="P165" s="91">
        <v>0</v>
      </c>
      <c r="Q165" s="91">
        <v>48</v>
      </c>
      <c r="R165" s="3">
        <v>8603.32</v>
      </c>
      <c r="S165" s="91">
        <v>48</v>
      </c>
      <c r="T165" s="3">
        <v>8500</v>
      </c>
      <c r="U165" s="91">
        <v>4.5</v>
      </c>
      <c r="X165" s="91" t="s">
        <v>680</v>
      </c>
      <c r="Y165" s="91" t="s">
        <v>646</v>
      </c>
      <c r="Z165" s="91" t="s">
        <v>647</v>
      </c>
      <c r="AA165" s="4" t="s">
        <v>35</v>
      </c>
      <c r="AB165" s="4"/>
      <c r="AC165" s="4"/>
      <c r="AD165" s="4"/>
      <c r="AE165" s="6">
        <f t="shared" si="12"/>
        <v>3</v>
      </c>
      <c r="AF165" s="6" t="str">
        <f t="shared" si="13"/>
        <v/>
      </c>
      <c r="AG165" s="6" t="str">
        <f t="shared" si="14"/>
        <v/>
      </c>
      <c r="AH165" s="15" t="str">
        <f>IF(ISNA(VLOOKUP(A165,'offre secrétariat'!A:F,5,FALSE)),"",(VLOOKUP(A165,'offre secrétariat'!A:F,5,FALSE)))</f>
        <v/>
      </c>
      <c r="AI165" s="101" t="str">
        <f t="shared" si="15"/>
        <v/>
      </c>
      <c r="AJ165" s="5" t="str">
        <f t="shared" si="16"/>
        <v/>
      </c>
      <c r="AK165" s="4" t="str">
        <f t="shared" si="17"/>
        <v/>
      </c>
    </row>
    <row r="166" spans="1:37" x14ac:dyDescent="0.25">
      <c r="A166" s="91" t="s">
        <v>681</v>
      </c>
      <c r="C166" s="95">
        <v>3</v>
      </c>
      <c r="D166" s="91" t="s">
        <v>682</v>
      </c>
      <c r="E166" s="91" t="s">
        <v>29</v>
      </c>
      <c r="F166" s="95" t="s">
        <v>364</v>
      </c>
      <c r="G166" s="3">
        <v>6880</v>
      </c>
      <c r="H166" s="2">
        <v>42436</v>
      </c>
      <c r="I166" s="2">
        <v>42440</v>
      </c>
      <c r="J166" s="2">
        <v>42440</v>
      </c>
      <c r="K166" s="2">
        <v>42460</v>
      </c>
      <c r="L166" s="91" t="s">
        <v>31</v>
      </c>
      <c r="M166" s="91">
        <v>80</v>
      </c>
      <c r="P166" s="91">
        <v>0</v>
      </c>
      <c r="Q166" s="91">
        <v>0</v>
      </c>
      <c r="R166" s="91">
        <v>0</v>
      </c>
      <c r="S166" s="91">
        <v>0</v>
      </c>
      <c r="T166" s="91">
        <v>0</v>
      </c>
      <c r="U166" s="91">
        <v>0</v>
      </c>
      <c r="X166" s="91" t="s">
        <v>365</v>
      </c>
      <c r="Y166" s="91" t="s">
        <v>683</v>
      </c>
      <c r="Z166" s="91" t="s">
        <v>367</v>
      </c>
      <c r="AA166" s="4" t="s">
        <v>35</v>
      </c>
      <c r="AB166" s="4"/>
      <c r="AC166" s="4"/>
      <c r="AD166" s="4"/>
      <c r="AE166" s="6">
        <f t="shared" si="12"/>
        <v>3</v>
      </c>
      <c r="AF166" s="6" t="str">
        <f t="shared" si="13"/>
        <v/>
      </c>
      <c r="AG166" s="6" t="str">
        <f t="shared" si="14"/>
        <v>o</v>
      </c>
      <c r="AH166" s="15">
        <f>IF(ISNA(VLOOKUP(A166,'offre secrétariat'!A:F,5,FALSE)),"",(VLOOKUP(A166,'offre secrétariat'!A:F,5,FALSE)))</f>
        <v>42439</v>
      </c>
      <c r="AI166" s="101" t="str">
        <f t="shared" si="15"/>
        <v>T</v>
      </c>
      <c r="AJ166" s="5">
        <f t="shared" si="16"/>
        <v>42437</v>
      </c>
      <c r="AK166" s="4" t="str">
        <f t="shared" si="17"/>
        <v>R</v>
      </c>
    </row>
    <row r="167" spans="1:37" x14ac:dyDescent="0.25">
      <c r="A167" s="91" t="s">
        <v>684</v>
      </c>
      <c r="C167" s="95">
        <v>3</v>
      </c>
      <c r="D167" s="91" t="s">
        <v>685</v>
      </c>
      <c r="E167" s="91" t="s">
        <v>65</v>
      </c>
      <c r="F167" s="95" t="s">
        <v>80</v>
      </c>
      <c r="G167" s="3">
        <v>14900</v>
      </c>
      <c r="H167" s="2">
        <v>42436</v>
      </c>
      <c r="I167" s="2">
        <v>42436</v>
      </c>
      <c r="J167" s="2">
        <v>42436</v>
      </c>
      <c r="K167" s="2">
        <v>42521</v>
      </c>
      <c r="L167" s="91" t="s">
        <v>31</v>
      </c>
      <c r="M167" s="91">
        <v>25</v>
      </c>
      <c r="P167" s="91">
        <v>0</v>
      </c>
      <c r="Q167" s="91">
        <v>0</v>
      </c>
      <c r="R167" s="91">
        <v>0</v>
      </c>
      <c r="S167" s="91">
        <v>0</v>
      </c>
      <c r="T167" s="91">
        <v>0</v>
      </c>
      <c r="U167" s="91">
        <v>0</v>
      </c>
      <c r="V167" s="2"/>
      <c r="W167" s="2"/>
      <c r="Y167" s="91" t="s">
        <v>686</v>
      </c>
      <c r="Z167" s="91" t="s">
        <v>687</v>
      </c>
      <c r="AA167" s="4" t="s">
        <v>35</v>
      </c>
      <c r="AB167" s="4"/>
      <c r="AC167" s="4"/>
      <c r="AD167" s="4"/>
      <c r="AE167" s="6">
        <f t="shared" si="12"/>
        <v>3</v>
      </c>
      <c r="AF167" s="6" t="str">
        <f t="shared" si="13"/>
        <v/>
      </c>
      <c r="AG167" s="6" t="str">
        <f t="shared" si="14"/>
        <v/>
      </c>
      <c r="AH167" s="15" t="str">
        <f>IF(ISNA(VLOOKUP(A167,'offre secrétariat'!A:F,5,FALSE)),"",(VLOOKUP(A167,'offre secrétariat'!A:F,5,FALSE)))</f>
        <v/>
      </c>
      <c r="AI167" s="101" t="str">
        <f t="shared" si="15"/>
        <v/>
      </c>
      <c r="AJ167" s="5">
        <f t="shared" si="16"/>
        <v>42433</v>
      </c>
      <c r="AK167" s="4" t="str">
        <f t="shared" si="17"/>
        <v/>
      </c>
    </row>
    <row r="168" spans="1:37" x14ac:dyDescent="0.25">
      <c r="A168" s="91" t="s">
        <v>688</v>
      </c>
      <c r="B168" s="91">
        <v>164235</v>
      </c>
      <c r="C168" s="95">
        <v>4</v>
      </c>
      <c r="D168" s="91" t="s">
        <v>689</v>
      </c>
      <c r="E168" s="91" t="s">
        <v>29</v>
      </c>
      <c r="F168" s="95" t="s">
        <v>38</v>
      </c>
      <c r="G168" s="3">
        <v>3560</v>
      </c>
      <c r="H168" s="2">
        <v>42436</v>
      </c>
      <c r="I168" s="2"/>
      <c r="J168" s="2">
        <v>42436</v>
      </c>
      <c r="K168" s="2"/>
      <c r="L168" s="91" t="s">
        <v>31</v>
      </c>
      <c r="M168" s="91">
        <v>0</v>
      </c>
      <c r="N168" s="91">
        <v>164235</v>
      </c>
      <c r="P168" s="91">
        <v>0</v>
      </c>
      <c r="Q168" s="91">
        <v>4</v>
      </c>
      <c r="R168" s="3">
        <v>3560.82</v>
      </c>
      <c r="S168" s="91">
        <v>4</v>
      </c>
      <c r="T168" s="3">
        <v>3560</v>
      </c>
      <c r="U168" s="91">
        <v>1</v>
      </c>
      <c r="X168" s="91" t="s">
        <v>690</v>
      </c>
      <c r="Y168" s="91" t="s">
        <v>155</v>
      </c>
      <c r="Z168" s="91" t="s">
        <v>34</v>
      </c>
      <c r="AA168" s="4" t="s">
        <v>35</v>
      </c>
      <c r="AB168" s="4"/>
      <c r="AC168" s="4"/>
      <c r="AD168" s="4"/>
      <c r="AE168" s="6">
        <f t="shared" si="12"/>
        <v>3</v>
      </c>
      <c r="AF168" s="6" t="str">
        <f t="shared" si="13"/>
        <v/>
      </c>
      <c r="AG168" s="6" t="str">
        <f t="shared" si="14"/>
        <v/>
      </c>
      <c r="AH168" s="15" t="str">
        <f>IF(ISNA(VLOOKUP(A168,'offre secrétariat'!A:F,5,FALSE)),"",(VLOOKUP(A168,'offre secrétariat'!A:F,5,FALSE)))</f>
        <v/>
      </c>
      <c r="AI168" s="101" t="str">
        <f t="shared" si="15"/>
        <v/>
      </c>
      <c r="AJ168" s="5" t="str">
        <f t="shared" si="16"/>
        <v/>
      </c>
      <c r="AK168" s="4" t="str">
        <f t="shared" si="17"/>
        <v/>
      </c>
    </row>
    <row r="169" spans="1:37" x14ac:dyDescent="0.25">
      <c r="A169" s="91" t="s">
        <v>691</v>
      </c>
      <c r="C169" s="95">
        <v>3</v>
      </c>
      <c r="D169" s="91" t="s">
        <v>692</v>
      </c>
      <c r="E169" s="91" t="s">
        <v>29</v>
      </c>
      <c r="F169" s="95" t="s">
        <v>30</v>
      </c>
      <c r="G169" s="3">
        <v>6300</v>
      </c>
      <c r="H169" s="2">
        <v>42437</v>
      </c>
      <c r="I169" s="2">
        <v>42447</v>
      </c>
      <c r="J169" s="2">
        <v>42441</v>
      </c>
      <c r="K169" s="2">
        <v>42490</v>
      </c>
      <c r="L169" s="91" t="s">
        <v>31</v>
      </c>
      <c r="M169" s="91">
        <v>30</v>
      </c>
      <c r="P169" s="91">
        <v>0</v>
      </c>
      <c r="Q169" s="91">
        <v>109</v>
      </c>
      <c r="R169" s="3">
        <v>6624.94</v>
      </c>
      <c r="S169" s="91">
        <v>0</v>
      </c>
      <c r="T169" s="91">
        <v>0</v>
      </c>
      <c r="U169" s="91">
        <v>0</v>
      </c>
      <c r="X169" s="91">
        <v>2036257</v>
      </c>
      <c r="Y169" s="91" t="s">
        <v>33</v>
      </c>
      <c r="Z169" s="91" t="s">
        <v>34</v>
      </c>
      <c r="AA169" s="4" t="s">
        <v>35</v>
      </c>
      <c r="AB169" s="4"/>
      <c r="AC169" s="4"/>
      <c r="AD169" s="4"/>
      <c r="AE169" s="6">
        <f t="shared" si="12"/>
        <v>3</v>
      </c>
      <c r="AF169" s="6" t="str">
        <f t="shared" si="13"/>
        <v/>
      </c>
      <c r="AG169" s="6" t="str">
        <f t="shared" si="14"/>
        <v/>
      </c>
      <c r="AH169" s="15" t="str">
        <f>IF(ISNA(VLOOKUP(A169,'offre secrétariat'!A:F,5,FALSE)),"",(VLOOKUP(A169,'offre secrétariat'!A:F,5,FALSE)))</f>
        <v/>
      </c>
      <c r="AI169" s="101" t="str">
        <f t="shared" si="15"/>
        <v/>
      </c>
      <c r="AJ169" s="5">
        <f t="shared" si="16"/>
        <v>42444</v>
      </c>
      <c r="AK169" s="4" t="str">
        <f t="shared" si="17"/>
        <v/>
      </c>
    </row>
    <row r="170" spans="1:37" x14ac:dyDescent="0.25">
      <c r="A170" s="91" t="s">
        <v>693</v>
      </c>
      <c r="C170" s="95">
        <v>3</v>
      </c>
      <c r="D170" s="91" t="s">
        <v>694</v>
      </c>
      <c r="E170" s="91" t="s">
        <v>29</v>
      </c>
      <c r="F170" s="95" t="s">
        <v>308</v>
      </c>
      <c r="G170" s="3">
        <v>627228</v>
      </c>
      <c r="H170" s="2">
        <v>42437</v>
      </c>
      <c r="I170" s="2">
        <v>42460</v>
      </c>
      <c r="J170" s="2">
        <v>42460</v>
      </c>
      <c r="K170" s="2">
        <v>42552</v>
      </c>
      <c r="L170" s="91" t="s">
        <v>31</v>
      </c>
      <c r="M170" s="91">
        <v>80</v>
      </c>
      <c r="P170" s="91">
        <v>0</v>
      </c>
      <c r="Q170" s="3">
        <v>4824</v>
      </c>
      <c r="R170" s="3">
        <v>617410.54</v>
      </c>
      <c r="S170" s="91">
        <v>0</v>
      </c>
      <c r="T170" s="91">
        <v>0</v>
      </c>
      <c r="U170" s="91">
        <v>0</v>
      </c>
      <c r="Y170" s="91" t="s">
        <v>48</v>
      </c>
      <c r="Z170" s="91" t="s">
        <v>34</v>
      </c>
      <c r="AA170" s="4" t="s">
        <v>35</v>
      </c>
      <c r="AB170" s="4"/>
      <c r="AC170" s="4"/>
      <c r="AD170" s="4"/>
      <c r="AE170" s="6">
        <f t="shared" si="12"/>
        <v>3</v>
      </c>
      <c r="AF170" s="6" t="str">
        <f t="shared" si="13"/>
        <v/>
      </c>
      <c r="AG170" s="6" t="str">
        <f t="shared" si="14"/>
        <v>o</v>
      </c>
      <c r="AH170" s="15">
        <f>IF(ISNA(VLOOKUP(A170,'offre secrétariat'!A:F,5,FALSE)),"",(VLOOKUP(A170,'offre secrétariat'!A:F,5,FALSE)))</f>
        <v>42453</v>
      </c>
      <c r="AI170" s="101" t="str">
        <f t="shared" si="15"/>
        <v>T</v>
      </c>
      <c r="AJ170" s="5">
        <f t="shared" si="16"/>
        <v>42457</v>
      </c>
      <c r="AK170" s="4" t="str">
        <f t="shared" si="17"/>
        <v>A</v>
      </c>
    </row>
    <row r="171" spans="1:37" x14ac:dyDescent="0.25">
      <c r="A171" s="91" t="s">
        <v>695</v>
      </c>
      <c r="C171" s="95">
        <v>3</v>
      </c>
      <c r="D171" s="91" t="s">
        <v>696</v>
      </c>
      <c r="E171" s="91" t="s">
        <v>65</v>
      </c>
      <c r="F171" s="95" t="s">
        <v>80</v>
      </c>
      <c r="G171" s="3">
        <v>11350</v>
      </c>
      <c r="H171" s="2">
        <v>42437</v>
      </c>
      <c r="I171" s="2">
        <v>42440</v>
      </c>
      <c r="J171" s="2">
        <v>42438</v>
      </c>
      <c r="K171" s="2">
        <v>42461</v>
      </c>
      <c r="L171" s="91" t="s">
        <v>31</v>
      </c>
      <c r="M171" s="91">
        <v>30</v>
      </c>
      <c r="P171" s="91">
        <v>0</v>
      </c>
      <c r="Q171" s="91">
        <v>104</v>
      </c>
      <c r="R171" s="3">
        <v>11299.74</v>
      </c>
      <c r="S171" s="91">
        <v>0</v>
      </c>
      <c r="T171" s="91">
        <v>0</v>
      </c>
      <c r="U171" s="91">
        <v>0</v>
      </c>
      <c r="X171" s="91" t="s">
        <v>81</v>
      </c>
      <c r="Y171" s="91" t="s">
        <v>234</v>
      </c>
      <c r="Z171" s="91" t="s">
        <v>235</v>
      </c>
      <c r="AA171" s="4" t="s">
        <v>35</v>
      </c>
      <c r="AB171" s="4"/>
      <c r="AC171" s="4"/>
      <c r="AD171" s="4"/>
      <c r="AE171" s="6">
        <f t="shared" si="12"/>
        <v>3</v>
      </c>
      <c r="AF171" s="6" t="str">
        <f t="shared" si="13"/>
        <v/>
      </c>
      <c r="AG171" s="6" t="str">
        <f t="shared" si="14"/>
        <v/>
      </c>
      <c r="AH171" s="15" t="str">
        <f>IF(ISNA(VLOOKUP(A171,'offre secrétariat'!A:F,5,FALSE)),"",(VLOOKUP(A171,'offre secrétariat'!A:F,5,FALSE)))</f>
        <v/>
      </c>
      <c r="AI171" s="101" t="str">
        <f t="shared" si="15"/>
        <v/>
      </c>
      <c r="AJ171" s="5">
        <f t="shared" si="16"/>
        <v>42437</v>
      </c>
      <c r="AK171" s="4" t="str">
        <f t="shared" si="17"/>
        <v/>
      </c>
    </row>
    <row r="172" spans="1:37" x14ac:dyDescent="0.25">
      <c r="A172" s="91" t="s">
        <v>697</v>
      </c>
      <c r="B172" s="91">
        <v>160017</v>
      </c>
      <c r="C172" s="95">
        <v>4</v>
      </c>
      <c r="D172" s="91" t="s">
        <v>698</v>
      </c>
      <c r="E172" s="91" t="s">
        <v>65</v>
      </c>
      <c r="F172" s="95" t="s">
        <v>80</v>
      </c>
      <c r="G172" s="3">
        <v>5760</v>
      </c>
      <c r="H172" s="2">
        <v>42437</v>
      </c>
      <c r="I172" s="2">
        <v>42447</v>
      </c>
      <c r="J172" s="2">
        <v>42447</v>
      </c>
      <c r="K172" s="2">
        <v>42552</v>
      </c>
      <c r="L172" s="91" t="s">
        <v>31</v>
      </c>
      <c r="M172" s="91">
        <v>30</v>
      </c>
      <c r="N172" s="91">
        <v>160017</v>
      </c>
      <c r="P172" s="91">
        <v>0</v>
      </c>
      <c r="Q172" s="91">
        <v>96</v>
      </c>
      <c r="R172" s="3">
        <v>5759.01</v>
      </c>
      <c r="S172" s="91">
        <v>96</v>
      </c>
      <c r="T172" s="3">
        <v>5760</v>
      </c>
      <c r="U172" s="91">
        <v>0</v>
      </c>
      <c r="X172" s="91" t="s">
        <v>699</v>
      </c>
      <c r="Y172" s="91" t="s">
        <v>700</v>
      </c>
      <c r="Z172" s="91" t="s">
        <v>235</v>
      </c>
      <c r="AA172" s="4" t="s">
        <v>35</v>
      </c>
      <c r="AB172" s="4"/>
      <c r="AC172" s="4"/>
      <c r="AD172" s="4"/>
      <c r="AE172" s="6">
        <f t="shared" si="12"/>
        <v>3</v>
      </c>
      <c r="AF172" s="6" t="str">
        <f t="shared" si="13"/>
        <v/>
      </c>
      <c r="AG172" s="6" t="str">
        <f t="shared" si="14"/>
        <v>o</v>
      </c>
      <c r="AH172" s="15">
        <f>IF(ISNA(VLOOKUP(A172,'offre secrétariat'!A:F,5,FALSE)),"",(VLOOKUP(A172,'offre secrétariat'!A:F,5,FALSE)))</f>
        <v>42452</v>
      </c>
      <c r="AI172" s="101" t="str">
        <f t="shared" si="15"/>
        <v>R</v>
      </c>
      <c r="AJ172" s="5">
        <f t="shared" si="16"/>
        <v>42444</v>
      </c>
      <c r="AK172" s="4" t="str">
        <f t="shared" si="17"/>
        <v>R</v>
      </c>
    </row>
    <row r="173" spans="1:37" x14ac:dyDescent="0.25">
      <c r="A173" s="91" t="s">
        <v>701</v>
      </c>
      <c r="B173" s="91">
        <v>164234</v>
      </c>
      <c r="C173" s="95">
        <v>4</v>
      </c>
      <c r="D173" s="91" t="s">
        <v>702</v>
      </c>
      <c r="E173" s="91" t="s">
        <v>29</v>
      </c>
      <c r="F173" s="95" t="s">
        <v>38</v>
      </c>
      <c r="G173" s="3">
        <v>5250</v>
      </c>
      <c r="H173" s="2">
        <v>42437</v>
      </c>
      <c r="I173" s="2"/>
      <c r="J173" s="2">
        <v>42435</v>
      </c>
      <c r="K173" s="2"/>
      <c r="L173" s="91" t="s">
        <v>31</v>
      </c>
      <c r="M173" s="91">
        <v>50</v>
      </c>
      <c r="N173" s="91">
        <v>164234</v>
      </c>
      <c r="P173" s="91">
        <v>0</v>
      </c>
      <c r="Q173" s="91">
        <v>120</v>
      </c>
      <c r="R173" s="3">
        <v>6170.16</v>
      </c>
      <c r="S173" s="91">
        <v>104</v>
      </c>
      <c r="T173" s="3">
        <v>5250</v>
      </c>
      <c r="U173" s="91">
        <v>33.5</v>
      </c>
      <c r="V173" s="2">
        <v>42464</v>
      </c>
      <c r="W173" s="2">
        <v>42472</v>
      </c>
      <c r="X173" s="91" t="s">
        <v>703</v>
      </c>
      <c r="Y173" s="91" t="s">
        <v>163</v>
      </c>
      <c r="Z173" s="91" t="s">
        <v>34</v>
      </c>
      <c r="AA173" s="4" t="s">
        <v>35</v>
      </c>
      <c r="AB173" s="4"/>
      <c r="AC173" s="4"/>
      <c r="AD173" s="4"/>
      <c r="AE173" s="6">
        <f t="shared" si="12"/>
        <v>3</v>
      </c>
      <c r="AF173" s="6" t="str">
        <f t="shared" si="13"/>
        <v/>
      </c>
      <c r="AG173" s="6" t="str">
        <f t="shared" si="14"/>
        <v/>
      </c>
      <c r="AH173" s="15" t="str">
        <f>IF(ISNA(VLOOKUP(A173,'offre secrétariat'!A:F,5,FALSE)),"",(VLOOKUP(A173,'offre secrétariat'!A:F,5,FALSE)))</f>
        <v/>
      </c>
      <c r="AI173" s="101" t="str">
        <f t="shared" si="15"/>
        <v/>
      </c>
      <c r="AJ173" s="5" t="str">
        <f t="shared" si="16"/>
        <v/>
      </c>
      <c r="AK173" s="4" t="str">
        <f t="shared" si="17"/>
        <v/>
      </c>
    </row>
    <row r="174" spans="1:37" x14ac:dyDescent="0.25">
      <c r="A174" s="91" t="s">
        <v>704</v>
      </c>
      <c r="B174" s="91">
        <v>164236</v>
      </c>
      <c r="C174" s="95">
        <v>4</v>
      </c>
      <c r="D174" s="91" t="s">
        <v>705</v>
      </c>
      <c r="E174" s="91" t="s">
        <v>29</v>
      </c>
      <c r="F174" s="95" t="s">
        <v>38</v>
      </c>
      <c r="G174" s="3">
        <v>575</v>
      </c>
      <c r="H174" s="2">
        <v>42437</v>
      </c>
      <c r="I174" s="2"/>
      <c r="J174" s="2">
        <v>42435</v>
      </c>
      <c r="K174" s="2"/>
      <c r="L174" s="91" t="s">
        <v>31</v>
      </c>
      <c r="M174" s="91">
        <v>50</v>
      </c>
      <c r="N174" s="91">
        <v>164236</v>
      </c>
      <c r="P174" s="91">
        <v>0</v>
      </c>
      <c r="Q174" s="91">
        <v>2</v>
      </c>
      <c r="R174" s="91">
        <v>574.87</v>
      </c>
      <c r="S174" s="91">
        <v>2</v>
      </c>
      <c r="T174" s="91">
        <v>575</v>
      </c>
      <c r="U174" s="91">
        <v>2</v>
      </c>
      <c r="V174" s="2">
        <v>42468</v>
      </c>
      <c r="W174" s="2">
        <v>42468</v>
      </c>
      <c r="X174" s="91" t="s">
        <v>706</v>
      </c>
      <c r="Y174" s="91" t="s">
        <v>48</v>
      </c>
      <c r="Z174" s="91" t="s">
        <v>34</v>
      </c>
      <c r="AA174" s="4" t="s">
        <v>35</v>
      </c>
      <c r="AB174" s="4"/>
      <c r="AC174" s="4"/>
      <c r="AD174" s="4"/>
      <c r="AE174" s="6">
        <f t="shared" si="12"/>
        <v>3</v>
      </c>
      <c r="AF174" s="6" t="str">
        <f t="shared" si="13"/>
        <v/>
      </c>
      <c r="AG174" s="6" t="str">
        <f t="shared" si="14"/>
        <v/>
      </c>
      <c r="AH174" s="15" t="str">
        <f>IF(ISNA(VLOOKUP(A174,'offre secrétariat'!A:F,5,FALSE)),"",(VLOOKUP(A174,'offre secrétariat'!A:F,5,FALSE)))</f>
        <v/>
      </c>
      <c r="AI174" s="101" t="str">
        <f t="shared" si="15"/>
        <v/>
      </c>
      <c r="AJ174" s="5" t="str">
        <f t="shared" si="16"/>
        <v/>
      </c>
      <c r="AK174" s="4" t="str">
        <f t="shared" si="17"/>
        <v/>
      </c>
    </row>
    <row r="175" spans="1:37" x14ac:dyDescent="0.25">
      <c r="A175" s="91" t="s">
        <v>707</v>
      </c>
      <c r="C175" s="95">
        <v>3</v>
      </c>
      <c r="D175" s="91" t="s">
        <v>708</v>
      </c>
      <c r="E175" s="91" t="s">
        <v>51</v>
      </c>
      <c r="F175" s="95" t="s">
        <v>52</v>
      </c>
      <c r="G175" s="3">
        <v>24700</v>
      </c>
      <c r="H175" s="2">
        <v>42437</v>
      </c>
      <c r="I175" s="2">
        <v>42438</v>
      </c>
      <c r="J175" s="2">
        <v>42438</v>
      </c>
      <c r="K175" s="2">
        <v>42461</v>
      </c>
      <c r="L175" s="91" t="s">
        <v>31</v>
      </c>
      <c r="M175" s="91">
        <v>20</v>
      </c>
      <c r="P175" s="91">
        <v>0</v>
      </c>
      <c r="Q175" s="91">
        <v>150</v>
      </c>
      <c r="R175" s="3">
        <v>24700.62</v>
      </c>
      <c r="S175" s="91">
        <v>0</v>
      </c>
      <c r="T175" s="91">
        <v>0</v>
      </c>
      <c r="U175" s="91">
        <v>0</v>
      </c>
      <c r="V175" s="2"/>
      <c r="W175" s="2"/>
      <c r="X175" s="91" t="s">
        <v>316</v>
      </c>
      <c r="Y175" s="91" t="s">
        <v>354</v>
      </c>
      <c r="Z175" s="91" t="s">
        <v>55</v>
      </c>
      <c r="AA175" s="4" t="s">
        <v>35</v>
      </c>
      <c r="AB175" s="4"/>
      <c r="AC175" s="4"/>
      <c r="AD175" s="4"/>
      <c r="AE175" s="6">
        <f t="shared" si="12"/>
        <v>3</v>
      </c>
      <c r="AF175" s="6" t="str">
        <f t="shared" si="13"/>
        <v/>
      </c>
      <c r="AG175" s="6" t="str">
        <f t="shared" si="14"/>
        <v>o</v>
      </c>
      <c r="AH175" s="15">
        <f>IF(ISNA(VLOOKUP(A175,'offre secrétariat'!A:F,5,FALSE)),"",(VLOOKUP(A175,'offre secrétariat'!A:F,5,FALSE)))</f>
        <v>42437</v>
      </c>
      <c r="AI175" s="101" t="str">
        <f t="shared" si="15"/>
        <v>T</v>
      </c>
      <c r="AJ175" s="5">
        <f t="shared" si="16"/>
        <v>42435</v>
      </c>
      <c r="AK175" s="4" t="str">
        <f t="shared" si="17"/>
        <v>R</v>
      </c>
    </row>
    <row r="176" spans="1:37" x14ac:dyDescent="0.25">
      <c r="A176" s="91" t="s">
        <v>709</v>
      </c>
      <c r="B176" s="91">
        <v>160014</v>
      </c>
      <c r="C176" s="95">
        <v>4</v>
      </c>
      <c r="D176" s="91" t="s">
        <v>710</v>
      </c>
      <c r="E176" s="91" t="s">
        <v>65</v>
      </c>
      <c r="F176" s="95" t="s">
        <v>80</v>
      </c>
      <c r="G176" s="3">
        <v>960</v>
      </c>
      <c r="H176" s="2">
        <v>42437</v>
      </c>
      <c r="I176" s="2">
        <v>42437</v>
      </c>
      <c r="J176" s="2">
        <v>42437</v>
      </c>
      <c r="K176" s="2">
        <v>42444</v>
      </c>
      <c r="L176" s="91" t="s">
        <v>31</v>
      </c>
      <c r="M176" s="91">
        <v>100</v>
      </c>
      <c r="N176" s="91">
        <v>160014</v>
      </c>
      <c r="P176" s="91">
        <v>0</v>
      </c>
      <c r="Q176" s="91">
        <v>1</v>
      </c>
      <c r="R176" s="3">
        <v>958</v>
      </c>
      <c r="S176" s="91">
        <v>1</v>
      </c>
      <c r="T176" s="91">
        <v>960</v>
      </c>
      <c r="U176" s="91">
        <v>0.5</v>
      </c>
      <c r="X176" s="91" t="s">
        <v>81</v>
      </c>
      <c r="Y176" s="91" t="s">
        <v>711</v>
      </c>
      <c r="Z176" s="91" t="s">
        <v>712</v>
      </c>
      <c r="AA176" s="4" t="s">
        <v>35</v>
      </c>
      <c r="AB176" s="4"/>
      <c r="AC176" s="4"/>
      <c r="AD176" s="4"/>
      <c r="AE176" s="6">
        <f t="shared" si="12"/>
        <v>3</v>
      </c>
      <c r="AF176" s="6" t="str">
        <f t="shared" si="13"/>
        <v/>
      </c>
      <c r="AG176" s="6" t="str">
        <f t="shared" si="14"/>
        <v/>
      </c>
      <c r="AH176" s="15" t="str">
        <f>IF(ISNA(VLOOKUP(A176,'offre secrétariat'!A:F,5,FALSE)),"",(VLOOKUP(A176,'offre secrétariat'!A:F,5,FALSE)))</f>
        <v/>
      </c>
      <c r="AI176" s="101" t="str">
        <f t="shared" si="15"/>
        <v/>
      </c>
      <c r="AJ176" s="5">
        <f t="shared" si="16"/>
        <v>42434</v>
      </c>
      <c r="AK176" s="4" t="str">
        <f t="shared" si="17"/>
        <v/>
      </c>
    </row>
    <row r="177" spans="1:37" x14ac:dyDescent="0.25">
      <c r="A177" s="91" t="s">
        <v>720</v>
      </c>
      <c r="B177" s="91">
        <v>160267</v>
      </c>
      <c r="C177" s="95">
        <v>4</v>
      </c>
      <c r="D177" s="91" t="s">
        <v>721</v>
      </c>
      <c r="E177" s="91" t="s">
        <v>29</v>
      </c>
      <c r="F177" s="95" t="s">
        <v>364</v>
      </c>
      <c r="G177" s="91">
        <v>820</v>
      </c>
      <c r="H177" s="2">
        <v>42437</v>
      </c>
      <c r="I177" s="2">
        <v>42449</v>
      </c>
      <c r="J177" s="2">
        <v>42446</v>
      </c>
      <c r="K177" s="2">
        <v>42460</v>
      </c>
      <c r="L177" s="91" t="s">
        <v>31</v>
      </c>
      <c r="M177" s="91">
        <v>80</v>
      </c>
      <c r="N177" s="91">
        <v>160267</v>
      </c>
      <c r="P177" s="91">
        <v>0</v>
      </c>
      <c r="Q177" s="91">
        <v>16</v>
      </c>
      <c r="R177" s="91">
        <v>819.22</v>
      </c>
      <c r="S177" s="91">
        <v>16</v>
      </c>
      <c r="T177" s="91">
        <v>820</v>
      </c>
      <c r="U177" s="91">
        <v>18</v>
      </c>
      <c r="V177" s="2">
        <v>42460</v>
      </c>
      <c r="W177" s="2">
        <v>42460</v>
      </c>
      <c r="X177" s="91" t="s">
        <v>722</v>
      </c>
      <c r="Y177" s="91" t="s">
        <v>719</v>
      </c>
      <c r="Z177" s="91" t="s">
        <v>367</v>
      </c>
      <c r="AA177" s="4" t="s">
        <v>35</v>
      </c>
      <c r="AB177" s="4"/>
      <c r="AC177" s="4"/>
      <c r="AD177" s="4"/>
      <c r="AE177" s="6">
        <f t="shared" si="12"/>
        <v>3</v>
      </c>
      <c r="AF177" s="6" t="str">
        <f t="shared" si="13"/>
        <v/>
      </c>
      <c r="AG177" s="6" t="str">
        <f t="shared" si="14"/>
        <v>o</v>
      </c>
      <c r="AH177" s="15">
        <f>IF(ISNA(VLOOKUP(A177,'offre secrétariat'!A:F,5,FALSE)),"",(VLOOKUP(A177,'offre secrétariat'!A:F,5,FALSE)))</f>
        <v>42446</v>
      </c>
      <c r="AI177" s="101" t="str">
        <f t="shared" si="15"/>
        <v>T</v>
      </c>
      <c r="AJ177" s="5">
        <f t="shared" si="16"/>
        <v>42446</v>
      </c>
      <c r="AK177" s="4" t="str">
        <f t="shared" si="17"/>
        <v>R</v>
      </c>
    </row>
    <row r="178" spans="1:37" x14ac:dyDescent="0.25">
      <c r="A178" s="91" t="s">
        <v>725</v>
      </c>
      <c r="C178" s="95">
        <v>3</v>
      </c>
      <c r="D178" s="91" t="s">
        <v>726</v>
      </c>
      <c r="E178" s="91" t="s">
        <v>51</v>
      </c>
      <c r="F178" s="95" t="s">
        <v>52</v>
      </c>
      <c r="G178" s="3">
        <v>21900</v>
      </c>
      <c r="H178" s="2">
        <v>42437</v>
      </c>
      <c r="I178" s="2">
        <v>42438</v>
      </c>
      <c r="J178" s="2">
        <v>42438</v>
      </c>
      <c r="K178" s="2">
        <v>42491</v>
      </c>
      <c r="L178" s="91" t="s">
        <v>31</v>
      </c>
      <c r="M178" s="91">
        <v>15</v>
      </c>
      <c r="P178" s="91">
        <v>0</v>
      </c>
      <c r="Q178" s="3">
        <v>196</v>
      </c>
      <c r="R178" s="3">
        <v>20827.689999999999</v>
      </c>
      <c r="S178" s="91">
        <v>0</v>
      </c>
      <c r="T178" s="91">
        <v>0</v>
      </c>
      <c r="U178" s="91">
        <v>0</v>
      </c>
      <c r="X178" s="91" t="s">
        <v>316</v>
      </c>
      <c r="Y178" s="91" t="s">
        <v>77</v>
      </c>
      <c r="Z178" s="91" t="s">
        <v>55</v>
      </c>
      <c r="AA178" s="4"/>
      <c r="AB178" s="4"/>
      <c r="AC178" s="4"/>
      <c r="AD178" s="4"/>
      <c r="AE178" s="6">
        <f t="shared" si="12"/>
        <v>3</v>
      </c>
      <c r="AF178" s="6" t="str">
        <f t="shared" si="13"/>
        <v/>
      </c>
      <c r="AG178" s="6" t="str">
        <f t="shared" si="14"/>
        <v>o</v>
      </c>
      <c r="AH178" s="15">
        <f>IF(ISNA(VLOOKUP(A178,'offre secrétariat'!A:F,5,FALSE)),"",(VLOOKUP(A178,'offre secrétariat'!A:F,5,FALSE)))</f>
        <v>42437</v>
      </c>
      <c r="AI178" s="101" t="str">
        <f t="shared" si="15"/>
        <v>T</v>
      </c>
      <c r="AJ178" s="5">
        <f t="shared" si="16"/>
        <v>42435</v>
      </c>
      <c r="AK178" s="4" t="str">
        <f t="shared" si="17"/>
        <v>R</v>
      </c>
    </row>
    <row r="179" spans="1:37" x14ac:dyDescent="0.25">
      <c r="A179" s="91" t="s">
        <v>727</v>
      </c>
      <c r="C179" s="95">
        <v>3</v>
      </c>
      <c r="D179" s="91" t="s">
        <v>728</v>
      </c>
      <c r="E179" s="91" t="s">
        <v>65</v>
      </c>
      <c r="F179" s="95" t="s">
        <v>80</v>
      </c>
      <c r="G179" s="3">
        <v>32400</v>
      </c>
      <c r="H179" s="2">
        <v>42438</v>
      </c>
      <c r="I179" s="2">
        <v>42445</v>
      </c>
      <c r="J179" s="2">
        <v>42445</v>
      </c>
      <c r="K179" s="2">
        <v>42461</v>
      </c>
      <c r="L179" s="91" t="s">
        <v>31</v>
      </c>
      <c r="M179" s="91">
        <v>30</v>
      </c>
      <c r="P179" s="91">
        <v>0</v>
      </c>
      <c r="Q179" s="91">
        <v>339</v>
      </c>
      <c r="R179" s="3">
        <v>32399.38</v>
      </c>
      <c r="S179" s="91">
        <v>0</v>
      </c>
      <c r="T179" s="91">
        <v>0</v>
      </c>
      <c r="U179" s="91">
        <v>0</v>
      </c>
      <c r="V179" s="2"/>
      <c r="W179" s="2"/>
      <c r="X179" s="91" t="s">
        <v>81</v>
      </c>
      <c r="Y179" s="91" t="s">
        <v>729</v>
      </c>
      <c r="Z179" s="91" t="s">
        <v>520</v>
      </c>
      <c r="AA179" s="4"/>
      <c r="AB179" s="4"/>
      <c r="AC179" s="4"/>
      <c r="AD179" s="4"/>
      <c r="AE179" s="6">
        <f t="shared" si="12"/>
        <v>3</v>
      </c>
      <c r="AF179" s="6" t="str">
        <f t="shared" si="13"/>
        <v/>
      </c>
      <c r="AG179" s="6" t="str">
        <f t="shared" si="14"/>
        <v>o</v>
      </c>
      <c r="AH179" s="15">
        <f>IF(ISNA(VLOOKUP(A179,'offre secrétariat'!A:F,5,FALSE)),"",(VLOOKUP(A179,'offre secrétariat'!A:F,5,FALSE)))</f>
        <v>42444</v>
      </c>
      <c r="AI179" s="101" t="str">
        <f t="shared" si="15"/>
        <v>T</v>
      </c>
      <c r="AJ179" s="5">
        <f t="shared" si="16"/>
        <v>42442</v>
      </c>
      <c r="AK179" s="4" t="str">
        <f t="shared" si="17"/>
        <v>R</v>
      </c>
    </row>
    <row r="180" spans="1:37" x14ac:dyDescent="0.25">
      <c r="A180" s="91" t="s">
        <v>741</v>
      </c>
      <c r="C180" s="95">
        <v>3</v>
      </c>
      <c r="D180" s="91" t="s">
        <v>742</v>
      </c>
      <c r="E180" s="91" t="s">
        <v>58</v>
      </c>
      <c r="F180" s="95" t="s">
        <v>30</v>
      </c>
      <c r="G180" s="3">
        <v>32140</v>
      </c>
      <c r="H180" s="2">
        <v>42440</v>
      </c>
      <c r="I180" s="2">
        <v>42468</v>
      </c>
      <c r="J180" s="2">
        <v>42472</v>
      </c>
      <c r="K180" s="2">
        <v>42552</v>
      </c>
      <c r="L180" s="91" t="s">
        <v>31</v>
      </c>
      <c r="M180" s="91">
        <v>25</v>
      </c>
      <c r="P180" s="91">
        <v>0</v>
      </c>
      <c r="Q180" s="91">
        <v>214</v>
      </c>
      <c r="R180" s="3">
        <v>31340.33</v>
      </c>
      <c r="S180" s="91">
        <v>0</v>
      </c>
      <c r="T180" s="3">
        <v>0</v>
      </c>
      <c r="U180" s="91">
        <v>0</v>
      </c>
      <c r="X180" s="91" t="s">
        <v>743</v>
      </c>
      <c r="Y180" s="91" t="s">
        <v>549</v>
      </c>
      <c r="Z180" s="91" t="s">
        <v>488</v>
      </c>
      <c r="AA180" s="4"/>
      <c r="AB180" s="4"/>
      <c r="AC180" s="4"/>
      <c r="AD180" s="4"/>
      <c r="AE180" s="6">
        <f t="shared" si="12"/>
        <v>4</v>
      </c>
      <c r="AF180" s="6">
        <f t="shared" si="13"/>
        <v>1</v>
      </c>
      <c r="AG180" s="6" t="str">
        <f t="shared" si="14"/>
        <v>o</v>
      </c>
      <c r="AH180" s="15">
        <f>IF(ISNA(VLOOKUP(A180,'offre secrétariat'!A:F,5,FALSE)),"",(VLOOKUP(A180,'offre secrétariat'!A:F,5,FALSE)))</f>
        <v>42472</v>
      </c>
      <c r="AI180" s="101" t="str">
        <f t="shared" si="15"/>
        <v>R</v>
      </c>
      <c r="AJ180" s="5">
        <f t="shared" si="16"/>
        <v>42465</v>
      </c>
      <c r="AK180" s="4" t="str">
        <f t="shared" si="17"/>
        <v>R</v>
      </c>
    </row>
    <row r="181" spans="1:37" x14ac:dyDescent="0.25">
      <c r="A181" s="91" t="s">
        <v>744</v>
      </c>
      <c r="B181" s="91">
        <v>164238</v>
      </c>
      <c r="C181" s="95">
        <v>4</v>
      </c>
      <c r="D181" s="91" t="s">
        <v>745</v>
      </c>
      <c r="E181" s="91" t="s">
        <v>29</v>
      </c>
      <c r="F181" s="95" t="s">
        <v>38</v>
      </c>
      <c r="G181" s="3">
        <v>980</v>
      </c>
      <c r="H181" s="2">
        <v>42440</v>
      </c>
      <c r="I181" s="2"/>
      <c r="J181" s="2">
        <v>42437</v>
      </c>
      <c r="L181" s="91" t="s">
        <v>31</v>
      </c>
      <c r="M181" s="91">
        <v>50</v>
      </c>
      <c r="N181" s="91">
        <v>164238</v>
      </c>
      <c r="P181" s="91">
        <v>0</v>
      </c>
      <c r="Q181" s="91">
        <v>18</v>
      </c>
      <c r="R181" s="91">
        <v>980.19</v>
      </c>
      <c r="S181" s="91">
        <v>18</v>
      </c>
      <c r="T181" s="91">
        <v>980</v>
      </c>
      <c r="U181" s="91">
        <v>15</v>
      </c>
      <c r="V181" s="2">
        <v>42446</v>
      </c>
      <c r="W181" s="2">
        <v>42447</v>
      </c>
      <c r="X181" s="91" t="s">
        <v>746</v>
      </c>
      <c r="Y181" s="91" t="s">
        <v>48</v>
      </c>
      <c r="Z181" s="91" t="s">
        <v>34</v>
      </c>
      <c r="AA181" s="4"/>
      <c r="AB181" s="4"/>
      <c r="AC181" s="4"/>
      <c r="AD181" s="4"/>
      <c r="AE181" s="6">
        <f t="shared" si="12"/>
        <v>3</v>
      </c>
      <c r="AF181" s="6" t="str">
        <f t="shared" si="13"/>
        <v/>
      </c>
      <c r="AG181" s="6" t="str">
        <f t="shared" si="14"/>
        <v/>
      </c>
      <c r="AH181" s="15" t="str">
        <f>IF(ISNA(VLOOKUP(A181,'offre secrétariat'!A:F,5,FALSE)),"",(VLOOKUP(A181,'offre secrétariat'!A:F,5,FALSE)))</f>
        <v/>
      </c>
      <c r="AI181" s="101" t="str">
        <f t="shared" si="15"/>
        <v/>
      </c>
      <c r="AJ181" s="5" t="str">
        <f t="shared" si="16"/>
        <v/>
      </c>
      <c r="AK181" s="4" t="str">
        <f t="shared" si="17"/>
        <v/>
      </c>
    </row>
    <row r="182" spans="1:37" x14ac:dyDescent="0.25">
      <c r="A182" s="91" t="s">
        <v>747</v>
      </c>
      <c r="C182" s="95">
        <v>3</v>
      </c>
      <c r="D182" s="91" t="s">
        <v>748</v>
      </c>
      <c r="E182" s="91" t="s">
        <v>29</v>
      </c>
      <c r="F182" s="95" t="s">
        <v>38</v>
      </c>
      <c r="G182" s="3">
        <v>3875</v>
      </c>
      <c r="H182" s="2">
        <v>42440</v>
      </c>
      <c r="I182" s="2"/>
      <c r="J182" s="2">
        <v>42437</v>
      </c>
      <c r="K182" s="2"/>
      <c r="L182" s="91" t="s">
        <v>31</v>
      </c>
      <c r="M182" s="91">
        <v>50</v>
      </c>
      <c r="P182" s="91">
        <v>0</v>
      </c>
      <c r="Q182" s="91">
        <v>85</v>
      </c>
      <c r="R182" s="3">
        <v>3875.07</v>
      </c>
      <c r="S182" s="91">
        <v>0</v>
      </c>
      <c r="T182" s="91">
        <v>0</v>
      </c>
      <c r="U182" s="91">
        <v>0</v>
      </c>
      <c r="X182" s="91" t="s">
        <v>749</v>
      </c>
      <c r="Y182" s="91" t="s">
        <v>48</v>
      </c>
      <c r="Z182" s="91" t="s">
        <v>34</v>
      </c>
      <c r="AA182" s="4"/>
      <c r="AB182" s="4"/>
      <c r="AC182" s="4"/>
      <c r="AD182" s="4"/>
      <c r="AE182" s="6">
        <f t="shared" si="12"/>
        <v>3</v>
      </c>
      <c r="AF182" s="6" t="str">
        <f t="shared" si="13"/>
        <v/>
      </c>
      <c r="AG182" s="6" t="str">
        <f t="shared" si="14"/>
        <v/>
      </c>
      <c r="AH182" s="15" t="str">
        <f>IF(ISNA(VLOOKUP(A182,'offre secrétariat'!A:F,5,FALSE)),"",(VLOOKUP(A182,'offre secrétariat'!A:F,5,FALSE)))</f>
        <v/>
      </c>
      <c r="AI182" s="101" t="str">
        <f t="shared" si="15"/>
        <v/>
      </c>
      <c r="AJ182" s="5" t="str">
        <f t="shared" si="16"/>
        <v/>
      </c>
      <c r="AK182" s="4" t="str">
        <f t="shared" si="17"/>
        <v/>
      </c>
    </row>
    <row r="183" spans="1:37" x14ac:dyDescent="0.25">
      <c r="A183" s="91" t="s">
        <v>750</v>
      </c>
      <c r="C183" s="95">
        <v>5</v>
      </c>
      <c r="D183" s="91" t="s">
        <v>751</v>
      </c>
      <c r="E183" s="91" t="s">
        <v>58</v>
      </c>
      <c r="F183" s="95" t="s">
        <v>30</v>
      </c>
      <c r="G183" s="3">
        <v>10970</v>
      </c>
      <c r="H183" s="2">
        <v>42440</v>
      </c>
      <c r="I183" s="2">
        <v>42447</v>
      </c>
      <c r="J183" s="2">
        <v>42451</v>
      </c>
      <c r="K183" s="2">
        <v>42460</v>
      </c>
      <c r="L183" s="91" t="s">
        <v>31</v>
      </c>
      <c r="M183" s="91">
        <v>30</v>
      </c>
      <c r="P183" s="91">
        <v>0</v>
      </c>
      <c r="Q183" s="91">
        <v>88</v>
      </c>
      <c r="R183" s="3">
        <v>10968.83</v>
      </c>
      <c r="S183" s="91">
        <v>0</v>
      </c>
      <c r="T183" s="3">
        <v>0</v>
      </c>
      <c r="U183" s="91">
        <v>0</v>
      </c>
      <c r="V183" s="2"/>
      <c r="W183" s="2"/>
      <c r="X183" s="91" t="s">
        <v>752</v>
      </c>
      <c r="Y183" s="91" t="s">
        <v>753</v>
      </c>
      <c r="Z183" s="91" t="s">
        <v>754</v>
      </c>
      <c r="AA183" s="4"/>
      <c r="AB183" s="4"/>
      <c r="AC183" s="4"/>
      <c r="AD183" s="4"/>
      <c r="AE183" s="6">
        <f t="shared" si="12"/>
        <v>3</v>
      </c>
      <c r="AF183" s="6">
        <f t="shared" si="13"/>
        <v>1</v>
      </c>
      <c r="AG183" s="6" t="str">
        <f t="shared" si="14"/>
        <v/>
      </c>
      <c r="AH183" s="15" t="str">
        <f>IF(ISNA(VLOOKUP(A183,'offre secrétariat'!A:F,5,FALSE)),"",(VLOOKUP(A183,'offre secrétariat'!A:F,5,FALSE)))</f>
        <v/>
      </c>
      <c r="AI183" s="101" t="str">
        <f t="shared" si="15"/>
        <v/>
      </c>
      <c r="AJ183" s="5">
        <f t="shared" si="16"/>
        <v>42444</v>
      </c>
      <c r="AK183" s="4" t="str">
        <f t="shared" si="17"/>
        <v/>
      </c>
    </row>
    <row r="184" spans="1:37" x14ac:dyDescent="0.25">
      <c r="A184" s="91" t="s">
        <v>755</v>
      </c>
      <c r="C184" s="95">
        <v>3</v>
      </c>
      <c r="D184" s="91" t="s">
        <v>756</v>
      </c>
      <c r="E184" s="91" t="s">
        <v>29</v>
      </c>
      <c r="F184" s="95" t="s">
        <v>38</v>
      </c>
      <c r="G184" s="3">
        <v>2745</v>
      </c>
      <c r="H184" s="2">
        <v>42440</v>
      </c>
      <c r="I184" s="2"/>
      <c r="J184" s="2">
        <v>42438</v>
      </c>
      <c r="K184" s="2"/>
      <c r="L184" s="91" t="s">
        <v>31</v>
      </c>
      <c r="M184" s="91">
        <v>50</v>
      </c>
      <c r="P184" s="91">
        <v>0</v>
      </c>
      <c r="Q184" s="91">
        <v>58</v>
      </c>
      <c r="R184" s="3">
        <v>2745.18</v>
      </c>
      <c r="S184" s="91">
        <v>0</v>
      </c>
      <c r="T184" s="91">
        <v>0</v>
      </c>
      <c r="U184" s="91">
        <v>0</v>
      </c>
      <c r="X184" s="91" t="s">
        <v>757</v>
      </c>
      <c r="Y184" s="91" t="s">
        <v>758</v>
      </c>
      <c r="Z184" s="91" t="s">
        <v>34</v>
      </c>
      <c r="AA184" s="4"/>
      <c r="AB184" s="4"/>
      <c r="AC184" s="4"/>
      <c r="AD184" s="4"/>
      <c r="AE184" s="6">
        <f t="shared" si="12"/>
        <v>3</v>
      </c>
      <c r="AF184" s="6" t="str">
        <f t="shared" si="13"/>
        <v/>
      </c>
      <c r="AG184" s="6" t="str">
        <f t="shared" si="14"/>
        <v/>
      </c>
      <c r="AH184" s="15" t="str">
        <f>IF(ISNA(VLOOKUP(A184,'offre secrétariat'!A:F,5,FALSE)),"",(VLOOKUP(A184,'offre secrétariat'!A:F,5,FALSE)))</f>
        <v/>
      </c>
      <c r="AI184" s="101" t="str">
        <f t="shared" si="15"/>
        <v/>
      </c>
      <c r="AJ184" s="5" t="str">
        <f t="shared" si="16"/>
        <v/>
      </c>
      <c r="AK184" s="4" t="str">
        <f t="shared" si="17"/>
        <v/>
      </c>
    </row>
    <row r="185" spans="1:37" x14ac:dyDescent="0.25">
      <c r="A185" s="91" t="s">
        <v>759</v>
      </c>
      <c r="B185" s="91">
        <v>164242</v>
      </c>
      <c r="C185" s="95">
        <v>4</v>
      </c>
      <c r="D185" s="91" t="s">
        <v>760</v>
      </c>
      <c r="E185" s="91" t="s">
        <v>29</v>
      </c>
      <c r="F185" s="95" t="s">
        <v>38</v>
      </c>
      <c r="G185" s="3">
        <v>395</v>
      </c>
      <c r="H185" s="2">
        <v>42440</v>
      </c>
      <c r="I185" s="2"/>
      <c r="J185" s="2">
        <v>42439</v>
      </c>
      <c r="K185" s="2"/>
      <c r="L185" s="91" t="s">
        <v>31</v>
      </c>
      <c r="M185" s="91">
        <v>50</v>
      </c>
      <c r="N185" s="91">
        <v>164242</v>
      </c>
      <c r="P185" s="91">
        <v>0</v>
      </c>
      <c r="Q185" s="3">
        <v>8</v>
      </c>
      <c r="R185" s="3">
        <v>395.48</v>
      </c>
      <c r="S185" s="91">
        <v>8</v>
      </c>
      <c r="T185" s="91">
        <v>395</v>
      </c>
      <c r="U185" s="91">
        <v>8</v>
      </c>
      <c r="V185" s="2">
        <v>42473</v>
      </c>
      <c r="W185" s="2">
        <v>42473</v>
      </c>
      <c r="X185" s="91" t="s">
        <v>761</v>
      </c>
      <c r="Y185" s="91" t="s">
        <v>48</v>
      </c>
      <c r="Z185" s="91" t="s">
        <v>34</v>
      </c>
      <c r="AA185" s="4"/>
      <c r="AB185" s="4"/>
      <c r="AC185" s="4"/>
      <c r="AD185" s="4"/>
      <c r="AE185" s="6">
        <f t="shared" si="12"/>
        <v>3</v>
      </c>
      <c r="AF185" s="6" t="str">
        <f t="shared" si="13"/>
        <v/>
      </c>
      <c r="AG185" s="6" t="str">
        <f t="shared" si="14"/>
        <v/>
      </c>
      <c r="AH185" s="15" t="str">
        <f>IF(ISNA(VLOOKUP(A185,'offre secrétariat'!A:F,5,FALSE)),"",(VLOOKUP(A185,'offre secrétariat'!A:F,5,FALSE)))</f>
        <v/>
      </c>
      <c r="AI185" s="101" t="str">
        <f t="shared" si="15"/>
        <v/>
      </c>
      <c r="AJ185" s="5" t="str">
        <f t="shared" si="16"/>
        <v/>
      </c>
      <c r="AK185" s="4" t="str">
        <f t="shared" si="17"/>
        <v/>
      </c>
    </row>
    <row r="186" spans="1:37" x14ac:dyDescent="0.25">
      <c r="A186" s="91" t="s">
        <v>762</v>
      </c>
      <c r="C186" s="95">
        <v>3</v>
      </c>
      <c r="D186" s="91" t="s">
        <v>763</v>
      </c>
      <c r="E186" s="91" t="s">
        <v>29</v>
      </c>
      <c r="F186" s="95" t="s">
        <v>38</v>
      </c>
      <c r="G186" s="3">
        <v>3980</v>
      </c>
      <c r="H186" s="2">
        <v>42440</v>
      </c>
      <c r="J186" s="2">
        <v>42439</v>
      </c>
      <c r="L186" s="91" t="s">
        <v>31</v>
      </c>
      <c r="M186" s="91">
        <v>50</v>
      </c>
      <c r="P186" s="91">
        <v>0</v>
      </c>
      <c r="Q186" s="91">
        <v>74</v>
      </c>
      <c r="R186" s="3">
        <v>3980.12</v>
      </c>
      <c r="S186" s="91">
        <v>0</v>
      </c>
      <c r="T186" s="91">
        <v>0</v>
      </c>
      <c r="U186" s="91">
        <v>0</v>
      </c>
      <c r="X186" s="91" t="s">
        <v>764</v>
      </c>
      <c r="Y186" s="91" t="s">
        <v>765</v>
      </c>
      <c r="Z186" s="91" t="s">
        <v>34</v>
      </c>
      <c r="AA186" s="4"/>
      <c r="AB186" s="4"/>
      <c r="AC186" s="4"/>
      <c r="AD186" s="4"/>
      <c r="AE186" s="6">
        <f t="shared" si="12"/>
        <v>3</v>
      </c>
      <c r="AF186" s="6" t="str">
        <f t="shared" si="13"/>
        <v/>
      </c>
      <c r="AG186" s="6" t="str">
        <f t="shared" si="14"/>
        <v/>
      </c>
      <c r="AH186" s="15" t="str">
        <f>IF(ISNA(VLOOKUP(A186,'offre secrétariat'!A:F,5,FALSE)),"",(VLOOKUP(A186,'offre secrétariat'!A:F,5,FALSE)))</f>
        <v/>
      </c>
      <c r="AI186" s="101" t="str">
        <f t="shared" si="15"/>
        <v/>
      </c>
      <c r="AJ186" s="5" t="str">
        <f t="shared" si="16"/>
        <v/>
      </c>
      <c r="AK186" s="4" t="str">
        <f t="shared" si="17"/>
        <v/>
      </c>
    </row>
    <row r="187" spans="1:37" x14ac:dyDescent="0.25">
      <c r="A187" s="91" t="s">
        <v>766</v>
      </c>
      <c r="C187" s="95">
        <v>3</v>
      </c>
      <c r="D187" s="91" t="s">
        <v>767</v>
      </c>
      <c r="E187" s="91" t="s">
        <v>29</v>
      </c>
      <c r="F187" s="95" t="s">
        <v>38</v>
      </c>
      <c r="G187" s="3">
        <v>163800</v>
      </c>
      <c r="H187" s="2">
        <v>42440</v>
      </c>
      <c r="J187" s="2">
        <v>42445</v>
      </c>
      <c r="L187" s="91" t="s">
        <v>31</v>
      </c>
      <c r="M187" s="91">
        <v>50</v>
      </c>
      <c r="P187" s="91">
        <v>0</v>
      </c>
      <c r="Q187" s="3">
        <v>1520</v>
      </c>
      <c r="R187" s="3">
        <v>163800.53</v>
      </c>
      <c r="S187" s="91">
        <v>0</v>
      </c>
      <c r="T187" s="91">
        <v>0</v>
      </c>
      <c r="U187" s="91">
        <v>0</v>
      </c>
      <c r="X187" s="91" t="s">
        <v>768</v>
      </c>
      <c r="Y187" s="91" t="s">
        <v>93</v>
      </c>
      <c r="Z187" s="91" t="s">
        <v>34</v>
      </c>
      <c r="AA187" s="4"/>
      <c r="AB187" s="4"/>
      <c r="AC187" s="4"/>
      <c r="AD187" s="4"/>
      <c r="AE187" s="6">
        <f t="shared" si="12"/>
        <v>3</v>
      </c>
      <c r="AF187" s="6" t="str">
        <f t="shared" si="13"/>
        <v/>
      </c>
      <c r="AG187" s="6" t="str">
        <f t="shared" si="14"/>
        <v>o</v>
      </c>
      <c r="AH187" s="15">
        <f>IF(ISNA(VLOOKUP(A187,'offre secrétariat'!A:F,5,FALSE)),"",(VLOOKUP(A187,'offre secrétariat'!A:F,5,FALSE)))</f>
        <v>42440</v>
      </c>
      <c r="AI187" s="101" t="str">
        <f t="shared" si="15"/>
        <v>R</v>
      </c>
      <c r="AJ187" s="5">
        <f t="shared" si="16"/>
        <v>-3</v>
      </c>
      <c r="AK187" s="4" t="str">
        <f t="shared" si="17"/>
        <v>R</v>
      </c>
    </row>
    <row r="188" spans="1:37" x14ac:dyDescent="0.25">
      <c r="A188" s="91" t="s">
        <v>769</v>
      </c>
      <c r="B188" s="91">
        <v>161163</v>
      </c>
      <c r="C188" s="95">
        <v>4</v>
      </c>
      <c r="D188" s="91" t="s">
        <v>770</v>
      </c>
      <c r="E188" s="91" t="s">
        <v>58</v>
      </c>
      <c r="F188" s="95" t="s">
        <v>59</v>
      </c>
      <c r="G188" s="3">
        <v>0</v>
      </c>
      <c r="H188" s="2">
        <v>42443</v>
      </c>
      <c r="J188" s="2">
        <v>42443</v>
      </c>
      <c r="L188" s="91" t="s">
        <v>907</v>
      </c>
      <c r="M188" s="91">
        <v>0</v>
      </c>
      <c r="N188" s="91">
        <v>161163</v>
      </c>
      <c r="P188" s="91">
        <v>0</v>
      </c>
      <c r="Q188" s="91">
        <v>0</v>
      </c>
      <c r="R188" s="3">
        <v>0</v>
      </c>
      <c r="S188" s="91">
        <v>1</v>
      </c>
      <c r="T188" s="91">
        <v>0</v>
      </c>
      <c r="U188" s="91">
        <v>101.5</v>
      </c>
      <c r="V188" s="2">
        <v>42444</v>
      </c>
      <c r="W188" s="2">
        <v>42462</v>
      </c>
      <c r="X188" s="91" t="s">
        <v>100</v>
      </c>
      <c r="Y188" s="91" t="s">
        <v>471</v>
      </c>
      <c r="Z188" s="91" t="s">
        <v>472</v>
      </c>
      <c r="AA188" s="4"/>
      <c r="AB188" s="4"/>
      <c r="AC188" s="4"/>
      <c r="AD188" s="4"/>
      <c r="AE188" s="6">
        <f t="shared" si="12"/>
        <v>3</v>
      </c>
      <c r="AF188" s="6" t="str">
        <f t="shared" si="13"/>
        <v/>
      </c>
      <c r="AG188" s="6" t="str">
        <f t="shared" si="14"/>
        <v>o</v>
      </c>
      <c r="AH188" s="15">
        <f>IF(ISNA(VLOOKUP(A188,'offre secrétariat'!A:F,5,FALSE)),"",(VLOOKUP(A188,'offre secrétariat'!A:F,5,FALSE)))</f>
        <v>42443</v>
      </c>
      <c r="AI188" s="101" t="str">
        <f t="shared" si="15"/>
        <v>R</v>
      </c>
      <c r="AJ188" s="5">
        <f t="shared" si="16"/>
        <v>-3</v>
      </c>
      <c r="AK188" s="4" t="str">
        <f t="shared" si="17"/>
        <v>R</v>
      </c>
    </row>
    <row r="189" spans="1:37" x14ac:dyDescent="0.25">
      <c r="A189" s="91" t="s">
        <v>771</v>
      </c>
      <c r="B189" s="91">
        <v>160264</v>
      </c>
      <c r="C189" s="95">
        <v>4</v>
      </c>
      <c r="D189" s="91" t="s">
        <v>772</v>
      </c>
      <c r="E189" s="91" t="s">
        <v>29</v>
      </c>
      <c r="F189" s="95" t="s">
        <v>30</v>
      </c>
      <c r="G189" s="3">
        <v>2785</v>
      </c>
      <c r="H189" s="2">
        <v>42444</v>
      </c>
      <c r="I189" s="2">
        <v>42447</v>
      </c>
      <c r="J189" s="2">
        <v>42446</v>
      </c>
      <c r="K189" s="2">
        <v>42451</v>
      </c>
      <c r="L189" s="91" t="s">
        <v>31</v>
      </c>
      <c r="M189" s="91">
        <v>30</v>
      </c>
      <c r="N189" s="91">
        <v>160264</v>
      </c>
      <c r="P189" s="91">
        <v>0</v>
      </c>
      <c r="Q189" s="91">
        <v>50</v>
      </c>
      <c r="R189" s="3">
        <v>2784.05</v>
      </c>
      <c r="S189" s="91">
        <v>50</v>
      </c>
      <c r="T189" s="3">
        <v>2785</v>
      </c>
      <c r="U189" s="91">
        <v>52</v>
      </c>
      <c r="V189" s="2">
        <v>42453</v>
      </c>
      <c r="W189" s="2">
        <v>42459</v>
      </c>
      <c r="X189" s="91" t="s">
        <v>773</v>
      </c>
      <c r="Y189" s="91" t="s">
        <v>603</v>
      </c>
      <c r="Z189" s="91" t="s">
        <v>604</v>
      </c>
      <c r="AA189" s="4"/>
      <c r="AB189" s="4"/>
      <c r="AC189" s="4"/>
      <c r="AD189" s="4"/>
      <c r="AE189" s="6">
        <f t="shared" si="12"/>
        <v>3</v>
      </c>
      <c r="AF189" s="6" t="str">
        <f t="shared" si="13"/>
        <v/>
      </c>
      <c r="AG189" s="6" t="str">
        <f t="shared" si="14"/>
        <v/>
      </c>
      <c r="AH189" s="15" t="str">
        <f>IF(ISNA(VLOOKUP(A189,'offre secrétariat'!A:F,5,FALSE)),"",(VLOOKUP(A189,'offre secrétariat'!A:F,5,FALSE)))</f>
        <v/>
      </c>
      <c r="AI189" s="101" t="str">
        <f t="shared" si="15"/>
        <v/>
      </c>
      <c r="AJ189" s="5">
        <f t="shared" si="16"/>
        <v>42444</v>
      </c>
      <c r="AK189" s="4" t="str">
        <f t="shared" si="17"/>
        <v/>
      </c>
    </row>
    <row r="190" spans="1:37" x14ac:dyDescent="0.25">
      <c r="A190" s="91" t="s">
        <v>774</v>
      </c>
      <c r="C190" s="95">
        <v>3</v>
      </c>
      <c r="D190" s="91" t="s">
        <v>775</v>
      </c>
      <c r="E190" s="91" t="s">
        <v>65</v>
      </c>
      <c r="F190" s="95" t="s">
        <v>66</v>
      </c>
      <c r="G190" s="3">
        <v>20365</v>
      </c>
      <c r="H190" s="2">
        <v>42444</v>
      </c>
      <c r="I190" s="2">
        <v>42451</v>
      </c>
      <c r="J190" s="2">
        <v>42459</v>
      </c>
      <c r="K190" s="2">
        <v>42461</v>
      </c>
      <c r="L190" s="91" t="s">
        <v>31</v>
      </c>
      <c r="M190" s="91">
        <v>50</v>
      </c>
      <c r="P190" s="91">
        <v>0</v>
      </c>
      <c r="Q190" s="91">
        <v>328</v>
      </c>
      <c r="R190" s="3">
        <v>20365.79</v>
      </c>
      <c r="S190" s="91">
        <v>0</v>
      </c>
      <c r="T190" s="91">
        <v>0</v>
      </c>
      <c r="U190" s="91">
        <v>0</v>
      </c>
      <c r="X190" s="91" t="s">
        <v>67</v>
      </c>
      <c r="Y190" s="91" t="s">
        <v>333</v>
      </c>
      <c r="Z190" s="91" t="s">
        <v>334</v>
      </c>
      <c r="AA190" s="4"/>
      <c r="AB190" s="4"/>
      <c r="AC190" s="4"/>
      <c r="AD190" s="4"/>
      <c r="AE190" s="6">
        <f t="shared" si="12"/>
        <v>3</v>
      </c>
      <c r="AF190" s="6">
        <f t="shared" si="13"/>
        <v>1</v>
      </c>
      <c r="AG190" s="6" t="str">
        <f t="shared" si="14"/>
        <v>o</v>
      </c>
      <c r="AH190" s="15">
        <f>IF(ISNA(VLOOKUP(A190,'offre secrétariat'!A:F,5,FALSE)),"",(VLOOKUP(A190,'offre secrétariat'!A:F,5,FALSE)))</f>
        <v>42458</v>
      </c>
      <c r="AI190" s="101" t="str">
        <f t="shared" si="15"/>
        <v>R</v>
      </c>
      <c r="AJ190" s="5">
        <f t="shared" si="16"/>
        <v>42448</v>
      </c>
      <c r="AK190" s="4" t="str">
        <f t="shared" si="17"/>
        <v>R</v>
      </c>
    </row>
    <row r="191" spans="1:37" x14ac:dyDescent="0.25">
      <c r="A191" s="91" t="s">
        <v>776</v>
      </c>
      <c r="B191" s="91">
        <v>160257</v>
      </c>
      <c r="C191" s="95">
        <v>4</v>
      </c>
      <c r="D191" s="91" t="s">
        <v>777</v>
      </c>
      <c r="E191" s="91" t="s">
        <v>29</v>
      </c>
      <c r="F191" s="95" t="s">
        <v>364</v>
      </c>
      <c r="G191" s="3">
        <v>1440</v>
      </c>
      <c r="H191" s="2">
        <v>42445</v>
      </c>
      <c r="I191" s="2">
        <v>42450</v>
      </c>
      <c r="J191" s="2">
        <v>42446</v>
      </c>
      <c r="K191" s="2">
        <v>42460</v>
      </c>
      <c r="L191" s="91" t="s">
        <v>31</v>
      </c>
      <c r="M191" s="91">
        <v>80</v>
      </c>
      <c r="N191" s="91">
        <v>160257</v>
      </c>
      <c r="P191" s="91">
        <v>0</v>
      </c>
      <c r="Q191" s="91">
        <v>26</v>
      </c>
      <c r="R191" s="3">
        <v>1392.08</v>
      </c>
      <c r="S191" s="91">
        <v>26</v>
      </c>
      <c r="T191" s="3">
        <v>1440</v>
      </c>
      <c r="U191" s="91">
        <v>0</v>
      </c>
      <c r="X191" s="91" t="s">
        <v>778</v>
      </c>
      <c r="Y191" s="91" t="s">
        <v>779</v>
      </c>
      <c r="Z191" s="91" t="s">
        <v>367</v>
      </c>
      <c r="AA191" s="4"/>
      <c r="AB191" s="4"/>
      <c r="AC191" s="4"/>
      <c r="AD191" s="4"/>
      <c r="AE191" s="6">
        <f t="shared" si="12"/>
        <v>3</v>
      </c>
      <c r="AF191" s="6" t="str">
        <f t="shared" si="13"/>
        <v/>
      </c>
      <c r="AG191" s="6" t="str">
        <f t="shared" si="14"/>
        <v>o</v>
      </c>
      <c r="AH191" s="15">
        <f>IF(ISNA(VLOOKUP(A191,'offre secrétariat'!A:F,5,FALSE)),"",(VLOOKUP(A191,'offre secrétariat'!A:F,5,FALSE)))</f>
        <v>42446</v>
      </c>
      <c r="AI191" s="101" t="str">
        <f t="shared" si="15"/>
        <v>T</v>
      </c>
      <c r="AJ191" s="5">
        <f t="shared" si="16"/>
        <v>42447</v>
      </c>
      <c r="AK191" s="4" t="str">
        <f t="shared" si="17"/>
        <v>A</v>
      </c>
    </row>
    <row r="192" spans="1:37" x14ac:dyDescent="0.25">
      <c r="A192" s="91" t="s">
        <v>780</v>
      </c>
      <c r="B192" s="91">
        <v>160258</v>
      </c>
      <c r="C192" s="95">
        <v>4</v>
      </c>
      <c r="D192" s="91" t="s">
        <v>781</v>
      </c>
      <c r="E192" s="91" t="s">
        <v>29</v>
      </c>
      <c r="F192" s="95" t="s">
        <v>364</v>
      </c>
      <c r="G192" s="3">
        <v>2390</v>
      </c>
      <c r="H192" s="2">
        <v>42445</v>
      </c>
      <c r="I192" s="2">
        <v>42450</v>
      </c>
      <c r="J192" s="2">
        <v>42446</v>
      </c>
      <c r="K192" s="2">
        <v>42460</v>
      </c>
      <c r="L192" s="91" t="s">
        <v>31</v>
      </c>
      <c r="M192" s="91">
        <v>80</v>
      </c>
      <c r="N192" s="91">
        <v>160258</v>
      </c>
      <c r="P192" s="91">
        <v>0</v>
      </c>
      <c r="Q192" s="91">
        <v>30</v>
      </c>
      <c r="R192" s="3">
        <v>1693.99</v>
      </c>
      <c r="S192" s="91">
        <v>1</v>
      </c>
      <c r="T192" s="3">
        <v>2390</v>
      </c>
      <c r="U192" s="91">
        <v>0</v>
      </c>
      <c r="X192" s="91" t="s">
        <v>778</v>
      </c>
      <c r="Y192" s="91" t="s">
        <v>779</v>
      </c>
      <c r="Z192" s="91" t="s">
        <v>367</v>
      </c>
      <c r="AA192" s="4"/>
      <c r="AB192" s="4"/>
      <c r="AC192" s="4"/>
      <c r="AD192" s="4"/>
      <c r="AE192" s="6">
        <f t="shared" si="12"/>
        <v>3</v>
      </c>
      <c r="AF192" s="6" t="str">
        <f t="shared" si="13"/>
        <v/>
      </c>
      <c r="AG192" s="6" t="str">
        <f t="shared" si="14"/>
        <v>o</v>
      </c>
      <c r="AH192" s="15">
        <f>IF(ISNA(VLOOKUP(A192,'offre secrétariat'!A:F,5,FALSE)),"",(VLOOKUP(A192,'offre secrétariat'!A:F,5,FALSE)))</f>
        <v>42446</v>
      </c>
      <c r="AI192" s="101" t="str">
        <f t="shared" si="15"/>
        <v>T</v>
      </c>
      <c r="AJ192" s="5">
        <f t="shared" si="16"/>
        <v>42447</v>
      </c>
      <c r="AK192" s="4" t="str">
        <f t="shared" si="17"/>
        <v>A</v>
      </c>
    </row>
    <row r="193" spans="1:37" x14ac:dyDescent="0.25">
      <c r="A193" s="91" t="s">
        <v>785</v>
      </c>
      <c r="C193" s="95">
        <v>3</v>
      </c>
      <c r="D193" s="91" t="s">
        <v>786</v>
      </c>
      <c r="E193" s="91" t="s">
        <v>58</v>
      </c>
      <c r="F193" s="95" t="s">
        <v>30</v>
      </c>
      <c r="G193" s="3">
        <v>9090</v>
      </c>
      <c r="H193" s="2">
        <v>42446</v>
      </c>
      <c r="I193" s="2">
        <v>42447</v>
      </c>
      <c r="J193" s="2">
        <v>42450</v>
      </c>
      <c r="K193" s="2">
        <v>42491</v>
      </c>
      <c r="L193" s="91" t="s">
        <v>31</v>
      </c>
      <c r="M193" s="91">
        <v>25</v>
      </c>
      <c r="P193" s="91">
        <v>0</v>
      </c>
      <c r="Q193" s="91">
        <v>62</v>
      </c>
      <c r="R193" s="3">
        <v>8837.7099999999991</v>
      </c>
      <c r="S193" s="91">
        <v>0</v>
      </c>
      <c r="T193" s="91">
        <v>0</v>
      </c>
      <c r="U193" s="91">
        <v>0</v>
      </c>
      <c r="X193" s="91" t="s">
        <v>787</v>
      </c>
      <c r="Y193" s="91" t="s">
        <v>788</v>
      </c>
      <c r="Z193" s="91" t="s">
        <v>789</v>
      </c>
      <c r="AA193" s="4"/>
      <c r="AB193" s="4"/>
      <c r="AC193" s="4"/>
      <c r="AD193" s="4"/>
      <c r="AE193" s="6">
        <f t="shared" si="12"/>
        <v>3</v>
      </c>
      <c r="AF193" s="6">
        <f t="shared" si="13"/>
        <v>1</v>
      </c>
      <c r="AG193" s="6" t="str">
        <f t="shared" si="14"/>
        <v/>
      </c>
      <c r="AH193" s="15" t="str">
        <f>IF(ISNA(VLOOKUP(A193,'offre secrétariat'!A:F,5,FALSE)),"",(VLOOKUP(A193,'offre secrétariat'!A:F,5,FALSE)))</f>
        <v/>
      </c>
      <c r="AI193" s="101" t="str">
        <f t="shared" si="15"/>
        <v/>
      </c>
      <c r="AJ193" s="5">
        <f t="shared" si="16"/>
        <v>42444</v>
      </c>
      <c r="AK193" s="4" t="str">
        <f t="shared" si="17"/>
        <v/>
      </c>
    </row>
    <row r="194" spans="1:37" x14ac:dyDescent="0.25">
      <c r="A194" s="91" t="s">
        <v>790</v>
      </c>
      <c r="B194" s="91">
        <v>160622</v>
      </c>
      <c r="C194" s="95">
        <v>4</v>
      </c>
      <c r="D194" s="91" t="s">
        <v>791</v>
      </c>
      <c r="E194" s="91" t="s">
        <v>58</v>
      </c>
      <c r="F194" s="95" t="s">
        <v>87</v>
      </c>
      <c r="G194" s="3">
        <v>26340</v>
      </c>
      <c r="H194" s="2">
        <v>42446</v>
      </c>
      <c r="I194" s="2"/>
      <c r="J194" s="2">
        <v>42446</v>
      </c>
      <c r="K194" s="2"/>
      <c r="L194" s="91" t="s">
        <v>31</v>
      </c>
      <c r="M194" s="91">
        <v>0</v>
      </c>
      <c r="N194" s="91">
        <v>160622</v>
      </c>
      <c r="P194" s="91">
        <v>0</v>
      </c>
      <c r="Q194" s="91">
        <v>0</v>
      </c>
      <c r="R194" s="91">
        <v>0</v>
      </c>
      <c r="S194" s="91">
        <v>1</v>
      </c>
      <c r="T194" s="3">
        <v>26340</v>
      </c>
      <c r="U194" s="91">
        <v>196</v>
      </c>
      <c r="V194" s="2">
        <v>42446</v>
      </c>
      <c r="W194" s="2">
        <v>42454</v>
      </c>
      <c r="Y194" s="91" t="s">
        <v>792</v>
      </c>
      <c r="Z194" s="91" t="s">
        <v>793</v>
      </c>
      <c r="AA194" s="4"/>
      <c r="AB194" s="4"/>
      <c r="AC194" s="4"/>
      <c r="AD194" s="4"/>
      <c r="AE194" s="6">
        <f t="shared" ref="AE194:AE251" si="18">MONTH(J194)</f>
        <v>3</v>
      </c>
      <c r="AF194" s="6" t="str">
        <f t="shared" si="13"/>
        <v/>
      </c>
      <c r="AG194" s="6" t="str">
        <f t="shared" si="14"/>
        <v>o</v>
      </c>
      <c r="AH194" s="15">
        <f>IF(ISNA(VLOOKUP(A194,'offre secrétariat'!A:F,5,FALSE)),"",(VLOOKUP(A194,'offre secrétariat'!A:F,5,FALSE)))</f>
        <v>42446</v>
      </c>
      <c r="AI194" s="101" t="str">
        <f t="shared" si="15"/>
        <v>R</v>
      </c>
      <c r="AJ194" s="5">
        <f t="shared" si="16"/>
        <v>-3</v>
      </c>
      <c r="AK194" s="4" t="str">
        <f t="shared" si="17"/>
        <v>R</v>
      </c>
    </row>
    <row r="195" spans="1:37" x14ac:dyDescent="0.25">
      <c r="A195" s="91" t="s">
        <v>797</v>
      </c>
      <c r="C195" s="95">
        <v>5</v>
      </c>
      <c r="D195" s="91" t="s">
        <v>798</v>
      </c>
      <c r="E195" s="91" t="s">
        <v>58</v>
      </c>
      <c r="F195" s="95" t="s">
        <v>59</v>
      </c>
      <c r="G195" s="3">
        <v>148045</v>
      </c>
      <c r="H195" s="2">
        <v>42447</v>
      </c>
      <c r="I195" s="2">
        <v>42450</v>
      </c>
      <c r="J195" s="2">
        <v>42450</v>
      </c>
      <c r="K195" s="2">
        <v>42467</v>
      </c>
      <c r="L195" s="91" t="s">
        <v>31</v>
      </c>
      <c r="M195" s="91">
        <v>0</v>
      </c>
      <c r="P195" s="91">
        <v>0</v>
      </c>
      <c r="Q195" s="3">
        <v>3082</v>
      </c>
      <c r="R195" s="3">
        <v>148018.09</v>
      </c>
      <c r="S195" s="91">
        <v>0</v>
      </c>
      <c r="T195" s="91">
        <v>0</v>
      </c>
      <c r="U195" s="91">
        <v>0</v>
      </c>
      <c r="X195" s="91" t="s">
        <v>799</v>
      </c>
      <c r="Y195" s="91" t="s">
        <v>800</v>
      </c>
      <c r="Z195" s="91" t="s">
        <v>488</v>
      </c>
      <c r="AA195" s="4"/>
      <c r="AB195" s="4"/>
      <c r="AC195" s="4"/>
      <c r="AD195" s="4"/>
      <c r="AE195" s="6">
        <f t="shared" si="18"/>
        <v>3</v>
      </c>
      <c r="AF195" s="6" t="str">
        <f t="shared" ref="AF195:AF251" si="19">IF(OR(J195&lt;=I195,I195=""),"",1)</f>
        <v/>
      </c>
      <c r="AG195" s="6" t="str">
        <f t="shared" ref="AG195:AG251" si="20">IF(AH195="","","o")</f>
        <v>o</v>
      </c>
      <c r="AH195" s="15">
        <f>IF(ISNA(VLOOKUP(A195,'offre secrétariat'!A:F,5,FALSE)),"",(VLOOKUP(A195,'offre secrétariat'!A:F,5,FALSE)))</f>
        <v>42447</v>
      </c>
      <c r="AI195" s="101" t="str">
        <f t="shared" ref="AI195:AI251" si="21">IF(AND(AH195&lt;I195,AH195&lt;&gt;I195,AH195&lt;&gt;""),"T",IF(AND(AH195=I195,AH195&lt;&gt;""),"J",IF(AH195="","","R")))</f>
        <v>T</v>
      </c>
      <c r="AJ195" s="5">
        <f t="shared" ref="AJ195:AJ251" si="22">IF(AND(I195="",AH195=""),"",I195-3)</f>
        <v>42447</v>
      </c>
      <c r="AK195" s="4" t="str">
        <f t="shared" ref="AK195:AK251" si="23">IF(AND(AH195&lt;I195,AH195&lt;AJ195,AH195&lt;&gt;I195,AH195&lt;&gt;AJ195,AH195&lt;&gt;""),"A",IF(AND(AJ195&lt;AH195&lt;I195,AH195&lt;&gt;I195,AH195&lt;&gt;""),"T",IF(AND(AH195=I195,AH195&lt;&gt;""),"J",IF(AH195="","","R"))))</f>
        <v>R</v>
      </c>
    </row>
    <row r="196" spans="1:37" x14ac:dyDescent="0.25">
      <c r="A196" s="91" t="s">
        <v>801</v>
      </c>
      <c r="C196" s="95">
        <v>3</v>
      </c>
      <c r="D196" s="91" t="s">
        <v>802</v>
      </c>
      <c r="E196" s="91" t="s">
        <v>29</v>
      </c>
      <c r="F196" s="95" t="s">
        <v>38</v>
      </c>
      <c r="G196" s="3">
        <v>5850</v>
      </c>
      <c r="H196" s="2">
        <v>42447</v>
      </c>
      <c r="J196" s="2">
        <v>42444</v>
      </c>
      <c r="L196" s="91" t="s">
        <v>31</v>
      </c>
      <c r="M196" s="91">
        <v>50</v>
      </c>
      <c r="P196" s="91">
        <v>0</v>
      </c>
      <c r="Q196" s="91">
        <v>60</v>
      </c>
      <c r="R196" s="3">
        <v>5850.21</v>
      </c>
      <c r="S196" s="91">
        <v>0</v>
      </c>
      <c r="T196" s="91">
        <v>0</v>
      </c>
      <c r="U196" s="91">
        <v>0</v>
      </c>
      <c r="X196" s="91" t="s">
        <v>803</v>
      </c>
      <c r="Y196" s="91" t="s">
        <v>163</v>
      </c>
      <c r="Z196" s="91" t="s">
        <v>34</v>
      </c>
      <c r="AA196" s="4"/>
      <c r="AB196" s="4"/>
      <c r="AC196" s="4"/>
      <c r="AD196" s="4"/>
      <c r="AE196" s="6">
        <f t="shared" si="18"/>
        <v>3</v>
      </c>
      <c r="AF196" s="6" t="str">
        <f t="shared" si="19"/>
        <v/>
      </c>
      <c r="AG196" s="6" t="str">
        <f t="shared" si="20"/>
        <v/>
      </c>
      <c r="AH196" s="15" t="str">
        <f>IF(ISNA(VLOOKUP(A196,'offre secrétariat'!A:F,5,FALSE)),"",(VLOOKUP(A196,'offre secrétariat'!A:F,5,FALSE)))</f>
        <v/>
      </c>
      <c r="AI196" s="101" t="str">
        <f t="shared" si="21"/>
        <v/>
      </c>
      <c r="AJ196" s="5" t="str">
        <f t="shared" si="22"/>
        <v/>
      </c>
      <c r="AK196" s="4" t="str">
        <f t="shared" si="23"/>
        <v/>
      </c>
    </row>
    <row r="197" spans="1:37" x14ac:dyDescent="0.25">
      <c r="A197" s="91" t="s">
        <v>804</v>
      </c>
      <c r="C197" s="95">
        <v>3</v>
      </c>
      <c r="D197" s="91" t="s">
        <v>805</v>
      </c>
      <c r="E197" s="91" t="s">
        <v>29</v>
      </c>
      <c r="F197" s="95" t="s">
        <v>38</v>
      </c>
      <c r="G197" s="3">
        <v>4280</v>
      </c>
      <c r="H197" s="2">
        <v>42447</v>
      </c>
      <c r="J197" s="2">
        <v>42446</v>
      </c>
      <c r="L197" s="91" t="s">
        <v>31</v>
      </c>
      <c r="M197" s="91">
        <v>50</v>
      </c>
      <c r="P197" s="91">
        <v>0</v>
      </c>
      <c r="Q197" s="91">
        <v>84</v>
      </c>
      <c r="R197" s="3">
        <v>4280.67</v>
      </c>
      <c r="S197" s="91">
        <v>0</v>
      </c>
      <c r="T197" s="91">
        <v>0</v>
      </c>
      <c r="U197" s="91">
        <v>0</v>
      </c>
      <c r="X197" s="91" t="s">
        <v>806</v>
      </c>
      <c r="Y197" s="91" t="s">
        <v>163</v>
      </c>
      <c r="Z197" s="91" t="s">
        <v>34</v>
      </c>
      <c r="AA197" s="4"/>
      <c r="AB197" s="4"/>
      <c r="AC197" s="4"/>
      <c r="AD197" s="4"/>
      <c r="AE197" s="6">
        <f t="shared" si="18"/>
        <v>3</v>
      </c>
      <c r="AF197" s="6" t="str">
        <f t="shared" si="19"/>
        <v/>
      </c>
      <c r="AG197" s="6" t="str">
        <f t="shared" si="20"/>
        <v/>
      </c>
      <c r="AH197" s="15" t="str">
        <f>IF(ISNA(VLOOKUP(A197,'offre secrétariat'!A:F,5,FALSE)),"",(VLOOKUP(A197,'offre secrétariat'!A:F,5,FALSE)))</f>
        <v/>
      </c>
      <c r="AI197" s="101" t="str">
        <f t="shared" si="21"/>
        <v/>
      </c>
      <c r="AJ197" s="5" t="str">
        <f t="shared" si="22"/>
        <v/>
      </c>
      <c r="AK197" s="4" t="str">
        <f t="shared" si="23"/>
        <v/>
      </c>
    </row>
    <row r="198" spans="1:37" x14ac:dyDescent="0.25">
      <c r="A198" s="91" t="s">
        <v>807</v>
      </c>
      <c r="C198" s="95">
        <v>3</v>
      </c>
      <c r="D198" s="91" t="s">
        <v>808</v>
      </c>
      <c r="E198" s="91" t="s">
        <v>29</v>
      </c>
      <c r="F198" s="95" t="s">
        <v>38</v>
      </c>
      <c r="G198" s="3">
        <v>2450</v>
      </c>
      <c r="H198" s="2">
        <v>42447</v>
      </c>
      <c r="J198" s="2">
        <v>42444</v>
      </c>
      <c r="L198" s="91" t="s">
        <v>31</v>
      </c>
      <c r="M198" s="91">
        <v>50</v>
      </c>
      <c r="P198" s="91">
        <v>0</v>
      </c>
      <c r="Q198" s="91">
        <v>50</v>
      </c>
      <c r="R198" s="3">
        <v>2450.4299999999998</v>
      </c>
      <c r="S198" s="91">
        <v>0</v>
      </c>
      <c r="T198" s="91">
        <v>0</v>
      </c>
      <c r="U198" s="91">
        <v>0</v>
      </c>
      <c r="X198" s="91" t="s">
        <v>809</v>
      </c>
      <c r="Y198" s="91" t="s">
        <v>810</v>
      </c>
      <c r="Z198" s="91" t="s">
        <v>34</v>
      </c>
      <c r="AA198" s="4"/>
      <c r="AB198" s="4"/>
      <c r="AC198" s="4"/>
      <c r="AD198" s="4"/>
      <c r="AE198" s="6">
        <f t="shared" si="18"/>
        <v>3</v>
      </c>
      <c r="AF198" s="6" t="str">
        <f t="shared" si="19"/>
        <v/>
      </c>
      <c r="AG198" s="6" t="str">
        <f t="shared" si="20"/>
        <v/>
      </c>
      <c r="AH198" s="15" t="str">
        <f>IF(ISNA(VLOOKUP(A198,'offre secrétariat'!A:F,5,FALSE)),"",(VLOOKUP(A198,'offre secrétariat'!A:F,5,FALSE)))</f>
        <v/>
      </c>
      <c r="AI198" s="101" t="str">
        <f t="shared" si="21"/>
        <v/>
      </c>
      <c r="AJ198" s="5" t="str">
        <f t="shared" si="22"/>
        <v/>
      </c>
      <c r="AK198" s="4" t="str">
        <f t="shared" si="23"/>
        <v/>
      </c>
    </row>
    <row r="199" spans="1:37" x14ac:dyDescent="0.25">
      <c r="A199" s="91" t="s">
        <v>811</v>
      </c>
      <c r="C199" s="95">
        <v>3</v>
      </c>
      <c r="D199" s="91" t="s">
        <v>812</v>
      </c>
      <c r="E199" s="91" t="s">
        <v>65</v>
      </c>
      <c r="F199" s="95" t="s">
        <v>66</v>
      </c>
      <c r="G199" s="91">
        <v>0</v>
      </c>
      <c r="H199" s="2">
        <v>42447</v>
      </c>
      <c r="I199" s="2">
        <v>42461</v>
      </c>
      <c r="J199" s="2">
        <v>42460</v>
      </c>
      <c r="K199" s="2">
        <v>42480</v>
      </c>
      <c r="L199" s="91" t="s">
        <v>907</v>
      </c>
      <c r="M199" s="91">
        <v>50</v>
      </c>
      <c r="P199" s="91">
        <v>0</v>
      </c>
      <c r="Q199" s="91">
        <v>0</v>
      </c>
      <c r="R199" s="91">
        <v>0</v>
      </c>
      <c r="S199" s="91">
        <v>0</v>
      </c>
      <c r="T199" s="91">
        <v>0</v>
      </c>
      <c r="U199" s="91">
        <v>0</v>
      </c>
      <c r="X199" s="91" t="s">
        <v>81</v>
      </c>
      <c r="Y199" s="91" t="s">
        <v>82</v>
      </c>
      <c r="Z199" s="91" t="s">
        <v>83</v>
      </c>
      <c r="AA199" s="4"/>
      <c r="AB199" s="4"/>
      <c r="AC199" s="4"/>
      <c r="AD199" s="4"/>
      <c r="AE199" s="6">
        <f t="shared" si="18"/>
        <v>3</v>
      </c>
      <c r="AF199" s="6" t="str">
        <f t="shared" si="19"/>
        <v/>
      </c>
      <c r="AG199" s="6" t="str">
        <f t="shared" si="20"/>
        <v>o</v>
      </c>
      <c r="AH199" s="15">
        <f>IF(ISNA(VLOOKUP(A199,'offre secrétariat'!A:F,5,FALSE)),"",(VLOOKUP(A199,'offre secrétariat'!A:F,5,FALSE)))</f>
        <v>42459</v>
      </c>
      <c r="AI199" s="101" t="str">
        <f t="shared" si="21"/>
        <v>T</v>
      </c>
      <c r="AJ199" s="5">
        <f t="shared" si="22"/>
        <v>42458</v>
      </c>
      <c r="AK199" s="4" t="str">
        <f t="shared" si="23"/>
        <v>R</v>
      </c>
    </row>
    <row r="200" spans="1:37" x14ac:dyDescent="0.25">
      <c r="A200" s="91" t="s">
        <v>815</v>
      </c>
      <c r="C200" s="95">
        <v>3</v>
      </c>
      <c r="D200" s="91" t="s">
        <v>816</v>
      </c>
      <c r="E200" s="91" t="s">
        <v>65</v>
      </c>
      <c r="F200" s="95" t="s">
        <v>80</v>
      </c>
      <c r="G200" s="3">
        <v>5360</v>
      </c>
      <c r="H200" s="2">
        <v>42451</v>
      </c>
      <c r="I200" s="2">
        <v>42454</v>
      </c>
      <c r="J200" s="2">
        <v>42454</v>
      </c>
      <c r="L200" s="91" t="s">
        <v>31</v>
      </c>
      <c r="M200" s="91">
        <v>0</v>
      </c>
      <c r="P200" s="91">
        <v>0</v>
      </c>
      <c r="Q200" s="91">
        <v>28</v>
      </c>
      <c r="R200" s="3">
        <v>5357.6</v>
      </c>
      <c r="S200" s="91">
        <v>0</v>
      </c>
      <c r="T200" s="91">
        <v>0</v>
      </c>
      <c r="U200" s="91">
        <v>0</v>
      </c>
      <c r="X200" s="91" t="s">
        <v>817</v>
      </c>
      <c r="Y200" s="91" t="s">
        <v>818</v>
      </c>
      <c r="Z200" s="91" t="s">
        <v>520</v>
      </c>
      <c r="AA200" s="4"/>
      <c r="AB200" s="4"/>
      <c r="AC200" s="4"/>
      <c r="AD200" s="4"/>
      <c r="AE200" s="6">
        <f t="shared" si="18"/>
        <v>3</v>
      </c>
      <c r="AF200" s="6" t="str">
        <f t="shared" si="19"/>
        <v/>
      </c>
      <c r="AG200" s="6" t="str">
        <f t="shared" si="20"/>
        <v>o</v>
      </c>
      <c r="AH200" s="15">
        <f>IF(ISNA(VLOOKUP(A200,'offre secrétariat'!A:F,5,FALSE)),"",(VLOOKUP(A200,'offre secrétariat'!A:F,5,FALSE)))</f>
        <v>42452</v>
      </c>
      <c r="AI200" s="101" t="str">
        <f t="shared" si="21"/>
        <v>T</v>
      </c>
      <c r="AJ200" s="5">
        <f t="shared" si="22"/>
        <v>42451</v>
      </c>
      <c r="AK200" s="4" t="str">
        <f t="shared" si="23"/>
        <v>R</v>
      </c>
    </row>
    <row r="201" spans="1:37" x14ac:dyDescent="0.25">
      <c r="A201" s="91" t="s">
        <v>819</v>
      </c>
      <c r="C201" s="95">
        <v>3</v>
      </c>
      <c r="D201" s="91" t="s">
        <v>820</v>
      </c>
      <c r="E201" s="91" t="s">
        <v>58</v>
      </c>
      <c r="F201" s="95" t="s">
        <v>59</v>
      </c>
      <c r="G201" s="3">
        <v>86900</v>
      </c>
      <c r="H201" s="2">
        <v>42451</v>
      </c>
      <c r="I201" s="2">
        <v>42451</v>
      </c>
      <c r="J201" s="2">
        <v>42453</v>
      </c>
      <c r="K201" s="2">
        <v>42614</v>
      </c>
      <c r="L201" s="91" t="s">
        <v>31</v>
      </c>
      <c r="M201" s="91">
        <v>45</v>
      </c>
      <c r="P201" s="91">
        <v>0</v>
      </c>
      <c r="Q201" s="91">
        <v>782</v>
      </c>
      <c r="R201" s="3">
        <v>85597.45</v>
      </c>
      <c r="S201" s="91">
        <v>0</v>
      </c>
      <c r="T201" s="91">
        <v>0</v>
      </c>
      <c r="U201" s="91">
        <v>0</v>
      </c>
      <c r="X201" s="91" t="s">
        <v>821</v>
      </c>
      <c r="Y201" s="91" t="s">
        <v>111</v>
      </c>
      <c r="Z201" s="91" t="s">
        <v>112</v>
      </c>
      <c r="AA201" s="4"/>
      <c r="AB201" s="4"/>
      <c r="AC201" s="4"/>
      <c r="AD201" s="4"/>
      <c r="AE201" s="6">
        <f t="shared" si="18"/>
        <v>3</v>
      </c>
      <c r="AF201" s="6">
        <f t="shared" si="19"/>
        <v>1</v>
      </c>
      <c r="AG201" s="6" t="str">
        <f t="shared" si="20"/>
        <v>o</v>
      </c>
      <c r="AH201" s="15">
        <f>IF(ISNA(VLOOKUP(A201,'offre secrétariat'!A:F,5,FALSE)),"",(VLOOKUP(A201,'offre secrétariat'!A:F,5,FALSE)))</f>
        <v>42452</v>
      </c>
      <c r="AI201" s="101" t="str">
        <f t="shared" si="21"/>
        <v>R</v>
      </c>
      <c r="AJ201" s="5">
        <f t="shared" si="22"/>
        <v>42448</v>
      </c>
      <c r="AK201" s="4" t="str">
        <f t="shared" si="23"/>
        <v>R</v>
      </c>
    </row>
    <row r="202" spans="1:37" x14ac:dyDescent="0.25">
      <c r="A202" s="91" t="s">
        <v>822</v>
      </c>
      <c r="C202" s="95">
        <v>3</v>
      </c>
      <c r="D202" s="91" t="s">
        <v>823</v>
      </c>
      <c r="E202" s="91" t="s">
        <v>29</v>
      </c>
      <c r="F202" s="95" t="s">
        <v>138</v>
      </c>
      <c r="G202" s="3">
        <v>1346</v>
      </c>
      <c r="H202" s="2">
        <v>42451</v>
      </c>
      <c r="I202" s="2">
        <v>42459</v>
      </c>
      <c r="J202" s="2">
        <v>42459</v>
      </c>
      <c r="K202" s="2">
        <v>42551</v>
      </c>
      <c r="L202" s="91" t="s">
        <v>31</v>
      </c>
      <c r="M202" s="91">
        <v>50</v>
      </c>
      <c r="P202" s="91">
        <v>0</v>
      </c>
      <c r="Q202" s="91">
        <v>0</v>
      </c>
      <c r="R202" s="91">
        <v>0</v>
      </c>
      <c r="S202" s="91">
        <v>0</v>
      </c>
      <c r="T202" s="91">
        <v>0</v>
      </c>
      <c r="U202" s="91">
        <v>0</v>
      </c>
      <c r="X202" s="91" t="s">
        <v>353</v>
      </c>
      <c r="Y202" s="91" t="s">
        <v>824</v>
      </c>
      <c r="Z202" s="91" t="s">
        <v>34</v>
      </c>
      <c r="AA202" s="4"/>
      <c r="AB202" s="4"/>
      <c r="AC202" s="4"/>
      <c r="AD202" s="4"/>
      <c r="AE202" s="6">
        <f t="shared" si="18"/>
        <v>3</v>
      </c>
      <c r="AF202" s="6" t="str">
        <f t="shared" si="19"/>
        <v/>
      </c>
      <c r="AG202" s="6" t="str">
        <f t="shared" si="20"/>
        <v/>
      </c>
      <c r="AH202" s="15" t="str">
        <f>IF(ISNA(VLOOKUP(A202,'offre secrétariat'!A:F,5,FALSE)),"",(VLOOKUP(A202,'offre secrétariat'!A:F,5,FALSE)))</f>
        <v/>
      </c>
      <c r="AI202" s="101" t="str">
        <f t="shared" si="21"/>
        <v/>
      </c>
      <c r="AJ202" s="5">
        <f t="shared" si="22"/>
        <v>42456</v>
      </c>
      <c r="AK202" s="4" t="str">
        <f t="shared" si="23"/>
        <v/>
      </c>
    </row>
    <row r="203" spans="1:37" x14ac:dyDescent="0.25">
      <c r="A203" s="91" t="s">
        <v>825</v>
      </c>
      <c r="C203" s="95">
        <v>4</v>
      </c>
      <c r="D203" s="91" t="s">
        <v>826</v>
      </c>
      <c r="E203" s="91" t="s">
        <v>29</v>
      </c>
      <c r="F203" s="95" t="s">
        <v>138</v>
      </c>
      <c r="G203" s="3">
        <v>5650</v>
      </c>
      <c r="H203" s="2">
        <v>42451</v>
      </c>
      <c r="I203" s="2">
        <v>42459</v>
      </c>
      <c r="J203" s="2">
        <v>42459</v>
      </c>
      <c r="K203" s="2">
        <v>42490</v>
      </c>
      <c r="L203" s="91" t="s">
        <v>31</v>
      </c>
      <c r="M203" s="91">
        <v>50</v>
      </c>
      <c r="N203" s="91">
        <v>164040</v>
      </c>
      <c r="P203" s="91">
        <v>0</v>
      </c>
      <c r="Q203" s="91">
        <v>0</v>
      </c>
      <c r="R203" s="91">
        <v>0</v>
      </c>
      <c r="S203" s="91">
        <v>7</v>
      </c>
      <c r="T203" s="3">
        <v>62394</v>
      </c>
      <c r="U203" s="91">
        <v>850.75</v>
      </c>
      <c r="V203" s="2">
        <v>42429</v>
      </c>
      <c r="W203" s="2">
        <v>42475</v>
      </c>
      <c r="X203" s="91" t="s">
        <v>353</v>
      </c>
      <c r="Y203" s="91" t="s">
        <v>140</v>
      </c>
      <c r="Z203" s="91" t="s">
        <v>34</v>
      </c>
      <c r="AA203" s="4"/>
      <c r="AB203" s="4"/>
      <c r="AC203" s="4"/>
      <c r="AD203" s="4"/>
      <c r="AE203" s="6">
        <f t="shared" si="18"/>
        <v>3</v>
      </c>
      <c r="AF203" s="6" t="str">
        <f t="shared" si="19"/>
        <v/>
      </c>
      <c r="AG203" s="6" t="str">
        <f t="shared" si="20"/>
        <v/>
      </c>
      <c r="AH203" s="15" t="str">
        <f>IF(ISNA(VLOOKUP(A203,'offre secrétariat'!A:F,5,FALSE)),"",(VLOOKUP(A203,'offre secrétariat'!A:F,5,FALSE)))</f>
        <v/>
      </c>
      <c r="AI203" s="101" t="str">
        <f t="shared" si="21"/>
        <v/>
      </c>
      <c r="AJ203" s="5">
        <f t="shared" si="22"/>
        <v>42456</v>
      </c>
      <c r="AK203" s="4" t="str">
        <f t="shared" si="23"/>
        <v/>
      </c>
    </row>
    <row r="204" spans="1:37" x14ac:dyDescent="0.25">
      <c r="A204" s="91" t="s">
        <v>827</v>
      </c>
      <c r="C204" s="95">
        <v>3</v>
      </c>
      <c r="D204" s="91" t="s">
        <v>828</v>
      </c>
      <c r="E204" s="91" t="s">
        <v>29</v>
      </c>
      <c r="F204" s="95" t="s">
        <v>138</v>
      </c>
      <c r="G204" s="3">
        <v>4490</v>
      </c>
      <c r="H204" s="2">
        <v>42451</v>
      </c>
      <c r="I204" s="2">
        <v>42460</v>
      </c>
      <c r="J204" s="2">
        <v>42460</v>
      </c>
      <c r="K204" s="2">
        <v>42551</v>
      </c>
      <c r="L204" s="91" t="s">
        <v>31</v>
      </c>
      <c r="M204" s="91">
        <v>50</v>
      </c>
      <c r="P204" s="91">
        <v>0</v>
      </c>
      <c r="Q204" s="91">
        <v>66</v>
      </c>
      <c r="R204" s="3">
        <v>4483.7299999999996</v>
      </c>
      <c r="S204" s="91">
        <v>0</v>
      </c>
      <c r="T204" s="91">
        <v>0</v>
      </c>
      <c r="U204" s="91">
        <v>0</v>
      </c>
      <c r="X204" s="91" t="s">
        <v>353</v>
      </c>
      <c r="Y204" s="91" t="s">
        <v>829</v>
      </c>
      <c r="Z204" s="91" t="s">
        <v>34</v>
      </c>
      <c r="AA204" s="4"/>
      <c r="AB204" s="4"/>
      <c r="AC204" s="4"/>
      <c r="AD204" s="4"/>
      <c r="AE204" s="6">
        <f t="shared" si="18"/>
        <v>3</v>
      </c>
      <c r="AF204" s="6" t="str">
        <f t="shared" si="19"/>
        <v/>
      </c>
      <c r="AG204" s="6" t="str">
        <f t="shared" si="20"/>
        <v/>
      </c>
      <c r="AH204" s="15" t="str">
        <f>IF(ISNA(VLOOKUP(A204,'offre secrétariat'!A:F,5,FALSE)),"",(VLOOKUP(A204,'offre secrétariat'!A:F,5,FALSE)))</f>
        <v/>
      </c>
      <c r="AI204" s="101" t="str">
        <f t="shared" si="21"/>
        <v/>
      </c>
      <c r="AJ204" s="5">
        <f t="shared" si="22"/>
        <v>42457</v>
      </c>
      <c r="AK204" s="4" t="str">
        <f t="shared" si="23"/>
        <v/>
      </c>
    </row>
    <row r="205" spans="1:37" x14ac:dyDescent="0.25">
      <c r="A205" s="91" t="s">
        <v>830</v>
      </c>
      <c r="B205" s="91">
        <v>164048</v>
      </c>
      <c r="C205" s="95">
        <v>4</v>
      </c>
      <c r="D205" s="91" t="s">
        <v>1056</v>
      </c>
      <c r="E205" s="91" t="s">
        <v>29</v>
      </c>
      <c r="F205" s="95" t="s">
        <v>138</v>
      </c>
      <c r="G205" s="3">
        <v>1196</v>
      </c>
      <c r="H205" s="2">
        <v>42451</v>
      </c>
      <c r="I205" s="2">
        <v>42464</v>
      </c>
      <c r="J205" s="2">
        <v>42464</v>
      </c>
      <c r="K205" s="2">
        <v>42490</v>
      </c>
      <c r="L205" s="91" t="s">
        <v>31</v>
      </c>
      <c r="M205" s="91">
        <v>50</v>
      </c>
      <c r="N205" s="91">
        <v>164048</v>
      </c>
      <c r="P205" s="91">
        <v>0</v>
      </c>
      <c r="Q205" s="91">
        <v>0</v>
      </c>
      <c r="R205" s="91">
        <v>0</v>
      </c>
      <c r="S205" s="91">
        <v>1</v>
      </c>
      <c r="T205" s="3">
        <v>1196</v>
      </c>
      <c r="U205" s="91">
        <v>22</v>
      </c>
      <c r="V205" s="2">
        <v>42464</v>
      </c>
      <c r="W205" s="2">
        <v>42466</v>
      </c>
      <c r="X205" s="91" t="s">
        <v>353</v>
      </c>
      <c r="Y205" s="91" t="s">
        <v>140</v>
      </c>
      <c r="Z205" s="91" t="s">
        <v>34</v>
      </c>
      <c r="AA205" s="4"/>
      <c r="AB205" s="4"/>
      <c r="AC205" s="4"/>
      <c r="AD205" s="4"/>
      <c r="AE205" s="6">
        <f t="shared" si="18"/>
        <v>4</v>
      </c>
      <c r="AF205" s="6" t="str">
        <f t="shared" si="19"/>
        <v/>
      </c>
      <c r="AG205" s="6" t="str">
        <f t="shared" si="20"/>
        <v/>
      </c>
      <c r="AH205" s="15" t="str">
        <f>IF(ISNA(VLOOKUP(A205,'offre secrétariat'!A:F,5,FALSE)),"",(VLOOKUP(A205,'offre secrétariat'!A:F,5,FALSE)))</f>
        <v/>
      </c>
      <c r="AI205" s="101" t="str">
        <f t="shared" si="21"/>
        <v/>
      </c>
      <c r="AJ205" s="5">
        <f t="shared" si="22"/>
        <v>42461</v>
      </c>
      <c r="AK205" s="4" t="str">
        <f t="shared" si="23"/>
        <v/>
      </c>
    </row>
    <row r="206" spans="1:37" x14ac:dyDescent="0.25">
      <c r="A206" s="91" t="s">
        <v>832</v>
      </c>
      <c r="B206" s="91">
        <v>164051</v>
      </c>
      <c r="C206" s="95">
        <v>4</v>
      </c>
      <c r="D206" s="91" t="s">
        <v>1057</v>
      </c>
      <c r="E206" s="91" t="s">
        <v>29</v>
      </c>
      <c r="F206" s="95" t="s">
        <v>138</v>
      </c>
      <c r="G206" s="3">
        <v>1196</v>
      </c>
      <c r="H206" s="2">
        <v>42451</v>
      </c>
      <c r="I206" s="2">
        <v>42464</v>
      </c>
      <c r="J206" s="2">
        <v>42464</v>
      </c>
      <c r="K206" s="2">
        <v>42490</v>
      </c>
      <c r="L206" s="91" t="s">
        <v>31</v>
      </c>
      <c r="M206" s="91">
        <v>50</v>
      </c>
      <c r="N206" s="91">
        <v>164051</v>
      </c>
      <c r="P206" s="91">
        <v>0</v>
      </c>
      <c r="Q206" s="91">
        <v>0</v>
      </c>
      <c r="R206" s="91">
        <v>0</v>
      </c>
      <c r="S206" s="91">
        <v>1</v>
      </c>
      <c r="T206" s="3">
        <v>1196</v>
      </c>
      <c r="U206" s="91">
        <v>0</v>
      </c>
      <c r="X206" s="91" t="s">
        <v>353</v>
      </c>
      <c r="Y206" s="91" t="s">
        <v>140</v>
      </c>
      <c r="Z206" s="91" t="s">
        <v>34</v>
      </c>
      <c r="AA206" s="4"/>
      <c r="AB206" s="4"/>
      <c r="AC206" s="4"/>
      <c r="AD206" s="4"/>
      <c r="AE206" s="6">
        <f t="shared" si="18"/>
        <v>4</v>
      </c>
      <c r="AF206" s="6" t="str">
        <f t="shared" si="19"/>
        <v/>
      </c>
      <c r="AG206" s="6" t="str">
        <f t="shared" si="20"/>
        <v/>
      </c>
      <c r="AH206" s="15" t="str">
        <f>IF(ISNA(VLOOKUP(A206,'offre secrétariat'!A:F,5,FALSE)),"",(VLOOKUP(A206,'offre secrétariat'!A:F,5,FALSE)))</f>
        <v/>
      </c>
      <c r="AI206" s="101" t="str">
        <f t="shared" si="21"/>
        <v/>
      </c>
      <c r="AJ206" s="5">
        <f t="shared" si="22"/>
        <v>42461</v>
      </c>
      <c r="AK206" s="4" t="str">
        <f t="shared" si="23"/>
        <v/>
      </c>
    </row>
    <row r="207" spans="1:37" x14ac:dyDescent="0.25">
      <c r="A207" s="91" t="s">
        <v>833</v>
      </c>
      <c r="C207" s="95">
        <v>3</v>
      </c>
      <c r="D207" s="91" t="s">
        <v>1058</v>
      </c>
      <c r="E207" s="91" t="s">
        <v>29</v>
      </c>
      <c r="F207" s="95" t="s">
        <v>138</v>
      </c>
      <c r="G207" s="3">
        <v>2495</v>
      </c>
      <c r="H207" s="2">
        <v>42451</v>
      </c>
      <c r="I207" s="2">
        <v>42464</v>
      </c>
      <c r="J207" s="2">
        <v>42464</v>
      </c>
      <c r="K207" s="2">
        <v>42551</v>
      </c>
      <c r="L207" s="91" t="s">
        <v>31</v>
      </c>
      <c r="M207" s="91">
        <v>50</v>
      </c>
      <c r="P207" s="91">
        <v>0</v>
      </c>
      <c r="Q207" s="91">
        <v>44</v>
      </c>
      <c r="R207" s="3">
        <v>2496.33</v>
      </c>
      <c r="S207" s="91">
        <v>0</v>
      </c>
      <c r="T207" s="91">
        <v>0</v>
      </c>
      <c r="U207" s="91">
        <v>0</v>
      </c>
      <c r="X207" s="91" t="s">
        <v>353</v>
      </c>
      <c r="Y207" s="91" t="s">
        <v>140</v>
      </c>
      <c r="Z207" s="91" t="s">
        <v>34</v>
      </c>
      <c r="AA207" s="4"/>
      <c r="AB207" s="4"/>
      <c r="AC207" s="4"/>
      <c r="AD207" s="4"/>
      <c r="AE207" s="6">
        <f t="shared" si="18"/>
        <v>4</v>
      </c>
      <c r="AF207" s="6" t="str">
        <f t="shared" si="19"/>
        <v/>
      </c>
      <c r="AG207" s="6" t="str">
        <f t="shared" si="20"/>
        <v/>
      </c>
      <c r="AH207" s="15" t="str">
        <f>IF(ISNA(VLOOKUP(A207,'offre secrétariat'!A:F,5,FALSE)),"",(VLOOKUP(A207,'offre secrétariat'!A:F,5,FALSE)))</f>
        <v/>
      </c>
      <c r="AI207" s="101" t="str">
        <f t="shared" si="21"/>
        <v/>
      </c>
      <c r="AJ207" s="5">
        <f t="shared" si="22"/>
        <v>42461</v>
      </c>
      <c r="AK207" s="4" t="str">
        <f t="shared" si="23"/>
        <v/>
      </c>
    </row>
    <row r="208" spans="1:37" x14ac:dyDescent="0.25">
      <c r="A208" s="91" t="s">
        <v>834</v>
      </c>
      <c r="C208" s="95">
        <v>3</v>
      </c>
      <c r="D208" s="91" t="s">
        <v>1125</v>
      </c>
      <c r="E208" s="91" t="s">
        <v>29</v>
      </c>
      <c r="F208" s="95" t="s">
        <v>138</v>
      </c>
      <c r="G208" s="3">
        <v>17960</v>
      </c>
      <c r="H208" s="2">
        <v>42451</v>
      </c>
      <c r="I208" s="2">
        <v>42466</v>
      </c>
      <c r="J208" s="2">
        <v>42473</v>
      </c>
      <c r="K208" s="2">
        <v>42551</v>
      </c>
      <c r="L208" s="91" t="s">
        <v>31</v>
      </c>
      <c r="M208" s="91">
        <v>50</v>
      </c>
      <c r="P208" s="91">
        <v>0</v>
      </c>
      <c r="Q208" s="91">
        <v>290</v>
      </c>
      <c r="R208" s="3">
        <v>17966.38</v>
      </c>
      <c r="S208" s="91">
        <v>0</v>
      </c>
      <c r="T208" s="91">
        <v>0</v>
      </c>
      <c r="U208" s="91">
        <v>0</v>
      </c>
      <c r="X208" s="91" t="s">
        <v>1126</v>
      </c>
      <c r="Y208" s="91" t="s">
        <v>140</v>
      </c>
      <c r="Z208" s="91" t="s">
        <v>34</v>
      </c>
      <c r="AA208" s="4"/>
      <c r="AB208" s="4"/>
      <c r="AC208" s="4"/>
      <c r="AD208" s="4"/>
      <c r="AE208" s="6">
        <f t="shared" si="18"/>
        <v>4</v>
      </c>
      <c r="AF208" s="6">
        <f t="shared" si="19"/>
        <v>1</v>
      </c>
      <c r="AG208" s="6" t="str">
        <f t="shared" si="20"/>
        <v>o</v>
      </c>
      <c r="AH208" s="15">
        <f>IF(ISNA(VLOOKUP(A208,'offre secrétariat'!A:F,5,FALSE)),"",(VLOOKUP(A208,'offre secrétariat'!A:F,5,FALSE)))</f>
        <v>42472</v>
      </c>
      <c r="AI208" s="101" t="str">
        <f t="shared" si="21"/>
        <v>R</v>
      </c>
      <c r="AJ208" s="5">
        <f t="shared" si="22"/>
        <v>42463</v>
      </c>
      <c r="AK208" s="4" t="str">
        <f t="shared" si="23"/>
        <v>R</v>
      </c>
    </row>
    <row r="209" spans="1:37" x14ac:dyDescent="0.25">
      <c r="A209" s="91" t="s">
        <v>835</v>
      </c>
      <c r="B209" s="91">
        <v>164052</v>
      </c>
      <c r="C209" s="95">
        <v>4</v>
      </c>
      <c r="D209" s="91" t="s">
        <v>1059</v>
      </c>
      <c r="E209" s="91" t="s">
        <v>29</v>
      </c>
      <c r="F209" s="95" t="s">
        <v>138</v>
      </c>
      <c r="G209" s="3">
        <v>5125</v>
      </c>
      <c r="H209" s="2">
        <v>42451</v>
      </c>
      <c r="I209" s="2">
        <v>42468</v>
      </c>
      <c r="J209" s="2">
        <v>42468</v>
      </c>
      <c r="K209" s="2">
        <v>42490</v>
      </c>
      <c r="L209" s="91" t="s">
        <v>31</v>
      </c>
      <c r="M209" s="91">
        <v>50</v>
      </c>
      <c r="N209" s="91">
        <v>164052</v>
      </c>
      <c r="P209" s="91">
        <v>0</v>
      </c>
      <c r="Q209" s="91">
        <v>80</v>
      </c>
      <c r="R209" s="3">
        <v>5120.93</v>
      </c>
      <c r="S209" s="91">
        <v>80</v>
      </c>
      <c r="T209" s="3">
        <v>5125</v>
      </c>
      <c r="U209" s="91">
        <v>77</v>
      </c>
      <c r="V209" s="2">
        <v>42472</v>
      </c>
      <c r="W209" s="2">
        <v>42475</v>
      </c>
      <c r="X209" s="91" t="s">
        <v>353</v>
      </c>
      <c r="Y209" s="91" t="s">
        <v>140</v>
      </c>
      <c r="Z209" s="91" t="s">
        <v>34</v>
      </c>
      <c r="AA209" s="4"/>
      <c r="AB209" s="4"/>
      <c r="AC209" s="4"/>
      <c r="AD209" s="4"/>
      <c r="AE209" s="6">
        <f t="shared" si="18"/>
        <v>4</v>
      </c>
      <c r="AF209" s="6" t="str">
        <f t="shared" si="19"/>
        <v/>
      </c>
      <c r="AG209" s="6" t="str">
        <f t="shared" si="20"/>
        <v/>
      </c>
      <c r="AH209" s="15" t="str">
        <f>IF(ISNA(VLOOKUP(A209,'offre secrétariat'!A:F,5,FALSE)),"",(VLOOKUP(A209,'offre secrétariat'!A:F,5,FALSE)))</f>
        <v/>
      </c>
      <c r="AI209" s="101" t="str">
        <f t="shared" si="21"/>
        <v/>
      </c>
      <c r="AJ209" s="5">
        <f t="shared" si="22"/>
        <v>42465</v>
      </c>
      <c r="AK209" s="4" t="str">
        <f t="shared" si="23"/>
        <v/>
      </c>
    </row>
    <row r="210" spans="1:37" x14ac:dyDescent="0.25">
      <c r="A210" s="91" t="s">
        <v>836</v>
      </c>
      <c r="B210" s="91">
        <v>164050</v>
      </c>
      <c r="C210" s="95">
        <v>3</v>
      </c>
      <c r="D210" s="91" t="s">
        <v>1060</v>
      </c>
      <c r="E210" s="91" t="s">
        <v>29</v>
      </c>
      <c r="F210" s="95" t="s">
        <v>138</v>
      </c>
      <c r="G210" s="3">
        <v>4550</v>
      </c>
      <c r="H210" s="2">
        <v>42451</v>
      </c>
      <c r="I210" s="2"/>
      <c r="J210" s="2">
        <v>42468</v>
      </c>
      <c r="K210" s="2"/>
      <c r="L210" s="91" t="s">
        <v>31</v>
      </c>
      <c r="M210" s="91">
        <v>50</v>
      </c>
      <c r="N210" s="91">
        <v>164050</v>
      </c>
      <c r="P210" s="91">
        <v>0</v>
      </c>
      <c r="Q210" s="91">
        <v>0</v>
      </c>
      <c r="R210" s="91">
        <v>0</v>
      </c>
      <c r="S210" s="91">
        <v>1</v>
      </c>
      <c r="T210" s="3">
        <v>4550</v>
      </c>
      <c r="U210" s="91">
        <v>2</v>
      </c>
      <c r="X210" s="91" t="s">
        <v>353</v>
      </c>
      <c r="Y210" s="91" t="s">
        <v>140</v>
      </c>
      <c r="Z210" s="91" t="s">
        <v>34</v>
      </c>
      <c r="AA210" s="4"/>
      <c r="AB210" s="4"/>
      <c r="AC210" s="4"/>
      <c r="AD210" s="4"/>
      <c r="AE210" s="6">
        <f t="shared" si="18"/>
        <v>4</v>
      </c>
      <c r="AF210" s="6" t="str">
        <f t="shared" si="19"/>
        <v/>
      </c>
      <c r="AG210" s="6" t="str">
        <f t="shared" si="20"/>
        <v/>
      </c>
      <c r="AH210" s="15" t="str">
        <f>IF(ISNA(VLOOKUP(A210,'offre secrétariat'!A:F,5,FALSE)),"",(VLOOKUP(A210,'offre secrétariat'!A:F,5,FALSE)))</f>
        <v/>
      </c>
      <c r="AI210" s="101" t="str">
        <f t="shared" si="21"/>
        <v/>
      </c>
      <c r="AJ210" s="5" t="str">
        <f t="shared" si="22"/>
        <v/>
      </c>
      <c r="AK210" s="4" t="str">
        <f t="shared" si="23"/>
        <v/>
      </c>
    </row>
    <row r="211" spans="1:37" x14ac:dyDescent="0.25">
      <c r="A211" s="91" t="s">
        <v>837</v>
      </c>
      <c r="C211" s="95">
        <v>3</v>
      </c>
      <c r="D211" s="91" t="s">
        <v>1127</v>
      </c>
      <c r="E211" s="91" t="s">
        <v>29</v>
      </c>
      <c r="F211" s="95" t="s">
        <v>138</v>
      </c>
      <c r="G211" s="91">
        <v>725</v>
      </c>
      <c r="H211" s="2">
        <v>42451</v>
      </c>
      <c r="I211" s="2">
        <v>42474</v>
      </c>
      <c r="J211" s="2">
        <v>42474</v>
      </c>
      <c r="K211" s="2">
        <v>42490</v>
      </c>
      <c r="L211" s="91" t="s">
        <v>31</v>
      </c>
      <c r="M211" s="91">
        <v>50</v>
      </c>
      <c r="P211" s="91">
        <v>0</v>
      </c>
      <c r="Q211" s="91">
        <v>1</v>
      </c>
      <c r="R211" s="91">
        <v>725</v>
      </c>
      <c r="S211" s="91">
        <v>0</v>
      </c>
      <c r="T211" s="91">
        <v>0</v>
      </c>
      <c r="U211" s="91">
        <v>0</v>
      </c>
      <c r="X211" s="91" t="s">
        <v>1128</v>
      </c>
      <c r="Y211" s="91" t="s">
        <v>140</v>
      </c>
      <c r="Z211" s="91" t="s">
        <v>34</v>
      </c>
      <c r="AA211" s="4"/>
      <c r="AB211" s="4"/>
      <c r="AC211" s="4"/>
      <c r="AD211" s="4"/>
      <c r="AE211" s="6">
        <f t="shared" si="18"/>
        <v>4</v>
      </c>
      <c r="AF211" s="6" t="str">
        <f t="shared" si="19"/>
        <v/>
      </c>
      <c r="AG211" s="6" t="str">
        <f t="shared" si="20"/>
        <v/>
      </c>
      <c r="AH211" s="15" t="str">
        <f>IF(ISNA(VLOOKUP(A211,'offre secrétariat'!A:F,5,FALSE)),"",(VLOOKUP(A211,'offre secrétariat'!A:F,5,FALSE)))</f>
        <v/>
      </c>
      <c r="AI211" s="101" t="str">
        <f t="shared" si="21"/>
        <v/>
      </c>
      <c r="AJ211" s="5">
        <f t="shared" si="22"/>
        <v>42471</v>
      </c>
      <c r="AK211" s="4" t="str">
        <f t="shared" si="23"/>
        <v/>
      </c>
    </row>
    <row r="212" spans="1:37" x14ac:dyDescent="0.25">
      <c r="A212" s="91" t="s">
        <v>838</v>
      </c>
      <c r="C212" s="95">
        <v>3</v>
      </c>
      <c r="D212" s="91" t="s">
        <v>1129</v>
      </c>
      <c r="E212" s="91" t="s">
        <v>29</v>
      </c>
      <c r="F212" s="95" t="s">
        <v>138</v>
      </c>
      <c r="G212" s="91">
        <v>822</v>
      </c>
      <c r="H212" s="2">
        <v>42451</v>
      </c>
      <c r="I212" s="2">
        <v>42475</v>
      </c>
      <c r="J212" s="2">
        <v>42475</v>
      </c>
      <c r="K212" s="2">
        <v>42490</v>
      </c>
      <c r="L212" s="91" t="s">
        <v>31</v>
      </c>
      <c r="M212" s="91">
        <v>50</v>
      </c>
      <c r="P212" s="91">
        <v>0</v>
      </c>
      <c r="Q212" s="91">
        <v>0</v>
      </c>
      <c r="R212" s="91">
        <v>0</v>
      </c>
      <c r="S212" s="91">
        <v>0</v>
      </c>
      <c r="T212" s="91">
        <v>0</v>
      </c>
      <c r="U212" s="91">
        <v>0</v>
      </c>
      <c r="X212" s="91" t="s">
        <v>353</v>
      </c>
      <c r="Y212" s="91" t="s">
        <v>140</v>
      </c>
      <c r="Z212" s="91" t="s">
        <v>34</v>
      </c>
      <c r="AA212" s="4"/>
      <c r="AB212" s="4"/>
      <c r="AC212" s="4"/>
      <c r="AD212" s="4"/>
      <c r="AE212" s="6">
        <f t="shared" si="18"/>
        <v>4</v>
      </c>
      <c r="AF212" s="6" t="str">
        <f t="shared" si="19"/>
        <v/>
      </c>
      <c r="AG212" s="6" t="str">
        <f t="shared" si="20"/>
        <v/>
      </c>
      <c r="AH212" s="15" t="str">
        <f>IF(ISNA(VLOOKUP(A212,'offre secrétariat'!A:F,5,FALSE)),"",(VLOOKUP(A212,'offre secrétariat'!A:F,5,FALSE)))</f>
        <v/>
      </c>
      <c r="AI212" s="101" t="str">
        <f t="shared" si="21"/>
        <v/>
      </c>
      <c r="AJ212" s="5">
        <f t="shared" si="22"/>
        <v>42472</v>
      </c>
      <c r="AK212" s="4" t="str">
        <f t="shared" si="23"/>
        <v/>
      </c>
    </row>
    <row r="213" spans="1:37" x14ac:dyDescent="0.25">
      <c r="A213" s="91" t="s">
        <v>848</v>
      </c>
      <c r="B213" s="91">
        <v>160019</v>
      </c>
      <c r="C213" s="95">
        <v>4</v>
      </c>
      <c r="D213" s="91" t="s">
        <v>849</v>
      </c>
      <c r="E213" s="91" t="s">
        <v>65</v>
      </c>
      <c r="F213" s="95" t="s">
        <v>80</v>
      </c>
      <c r="G213" s="3">
        <v>2640</v>
      </c>
      <c r="H213" s="2">
        <v>42451</v>
      </c>
      <c r="I213" s="2">
        <v>42473</v>
      </c>
      <c r="J213" s="2">
        <v>42473</v>
      </c>
      <c r="K213" s="2">
        <v>42470</v>
      </c>
      <c r="L213" s="91" t="s">
        <v>31</v>
      </c>
      <c r="M213" s="91">
        <v>50</v>
      </c>
      <c r="N213" s="91">
        <v>160019</v>
      </c>
      <c r="P213" s="91">
        <v>0</v>
      </c>
      <c r="Q213" s="91">
        <v>48</v>
      </c>
      <c r="R213" s="3">
        <v>2600</v>
      </c>
      <c r="S213" s="91">
        <v>48</v>
      </c>
      <c r="T213" s="3">
        <v>2640</v>
      </c>
      <c r="U213" s="91">
        <v>0</v>
      </c>
      <c r="X213" s="91" t="s">
        <v>81</v>
      </c>
      <c r="Y213" s="91" t="s">
        <v>850</v>
      </c>
      <c r="Z213" s="91" t="s">
        <v>1124</v>
      </c>
      <c r="AA213" s="4"/>
      <c r="AB213" s="4"/>
      <c r="AC213" s="4"/>
      <c r="AD213" s="4"/>
      <c r="AE213" s="6">
        <f t="shared" si="18"/>
        <v>4</v>
      </c>
      <c r="AF213" s="6" t="str">
        <f t="shared" si="19"/>
        <v/>
      </c>
      <c r="AG213" s="6" t="str">
        <f t="shared" si="20"/>
        <v>o</v>
      </c>
      <c r="AH213" s="15">
        <f>IF(ISNA(VLOOKUP(A213,'offre secrétariat'!A:F,5,FALSE)),"",(VLOOKUP(A213,'offre secrétariat'!A:F,5,FALSE)))</f>
        <v>42473</v>
      </c>
      <c r="AI213" s="101" t="str">
        <f t="shared" si="21"/>
        <v>J</v>
      </c>
      <c r="AJ213" s="5">
        <f t="shared" si="22"/>
        <v>42470</v>
      </c>
      <c r="AK213" s="4" t="str">
        <f t="shared" si="23"/>
        <v>J</v>
      </c>
    </row>
    <row r="214" spans="1:37" x14ac:dyDescent="0.25">
      <c r="A214" s="91" t="s">
        <v>851</v>
      </c>
      <c r="C214" s="95">
        <v>3</v>
      </c>
      <c r="D214" s="91" t="s">
        <v>852</v>
      </c>
      <c r="E214" s="91" t="s">
        <v>65</v>
      </c>
      <c r="F214" s="95" t="s">
        <v>66</v>
      </c>
      <c r="G214" s="3">
        <v>1475</v>
      </c>
      <c r="H214" s="2">
        <v>42451</v>
      </c>
      <c r="I214" s="2">
        <v>42459</v>
      </c>
      <c r="J214" s="2">
        <v>42458</v>
      </c>
      <c r="K214" s="2"/>
      <c r="L214" s="91" t="s">
        <v>31</v>
      </c>
      <c r="M214" s="91">
        <v>20</v>
      </c>
      <c r="P214" s="91">
        <v>0</v>
      </c>
      <c r="Q214" s="91">
        <v>1</v>
      </c>
      <c r="R214" s="3">
        <v>1475.45</v>
      </c>
      <c r="S214" s="91">
        <v>0</v>
      </c>
      <c r="T214" s="3">
        <v>0</v>
      </c>
      <c r="U214" s="91">
        <v>0</v>
      </c>
      <c r="X214" s="91" t="s">
        <v>853</v>
      </c>
      <c r="Y214" s="91" t="s">
        <v>854</v>
      </c>
      <c r="Z214" s="91" t="s">
        <v>129</v>
      </c>
      <c r="AA214" s="4"/>
      <c r="AB214" s="4"/>
      <c r="AC214" s="4"/>
      <c r="AD214" s="4"/>
      <c r="AE214" s="6">
        <f t="shared" si="18"/>
        <v>3</v>
      </c>
      <c r="AF214" s="6" t="str">
        <f t="shared" si="19"/>
        <v/>
      </c>
      <c r="AG214" s="6" t="str">
        <f t="shared" si="20"/>
        <v/>
      </c>
      <c r="AH214" s="15" t="str">
        <f>IF(ISNA(VLOOKUP(A214,'offre secrétariat'!A:F,5,FALSE)),"",(VLOOKUP(A214,'offre secrétariat'!A:F,5,FALSE)))</f>
        <v/>
      </c>
      <c r="AI214" s="101" t="str">
        <f t="shared" si="21"/>
        <v/>
      </c>
      <c r="AJ214" s="5">
        <f t="shared" si="22"/>
        <v>42456</v>
      </c>
      <c r="AK214" s="4" t="str">
        <f t="shared" si="23"/>
        <v/>
      </c>
    </row>
    <row r="215" spans="1:37" x14ac:dyDescent="0.25">
      <c r="A215" s="91" t="s">
        <v>855</v>
      </c>
      <c r="C215" s="95">
        <v>3</v>
      </c>
      <c r="D215" s="91" t="s">
        <v>856</v>
      </c>
      <c r="E215" s="91" t="s">
        <v>65</v>
      </c>
      <c r="F215" s="95" t="s">
        <v>30</v>
      </c>
      <c r="G215" s="3">
        <v>114715</v>
      </c>
      <c r="H215" s="2">
        <v>42452</v>
      </c>
      <c r="I215" s="2">
        <v>42468</v>
      </c>
      <c r="J215" s="2">
        <v>42479</v>
      </c>
      <c r="K215" s="2">
        <v>42521</v>
      </c>
      <c r="L215" s="91" t="s">
        <v>31</v>
      </c>
      <c r="M215" s="91">
        <v>25</v>
      </c>
      <c r="P215" s="91">
        <v>0</v>
      </c>
      <c r="Q215" s="91">
        <v>920</v>
      </c>
      <c r="R215" s="3">
        <v>114712.58</v>
      </c>
      <c r="S215" s="91">
        <v>0</v>
      </c>
      <c r="T215" s="91">
        <v>0</v>
      </c>
      <c r="U215" s="91">
        <v>0</v>
      </c>
      <c r="X215" s="91" t="s">
        <v>1130</v>
      </c>
      <c r="Y215" s="91" t="s">
        <v>857</v>
      </c>
      <c r="Z215" s="91" t="s">
        <v>858</v>
      </c>
      <c r="AA215" s="4"/>
      <c r="AB215" s="4"/>
      <c r="AC215" s="4"/>
      <c r="AD215" s="4"/>
      <c r="AE215" s="6">
        <f t="shared" si="18"/>
        <v>4</v>
      </c>
      <c r="AF215" s="6">
        <f t="shared" si="19"/>
        <v>1</v>
      </c>
      <c r="AG215" s="6" t="str">
        <f t="shared" si="20"/>
        <v/>
      </c>
      <c r="AH215" s="15" t="str">
        <f>IF(ISNA(VLOOKUP(A215,'offre secrétariat'!A:F,5,FALSE)),"",(VLOOKUP(A215,'offre secrétariat'!A:F,5,FALSE)))</f>
        <v/>
      </c>
      <c r="AI215" s="101" t="str">
        <f t="shared" si="21"/>
        <v/>
      </c>
      <c r="AJ215" s="5">
        <f t="shared" si="22"/>
        <v>42465</v>
      </c>
      <c r="AK215" s="4" t="str">
        <f t="shared" si="23"/>
        <v/>
      </c>
    </row>
    <row r="216" spans="1:37" x14ac:dyDescent="0.25">
      <c r="A216" s="91" t="s">
        <v>871</v>
      </c>
      <c r="C216" s="95">
        <v>3</v>
      </c>
      <c r="D216" s="91" t="s">
        <v>872</v>
      </c>
      <c r="E216" s="91" t="s">
        <v>29</v>
      </c>
      <c r="F216" s="95" t="s">
        <v>38</v>
      </c>
      <c r="G216" s="3">
        <v>1780</v>
      </c>
      <c r="H216" s="2">
        <v>42453</v>
      </c>
      <c r="I216" s="2"/>
      <c r="J216" s="2">
        <v>42452</v>
      </c>
      <c r="K216" s="2"/>
      <c r="L216" s="91" t="s">
        <v>31</v>
      </c>
      <c r="M216" s="91">
        <v>50</v>
      </c>
      <c r="P216" s="91">
        <v>0</v>
      </c>
      <c r="Q216" s="91">
        <v>0</v>
      </c>
      <c r="R216" s="91">
        <v>0</v>
      </c>
      <c r="S216" s="91">
        <v>0</v>
      </c>
      <c r="T216" s="91">
        <v>0</v>
      </c>
      <c r="U216" s="91">
        <v>0</v>
      </c>
      <c r="X216" s="91" t="s">
        <v>873</v>
      </c>
      <c r="Y216" s="91" t="s">
        <v>480</v>
      </c>
      <c r="Z216" s="91" t="s">
        <v>34</v>
      </c>
      <c r="AA216" s="4"/>
      <c r="AB216" s="4"/>
      <c r="AC216" s="4"/>
      <c r="AD216" s="4"/>
      <c r="AE216" s="6">
        <f t="shared" si="18"/>
        <v>3</v>
      </c>
      <c r="AF216" s="6" t="str">
        <f t="shared" si="19"/>
        <v/>
      </c>
      <c r="AG216" s="6" t="str">
        <f t="shared" si="20"/>
        <v/>
      </c>
      <c r="AH216" s="15" t="str">
        <f>IF(ISNA(VLOOKUP(A216,'offre secrétariat'!A:F,5,FALSE)),"",(VLOOKUP(A216,'offre secrétariat'!A:F,5,FALSE)))</f>
        <v/>
      </c>
      <c r="AI216" s="101" t="str">
        <f t="shared" si="21"/>
        <v/>
      </c>
      <c r="AJ216" s="5" t="str">
        <f t="shared" si="22"/>
        <v/>
      </c>
      <c r="AK216" s="4" t="str">
        <f t="shared" si="23"/>
        <v/>
      </c>
    </row>
    <row r="217" spans="1:37" x14ac:dyDescent="0.25">
      <c r="A217" s="91" t="s">
        <v>874</v>
      </c>
      <c r="C217" s="95">
        <v>3</v>
      </c>
      <c r="D217" s="91" t="s">
        <v>875</v>
      </c>
      <c r="E217" s="91" t="s">
        <v>58</v>
      </c>
      <c r="F217" s="95" t="s">
        <v>30</v>
      </c>
      <c r="G217" s="3">
        <v>27360</v>
      </c>
      <c r="H217" s="2">
        <v>42453</v>
      </c>
      <c r="I217" s="2">
        <v>42468</v>
      </c>
      <c r="J217" s="2">
        <v>42465</v>
      </c>
      <c r="K217" s="2">
        <v>42522</v>
      </c>
      <c r="L217" s="91" t="s">
        <v>31</v>
      </c>
      <c r="M217" s="91">
        <v>30</v>
      </c>
      <c r="P217" s="91">
        <v>0</v>
      </c>
      <c r="Q217" s="91">
        <v>166</v>
      </c>
      <c r="R217" s="3">
        <v>27362.75</v>
      </c>
      <c r="S217" s="91">
        <v>0</v>
      </c>
      <c r="T217" s="91">
        <v>0</v>
      </c>
      <c r="U217" s="91">
        <v>0</v>
      </c>
      <c r="X217" s="91" t="s">
        <v>32</v>
      </c>
      <c r="Y217" s="91" t="s">
        <v>1061</v>
      </c>
      <c r="Z217" s="91" t="s">
        <v>202</v>
      </c>
      <c r="AE217" s="6">
        <f t="shared" si="18"/>
        <v>4</v>
      </c>
      <c r="AF217" s="6" t="str">
        <f t="shared" si="19"/>
        <v/>
      </c>
      <c r="AG217" s="6" t="str">
        <f t="shared" si="20"/>
        <v>o</v>
      </c>
      <c r="AH217" s="15">
        <f>IF(ISNA(VLOOKUP(A217,'offre secrétariat'!A:F,5,FALSE)),"",(VLOOKUP(A217,'offre secrétariat'!A:F,5,FALSE)))</f>
        <v>42465</v>
      </c>
      <c r="AI217" s="101" t="str">
        <f t="shared" si="21"/>
        <v>T</v>
      </c>
      <c r="AJ217" s="5">
        <f t="shared" si="22"/>
        <v>42465</v>
      </c>
      <c r="AK217" s="4" t="str">
        <f t="shared" si="23"/>
        <v>R</v>
      </c>
    </row>
    <row r="218" spans="1:37" x14ac:dyDescent="0.25">
      <c r="A218" s="91" t="s">
        <v>876</v>
      </c>
      <c r="B218" s="91">
        <v>160626</v>
      </c>
      <c r="C218" s="95">
        <v>4</v>
      </c>
      <c r="D218" s="91" t="s">
        <v>877</v>
      </c>
      <c r="E218" s="91" t="s">
        <v>58</v>
      </c>
      <c r="F218" s="95" t="s">
        <v>59</v>
      </c>
      <c r="G218" s="3">
        <v>3250</v>
      </c>
      <c r="H218" s="2">
        <v>42454</v>
      </c>
      <c r="I218" s="2">
        <v>42459</v>
      </c>
      <c r="J218" s="2">
        <v>42461</v>
      </c>
      <c r="K218" s="2">
        <v>42461</v>
      </c>
      <c r="L218" s="91" t="s">
        <v>31</v>
      </c>
      <c r="M218" s="91">
        <v>80</v>
      </c>
      <c r="N218" s="91">
        <v>160626</v>
      </c>
      <c r="P218" s="91">
        <v>0</v>
      </c>
      <c r="Q218" s="91">
        <v>32</v>
      </c>
      <c r="R218" s="3">
        <v>2815.02</v>
      </c>
      <c r="S218" s="91">
        <v>33</v>
      </c>
      <c r="T218" s="3">
        <v>3250</v>
      </c>
      <c r="U218" s="91">
        <v>28</v>
      </c>
      <c r="V218" s="2">
        <v>42475</v>
      </c>
      <c r="W218" s="2">
        <v>42475</v>
      </c>
      <c r="X218" s="91" t="s">
        <v>100</v>
      </c>
      <c r="Y218" s="91" t="s">
        <v>227</v>
      </c>
      <c r="Z218" s="91" t="s">
        <v>228</v>
      </c>
      <c r="AE218" s="6">
        <f t="shared" si="18"/>
        <v>4</v>
      </c>
      <c r="AF218" s="6">
        <f t="shared" si="19"/>
        <v>1</v>
      </c>
      <c r="AG218" s="6" t="str">
        <f t="shared" si="20"/>
        <v/>
      </c>
      <c r="AH218" s="15" t="str">
        <f>IF(ISNA(VLOOKUP(A218,'offre secrétariat'!A:F,5,FALSE)),"",(VLOOKUP(A218,'offre secrétariat'!A:F,5,FALSE)))</f>
        <v/>
      </c>
      <c r="AI218" s="101" t="str">
        <f t="shared" si="21"/>
        <v/>
      </c>
      <c r="AJ218" s="5">
        <f t="shared" si="22"/>
        <v>42456</v>
      </c>
      <c r="AK218" s="4" t="str">
        <f t="shared" si="23"/>
        <v/>
      </c>
    </row>
    <row r="219" spans="1:37" x14ac:dyDescent="0.25">
      <c r="A219" s="91" t="s">
        <v>881</v>
      </c>
      <c r="B219" s="91">
        <v>160628</v>
      </c>
      <c r="C219" s="95">
        <v>4</v>
      </c>
      <c r="D219" s="91" t="s">
        <v>882</v>
      </c>
      <c r="E219" s="91" t="s">
        <v>58</v>
      </c>
      <c r="F219" s="95" t="s">
        <v>59</v>
      </c>
      <c r="G219" s="3">
        <v>12560</v>
      </c>
      <c r="H219" s="2">
        <v>42459</v>
      </c>
      <c r="I219" s="2">
        <v>42461</v>
      </c>
      <c r="J219" s="2">
        <v>42461</v>
      </c>
      <c r="K219" s="2">
        <v>42478</v>
      </c>
      <c r="L219" s="91" t="s">
        <v>31</v>
      </c>
      <c r="M219" s="91">
        <v>60</v>
      </c>
      <c r="N219" s="91">
        <v>160628</v>
      </c>
      <c r="P219" s="91">
        <v>0</v>
      </c>
      <c r="Q219" s="91">
        <v>160</v>
      </c>
      <c r="R219" s="3">
        <v>12311.34</v>
      </c>
      <c r="S219" s="91">
        <v>160</v>
      </c>
      <c r="T219" s="3">
        <v>12560</v>
      </c>
      <c r="U219" s="91">
        <v>0.5</v>
      </c>
      <c r="X219" s="91" t="s">
        <v>630</v>
      </c>
      <c r="Y219" s="91" t="s">
        <v>337</v>
      </c>
      <c r="Z219" s="91" t="s">
        <v>202</v>
      </c>
      <c r="AE219" s="6">
        <f t="shared" si="18"/>
        <v>4</v>
      </c>
      <c r="AF219" s="6" t="str">
        <f t="shared" si="19"/>
        <v/>
      </c>
      <c r="AG219" s="6" t="str">
        <f t="shared" si="20"/>
        <v/>
      </c>
      <c r="AH219" s="15" t="str">
        <f>IF(ISNA(VLOOKUP(A219,'offre secrétariat'!A:F,5,FALSE)),"",(VLOOKUP(A219,'offre secrétariat'!A:F,5,FALSE)))</f>
        <v/>
      </c>
      <c r="AI219" s="101" t="str">
        <f t="shared" si="21"/>
        <v/>
      </c>
      <c r="AJ219" s="5">
        <f t="shared" si="22"/>
        <v>42458</v>
      </c>
      <c r="AK219" s="4" t="str">
        <f t="shared" si="23"/>
        <v/>
      </c>
    </row>
    <row r="220" spans="1:37" x14ac:dyDescent="0.25">
      <c r="A220" s="91" t="s">
        <v>883</v>
      </c>
      <c r="C220" s="95">
        <v>3</v>
      </c>
      <c r="D220" s="91" t="s">
        <v>884</v>
      </c>
      <c r="E220" s="91" t="s">
        <v>65</v>
      </c>
      <c r="F220" s="95" t="s">
        <v>66</v>
      </c>
      <c r="G220" s="3">
        <v>60215</v>
      </c>
      <c r="H220" s="2">
        <v>42459</v>
      </c>
      <c r="I220" s="2">
        <v>42471</v>
      </c>
      <c r="J220" s="2">
        <v>42482</v>
      </c>
      <c r="K220" s="2"/>
      <c r="L220" s="91" t="s">
        <v>31</v>
      </c>
      <c r="M220" s="91">
        <v>25</v>
      </c>
      <c r="P220" s="91">
        <v>0</v>
      </c>
      <c r="Q220" s="91">
        <v>220</v>
      </c>
      <c r="R220" s="3">
        <v>60191.73</v>
      </c>
      <c r="S220" s="91">
        <v>0</v>
      </c>
      <c r="T220" s="91">
        <v>0</v>
      </c>
      <c r="U220" s="91">
        <v>0</v>
      </c>
      <c r="X220" s="91" t="s">
        <v>885</v>
      </c>
      <c r="Y220" s="91" t="s">
        <v>492</v>
      </c>
      <c r="Z220" s="91" t="s">
        <v>129</v>
      </c>
      <c r="AE220" s="6">
        <f t="shared" si="18"/>
        <v>4</v>
      </c>
      <c r="AF220" s="6">
        <f t="shared" si="19"/>
        <v>1</v>
      </c>
      <c r="AG220" s="6" t="str">
        <f t="shared" si="20"/>
        <v>o</v>
      </c>
      <c r="AH220" s="15">
        <f>IF(ISNA(VLOOKUP(A220,'offre secrétariat'!A:F,5,FALSE)),"",(VLOOKUP(A220,'offre secrétariat'!A:F,5,FALSE)))</f>
        <v>42465</v>
      </c>
      <c r="AI220" s="101" t="str">
        <f t="shared" si="21"/>
        <v>T</v>
      </c>
      <c r="AJ220" s="5">
        <f t="shared" si="22"/>
        <v>42468</v>
      </c>
      <c r="AK220" s="4" t="str">
        <f t="shared" si="23"/>
        <v>A</v>
      </c>
    </row>
    <row r="221" spans="1:37" x14ac:dyDescent="0.25">
      <c r="A221" s="91" t="s">
        <v>890</v>
      </c>
      <c r="B221" s="91">
        <v>164250</v>
      </c>
      <c r="C221" s="95">
        <v>4</v>
      </c>
      <c r="D221" s="91" t="s">
        <v>891</v>
      </c>
      <c r="E221" s="91" t="s">
        <v>29</v>
      </c>
      <c r="F221" s="95" t="s">
        <v>38</v>
      </c>
      <c r="G221" s="3">
        <v>2990</v>
      </c>
      <c r="H221" s="2">
        <v>42459</v>
      </c>
      <c r="J221" s="2">
        <v>42458</v>
      </c>
      <c r="K221" s="2"/>
      <c r="L221" s="91" t="s">
        <v>31</v>
      </c>
      <c r="M221" s="2">
        <v>50</v>
      </c>
      <c r="N221" s="91">
        <v>164250</v>
      </c>
      <c r="P221" s="91">
        <v>0</v>
      </c>
      <c r="Q221" s="91">
        <v>60</v>
      </c>
      <c r="R221" s="3">
        <v>2990.13</v>
      </c>
      <c r="S221" s="91">
        <v>60</v>
      </c>
      <c r="T221" s="3">
        <v>2990</v>
      </c>
      <c r="U221" s="3">
        <v>58</v>
      </c>
      <c r="V221" s="2">
        <v>42458</v>
      </c>
      <c r="W221" s="2">
        <v>42467</v>
      </c>
      <c r="X221" s="91" t="s">
        <v>892</v>
      </c>
      <c r="Y221" s="91" t="s">
        <v>48</v>
      </c>
      <c r="Z221" s="91" t="s">
        <v>34</v>
      </c>
      <c r="AE221" s="6">
        <f t="shared" si="18"/>
        <v>3</v>
      </c>
      <c r="AF221" s="6" t="str">
        <f t="shared" si="19"/>
        <v/>
      </c>
      <c r="AG221" s="6" t="str">
        <f t="shared" si="20"/>
        <v/>
      </c>
      <c r="AH221" s="15" t="str">
        <f>IF(ISNA(VLOOKUP(A221,'offre secrétariat'!A:F,5,FALSE)),"",(VLOOKUP(A221,'offre secrétariat'!A:F,5,FALSE)))</f>
        <v/>
      </c>
      <c r="AI221" s="101" t="str">
        <f t="shared" si="21"/>
        <v/>
      </c>
      <c r="AJ221" s="5" t="str">
        <f t="shared" si="22"/>
        <v/>
      </c>
      <c r="AK221" s="4" t="str">
        <f t="shared" si="23"/>
        <v/>
      </c>
    </row>
    <row r="222" spans="1:37" x14ac:dyDescent="0.25">
      <c r="A222" s="91" t="s">
        <v>893</v>
      </c>
      <c r="C222" s="95">
        <v>3</v>
      </c>
      <c r="D222" s="91" t="s">
        <v>894</v>
      </c>
      <c r="E222" s="91" t="s">
        <v>58</v>
      </c>
      <c r="F222" s="95" t="s">
        <v>59</v>
      </c>
      <c r="G222" s="3">
        <v>2675</v>
      </c>
      <c r="H222" s="2">
        <v>42461</v>
      </c>
      <c r="I222" s="2">
        <v>42461</v>
      </c>
      <c r="J222" s="2">
        <v>42461</v>
      </c>
      <c r="K222" s="2">
        <v>42463</v>
      </c>
      <c r="L222" s="91" t="s">
        <v>31</v>
      </c>
      <c r="M222" s="91">
        <v>80</v>
      </c>
      <c r="P222" s="91">
        <v>0</v>
      </c>
      <c r="Q222" s="91">
        <v>32</v>
      </c>
      <c r="R222" s="3">
        <v>2672.43</v>
      </c>
      <c r="S222" s="91">
        <v>0</v>
      </c>
      <c r="T222" s="91">
        <v>0</v>
      </c>
      <c r="U222" s="91">
        <v>0</v>
      </c>
      <c r="X222" s="91" t="s">
        <v>100</v>
      </c>
      <c r="Y222" s="91" t="s">
        <v>227</v>
      </c>
      <c r="Z222" s="91" t="s">
        <v>228</v>
      </c>
      <c r="AE222" s="6">
        <f t="shared" si="18"/>
        <v>4</v>
      </c>
      <c r="AF222" s="6" t="str">
        <f t="shared" si="19"/>
        <v/>
      </c>
      <c r="AG222" s="6" t="str">
        <f t="shared" si="20"/>
        <v/>
      </c>
      <c r="AH222" s="15" t="str">
        <f>IF(ISNA(VLOOKUP(A222,'offre secrétariat'!A:F,5,FALSE)),"",(VLOOKUP(A222,'offre secrétariat'!A:F,5,FALSE)))</f>
        <v/>
      </c>
      <c r="AI222" s="101" t="str">
        <f t="shared" si="21"/>
        <v/>
      </c>
      <c r="AJ222" s="5">
        <f t="shared" si="22"/>
        <v>42458</v>
      </c>
      <c r="AK222" s="4" t="str">
        <f t="shared" si="23"/>
        <v/>
      </c>
    </row>
    <row r="223" spans="1:37" x14ac:dyDescent="0.25">
      <c r="A223" s="91" t="s">
        <v>897</v>
      </c>
      <c r="C223" s="95">
        <v>3</v>
      </c>
      <c r="D223" s="91" t="s">
        <v>898</v>
      </c>
      <c r="E223" s="91" t="s">
        <v>29</v>
      </c>
      <c r="F223" s="95" t="s">
        <v>30</v>
      </c>
      <c r="G223" s="3">
        <v>6230</v>
      </c>
      <c r="H223" s="2">
        <v>42461</v>
      </c>
      <c r="I223" s="2">
        <v>42468</v>
      </c>
      <c r="J223" s="2">
        <v>42464</v>
      </c>
      <c r="K223" s="2">
        <v>42491</v>
      </c>
      <c r="L223" s="91" t="s">
        <v>31</v>
      </c>
      <c r="M223" s="91">
        <v>30</v>
      </c>
      <c r="P223" s="91">
        <v>0</v>
      </c>
      <c r="Q223" s="91">
        <v>92</v>
      </c>
      <c r="R223" s="3">
        <v>6228.14</v>
      </c>
      <c r="S223" s="91">
        <v>0</v>
      </c>
      <c r="T223" s="91">
        <v>0</v>
      </c>
      <c r="U223" s="91">
        <v>0</v>
      </c>
      <c r="X223" s="91" t="s">
        <v>1062</v>
      </c>
      <c r="Y223" s="91" t="s">
        <v>163</v>
      </c>
      <c r="Z223" s="91" t="s">
        <v>34</v>
      </c>
      <c r="AE223" s="6">
        <f t="shared" si="18"/>
        <v>4</v>
      </c>
      <c r="AF223" s="6" t="str">
        <f t="shared" si="19"/>
        <v/>
      </c>
      <c r="AG223" s="6" t="str">
        <f t="shared" si="20"/>
        <v/>
      </c>
      <c r="AH223" s="15" t="str">
        <f>IF(ISNA(VLOOKUP(A223,'offre secrétariat'!A:F,5,FALSE)),"",(VLOOKUP(A223,'offre secrétariat'!A:F,5,FALSE)))</f>
        <v/>
      </c>
      <c r="AI223" s="101" t="str">
        <f t="shared" si="21"/>
        <v/>
      </c>
      <c r="AJ223" s="5">
        <f t="shared" si="22"/>
        <v>42465</v>
      </c>
      <c r="AK223" s="4" t="str">
        <f t="shared" si="23"/>
        <v/>
      </c>
    </row>
    <row r="224" spans="1:37" x14ac:dyDescent="0.25">
      <c r="A224" s="91" t="s">
        <v>899</v>
      </c>
      <c r="B224" s="91">
        <v>160631</v>
      </c>
      <c r="C224" s="95">
        <v>3</v>
      </c>
      <c r="D224" s="91" t="s">
        <v>900</v>
      </c>
      <c r="E224" s="91" t="s">
        <v>58</v>
      </c>
      <c r="F224" s="95" t="s">
        <v>59</v>
      </c>
      <c r="G224" s="3">
        <v>2350</v>
      </c>
      <c r="H224" s="2">
        <v>42461</v>
      </c>
      <c r="I224" s="2">
        <v>42468</v>
      </c>
      <c r="J224" s="2">
        <v>42461</v>
      </c>
      <c r="K224" s="2">
        <v>42506</v>
      </c>
      <c r="L224" s="91" t="s">
        <v>31</v>
      </c>
      <c r="M224" s="91">
        <v>50</v>
      </c>
      <c r="N224" s="91">
        <v>160631</v>
      </c>
      <c r="P224" s="91">
        <v>0</v>
      </c>
      <c r="Q224" s="91">
        <v>0</v>
      </c>
      <c r="R224" s="91">
        <v>0</v>
      </c>
      <c r="S224" s="91">
        <v>1</v>
      </c>
      <c r="T224" s="3">
        <v>2350</v>
      </c>
      <c r="U224" s="91">
        <v>0</v>
      </c>
      <c r="X224" s="91" t="s">
        <v>100</v>
      </c>
      <c r="Y224" s="91" t="s">
        <v>901</v>
      </c>
      <c r="Z224" s="91" t="s">
        <v>202</v>
      </c>
      <c r="AE224" s="6">
        <f t="shared" si="18"/>
        <v>4</v>
      </c>
      <c r="AF224" s="6" t="str">
        <f t="shared" si="19"/>
        <v/>
      </c>
      <c r="AG224" s="6" t="str">
        <f t="shared" si="20"/>
        <v/>
      </c>
      <c r="AH224" s="15" t="str">
        <f>IF(ISNA(VLOOKUP(A224,'offre secrétariat'!A:F,5,FALSE)),"",(VLOOKUP(A224,'offre secrétariat'!A:F,5,FALSE)))</f>
        <v/>
      </c>
      <c r="AI224" s="101" t="str">
        <f t="shared" si="21"/>
        <v/>
      </c>
      <c r="AJ224" s="5">
        <f t="shared" si="22"/>
        <v>42465</v>
      </c>
      <c r="AK224" s="4" t="str">
        <f t="shared" si="23"/>
        <v/>
      </c>
    </row>
    <row r="225" spans="1:37" x14ac:dyDescent="0.25">
      <c r="A225" s="91" t="s">
        <v>902</v>
      </c>
      <c r="B225" s="91">
        <v>160627</v>
      </c>
      <c r="C225" s="95">
        <v>4</v>
      </c>
      <c r="D225" s="91" t="s">
        <v>903</v>
      </c>
      <c r="E225" s="91" t="s">
        <v>58</v>
      </c>
      <c r="F225" s="95" t="s">
        <v>59</v>
      </c>
      <c r="G225" s="3">
        <v>750</v>
      </c>
      <c r="H225" s="2">
        <v>42461</v>
      </c>
      <c r="I225" s="2">
        <v>42468</v>
      </c>
      <c r="J225" s="2">
        <v>42461</v>
      </c>
      <c r="K225" s="2">
        <v>42506</v>
      </c>
      <c r="L225" s="91" t="s">
        <v>31</v>
      </c>
      <c r="M225" s="91">
        <v>50</v>
      </c>
      <c r="N225" s="91">
        <v>160627</v>
      </c>
      <c r="P225" s="91">
        <v>0</v>
      </c>
      <c r="Q225" s="91">
        <v>0</v>
      </c>
      <c r="R225" s="91">
        <v>0</v>
      </c>
      <c r="S225" s="91">
        <v>1</v>
      </c>
      <c r="T225" s="91">
        <v>750</v>
      </c>
      <c r="U225" s="91">
        <v>1.5</v>
      </c>
      <c r="X225" s="91" t="s">
        <v>100</v>
      </c>
      <c r="Y225" s="91" t="s">
        <v>901</v>
      </c>
      <c r="Z225" s="91" t="s">
        <v>202</v>
      </c>
      <c r="AE225" s="6">
        <f t="shared" si="18"/>
        <v>4</v>
      </c>
      <c r="AF225" s="6" t="str">
        <f t="shared" si="19"/>
        <v/>
      </c>
      <c r="AG225" s="6" t="str">
        <f t="shared" si="20"/>
        <v/>
      </c>
      <c r="AH225" s="15" t="str">
        <f>IF(ISNA(VLOOKUP(A225,'offre secrétariat'!A:F,5,FALSE)),"",(VLOOKUP(A225,'offre secrétariat'!A:F,5,FALSE)))</f>
        <v/>
      </c>
      <c r="AI225" s="101" t="str">
        <f t="shared" si="21"/>
        <v/>
      </c>
      <c r="AJ225" s="5">
        <f t="shared" si="22"/>
        <v>42465</v>
      </c>
      <c r="AK225" s="4" t="str">
        <f t="shared" si="23"/>
        <v/>
      </c>
    </row>
    <row r="226" spans="1:37" x14ac:dyDescent="0.25">
      <c r="A226" s="91" t="s">
        <v>1075</v>
      </c>
      <c r="B226" s="91">
        <v>160269</v>
      </c>
      <c r="C226" s="95">
        <v>4</v>
      </c>
      <c r="D226" s="91" t="s">
        <v>1076</v>
      </c>
      <c r="E226" s="91" t="s">
        <v>29</v>
      </c>
      <c r="F226" s="95" t="s">
        <v>30</v>
      </c>
      <c r="G226" s="3">
        <v>1460</v>
      </c>
      <c r="H226" s="2">
        <v>42465</v>
      </c>
      <c r="I226" s="2">
        <v>42465</v>
      </c>
      <c r="J226" s="2">
        <v>42465</v>
      </c>
      <c r="K226" s="2">
        <v>42467</v>
      </c>
      <c r="L226" s="91" t="s">
        <v>31</v>
      </c>
      <c r="M226" s="91">
        <v>100</v>
      </c>
      <c r="N226" s="91">
        <v>160269</v>
      </c>
      <c r="P226" s="91">
        <v>0</v>
      </c>
      <c r="Q226" s="91">
        <v>24</v>
      </c>
      <c r="R226" s="3">
        <v>1463.68</v>
      </c>
      <c r="S226" s="91">
        <v>24</v>
      </c>
      <c r="T226" s="3">
        <v>1460</v>
      </c>
      <c r="U226" s="91">
        <v>24</v>
      </c>
      <c r="V226" s="2">
        <v>42467</v>
      </c>
      <c r="W226" s="2">
        <v>42467</v>
      </c>
      <c r="X226" s="91" t="s">
        <v>32</v>
      </c>
      <c r="Y226" s="91" t="s">
        <v>33</v>
      </c>
      <c r="Z226" s="91" t="s">
        <v>34</v>
      </c>
      <c r="AE226" s="6">
        <f t="shared" si="18"/>
        <v>4</v>
      </c>
      <c r="AF226" s="6" t="str">
        <f t="shared" si="19"/>
        <v/>
      </c>
      <c r="AG226" s="6" t="str">
        <f t="shared" si="20"/>
        <v/>
      </c>
      <c r="AH226" s="15" t="str">
        <f>IF(ISNA(VLOOKUP(A226,'offre secrétariat'!A:F,5,FALSE)),"",(VLOOKUP(A226,'offre secrétariat'!A:F,5,FALSE)))</f>
        <v/>
      </c>
      <c r="AI226" s="101" t="str">
        <f t="shared" si="21"/>
        <v/>
      </c>
      <c r="AJ226" s="5">
        <f t="shared" si="22"/>
        <v>42462</v>
      </c>
      <c r="AK226" s="4" t="str">
        <f t="shared" si="23"/>
        <v/>
      </c>
    </row>
    <row r="227" spans="1:37" x14ac:dyDescent="0.25">
      <c r="A227" s="91" t="s">
        <v>1077</v>
      </c>
      <c r="C227" s="95">
        <v>3</v>
      </c>
      <c r="D227" s="91" t="s">
        <v>1078</v>
      </c>
      <c r="E227" s="91" t="s">
        <v>65</v>
      </c>
      <c r="F227" s="95" t="s">
        <v>30</v>
      </c>
      <c r="G227" s="3">
        <v>3870</v>
      </c>
      <c r="H227" s="2">
        <v>42465</v>
      </c>
      <c r="I227" s="2">
        <v>42468</v>
      </c>
      <c r="J227" s="2">
        <v>42466</v>
      </c>
      <c r="K227" s="2">
        <v>42475</v>
      </c>
      <c r="L227" s="91" t="s">
        <v>31</v>
      </c>
      <c r="M227" s="91">
        <v>50</v>
      </c>
      <c r="P227" s="91">
        <v>0</v>
      </c>
      <c r="Q227" s="91">
        <v>16</v>
      </c>
      <c r="R227" s="3">
        <v>3872.11</v>
      </c>
      <c r="S227" s="91">
        <v>0</v>
      </c>
      <c r="T227" s="91">
        <v>0</v>
      </c>
      <c r="U227" s="91">
        <v>0</v>
      </c>
      <c r="X227" s="91" t="s">
        <v>32</v>
      </c>
      <c r="Y227" s="91" t="s">
        <v>265</v>
      </c>
      <c r="Z227" s="91" t="s">
        <v>266</v>
      </c>
      <c r="AE227" s="6">
        <f t="shared" si="18"/>
        <v>4</v>
      </c>
      <c r="AF227" s="6" t="str">
        <f t="shared" si="19"/>
        <v/>
      </c>
      <c r="AG227" s="6" t="str">
        <f t="shared" si="20"/>
        <v/>
      </c>
      <c r="AH227" s="15" t="str">
        <f>IF(ISNA(VLOOKUP(A227,'offre secrétariat'!A:F,5,FALSE)),"",(VLOOKUP(A227,'offre secrétariat'!A:F,5,FALSE)))</f>
        <v/>
      </c>
      <c r="AI227" s="101" t="str">
        <f t="shared" si="21"/>
        <v/>
      </c>
      <c r="AJ227" s="5">
        <f t="shared" si="22"/>
        <v>42465</v>
      </c>
      <c r="AK227" s="4" t="str">
        <f t="shared" si="23"/>
        <v/>
      </c>
    </row>
    <row r="228" spans="1:37" x14ac:dyDescent="0.25">
      <c r="A228" s="91" t="s">
        <v>1079</v>
      </c>
      <c r="C228" s="95">
        <v>3</v>
      </c>
      <c r="D228" s="91" t="s">
        <v>1080</v>
      </c>
      <c r="E228" s="91" t="s">
        <v>58</v>
      </c>
      <c r="F228" s="95" t="s">
        <v>59</v>
      </c>
      <c r="G228" s="3">
        <v>21880</v>
      </c>
      <c r="H228" s="2">
        <v>42465</v>
      </c>
      <c r="I228" s="2">
        <v>42473</v>
      </c>
      <c r="J228" s="2">
        <v>42467</v>
      </c>
      <c r="K228" s="2">
        <v>42478</v>
      </c>
      <c r="L228" s="91" t="s">
        <v>31</v>
      </c>
      <c r="M228" s="91">
        <v>55</v>
      </c>
      <c r="P228" s="91">
        <v>0</v>
      </c>
      <c r="Q228" s="91">
        <v>64</v>
      </c>
      <c r="R228" s="3">
        <v>21875.91</v>
      </c>
      <c r="S228" s="91">
        <v>0</v>
      </c>
      <c r="T228" s="91">
        <v>0</v>
      </c>
      <c r="U228" s="91">
        <v>0</v>
      </c>
      <c r="X228" s="91" t="s">
        <v>100</v>
      </c>
      <c r="Y228" s="91" t="s">
        <v>1081</v>
      </c>
      <c r="Z228" s="91" t="s">
        <v>202</v>
      </c>
      <c r="AE228" s="6">
        <f t="shared" si="18"/>
        <v>4</v>
      </c>
      <c r="AF228" s="6" t="str">
        <f t="shared" si="19"/>
        <v/>
      </c>
      <c r="AG228" s="6" t="str">
        <f t="shared" si="20"/>
        <v>o</v>
      </c>
      <c r="AH228" s="15">
        <f>IF(ISNA(VLOOKUP(A228,'offre secrétariat'!A:F,5,FALSE)),"",(VLOOKUP(A228,'offre secrétariat'!A:F,5,FALSE)))</f>
        <v>42466</v>
      </c>
      <c r="AI228" s="101" t="str">
        <f t="shared" si="21"/>
        <v>T</v>
      </c>
      <c r="AJ228" s="5">
        <f t="shared" si="22"/>
        <v>42470</v>
      </c>
      <c r="AK228" s="4" t="str">
        <f t="shared" si="23"/>
        <v>A</v>
      </c>
    </row>
    <row r="229" spans="1:37" x14ac:dyDescent="0.25">
      <c r="A229" s="91" t="s">
        <v>1082</v>
      </c>
      <c r="C229" s="95">
        <v>3</v>
      </c>
      <c r="D229" s="91" t="s">
        <v>1083</v>
      </c>
      <c r="E229" s="91" t="s">
        <v>58</v>
      </c>
      <c r="F229" s="95" t="s">
        <v>30</v>
      </c>
      <c r="G229" s="3">
        <v>69000</v>
      </c>
      <c r="H229" s="2">
        <v>42466</v>
      </c>
      <c r="I229" s="2">
        <v>42478</v>
      </c>
      <c r="J229" s="2">
        <v>42480</v>
      </c>
      <c r="K229" s="2">
        <v>42491</v>
      </c>
      <c r="L229" s="91" t="s">
        <v>31</v>
      </c>
      <c r="M229" s="91">
        <v>25</v>
      </c>
      <c r="P229" s="91">
        <v>0</v>
      </c>
      <c r="Q229" s="3">
        <v>1018</v>
      </c>
      <c r="R229" s="3">
        <v>69898.8</v>
      </c>
      <c r="S229" s="91">
        <v>0</v>
      </c>
      <c r="T229" s="91">
        <v>0</v>
      </c>
      <c r="U229" s="91">
        <v>0</v>
      </c>
      <c r="X229" s="91" t="s">
        <v>1084</v>
      </c>
      <c r="Y229" s="91" t="s">
        <v>1085</v>
      </c>
      <c r="Z229" s="91" t="s">
        <v>1086</v>
      </c>
      <c r="AE229" s="6">
        <f t="shared" si="18"/>
        <v>4</v>
      </c>
      <c r="AF229" s="6">
        <f t="shared" si="19"/>
        <v>1</v>
      </c>
      <c r="AG229" s="6" t="str">
        <f t="shared" si="20"/>
        <v/>
      </c>
      <c r="AH229" s="15" t="str">
        <f>IF(ISNA(VLOOKUP(A229,'offre secrétariat'!A:F,5,FALSE)),"",(VLOOKUP(A229,'offre secrétariat'!A:F,5,FALSE)))</f>
        <v/>
      </c>
      <c r="AI229" s="101" t="str">
        <f t="shared" si="21"/>
        <v/>
      </c>
      <c r="AJ229" s="5">
        <f t="shared" si="22"/>
        <v>42475</v>
      </c>
      <c r="AK229" s="4" t="str">
        <f t="shared" si="23"/>
        <v/>
      </c>
    </row>
    <row r="230" spans="1:37" x14ac:dyDescent="0.25">
      <c r="A230" s="91" t="s">
        <v>1087</v>
      </c>
      <c r="C230" s="95">
        <v>3</v>
      </c>
      <c r="D230" s="91" t="s">
        <v>1088</v>
      </c>
      <c r="E230" s="91" t="s">
        <v>29</v>
      </c>
      <c r="F230" s="95" t="s">
        <v>38</v>
      </c>
      <c r="G230" s="3">
        <v>1850</v>
      </c>
      <c r="H230" s="2">
        <v>42466</v>
      </c>
      <c r="J230" s="2">
        <v>42465</v>
      </c>
      <c r="L230" s="91" t="s">
        <v>31</v>
      </c>
      <c r="M230" s="91">
        <v>50</v>
      </c>
      <c r="P230" s="91">
        <v>0</v>
      </c>
      <c r="Q230" s="91">
        <v>34</v>
      </c>
      <c r="R230" s="3">
        <v>1850.18</v>
      </c>
      <c r="S230" s="91">
        <v>0</v>
      </c>
      <c r="T230" s="91">
        <v>0</v>
      </c>
      <c r="U230" s="91">
        <v>0</v>
      </c>
      <c r="X230" s="91" t="s">
        <v>1089</v>
      </c>
      <c r="Y230" s="91" t="s">
        <v>163</v>
      </c>
      <c r="Z230" s="91" t="s">
        <v>34</v>
      </c>
      <c r="AE230" s="6">
        <f t="shared" si="18"/>
        <v>4</v>
      </c>
      <c r="AF230" s="6" t="str">
        <f t="shared" si="19"/>
        <v/>
      </c>
      <c r="AG230" s="6" t="str">
        <f t="shared" si="20"/>
        <v/>
      </c>
      <c r="AH230" s="15" t="str">
        <f>IF(ISNA(VLOOKUP(A230,'offre secrétariat'!A:F,5,FALSE)),"",(VLOOKUP(A230,'offre secrétariat'!A:F,5,FALSE)))</f>
        <v/>
      </c>
      <c r="AI230" s="101" t="str">
        <f t="shared" si="21"/>
        <v/>
      </c>
      <c r="AJ230" s="5" t="str">
        <f t="shared" si="22"/>
        <v/>
      </c>
      <c r="AK230" s="4" t="str">
        <f t="shared" si="23"/>
        <v/>
      </c>
    </row>
    <row r="231" spans="1:37" x14ac:dyDescent="0.25">
      <c r="A231" s="91" t="s">
        <v>1090</v>
      </c>
      <c r="C231" s="95">
        <v>3</v>
      </c>
      <c r="D231" s="91" t="s">
        <v>1091</v>
      </c>
      <c r="E231" s="91" t="s">
        <v>29</v>
      </c>
      <c r="F231" s="95" t="s">
        <v>38</v>
      </c>
      <c r="G231" s="3">
        <v>4055</v>
      </c>
      <c r="H231" s="2">
        <v>42466</v>
      </c>
      <c r="J231" s="2">
        <v>42465</v>
      </c>
      <c r="L231" s="91" t="s">
        <v>31</v>
      </c>
      <c r="M231" s="91">
        <v>50</v>
      </c>
      <c r="P231" s="91">
        <v>0</v>
      </c>
      <c r="Q231" s="91">
        <v>82</v>
      </c>
      <c r="R231" s="3">
        <v>4055.37</v>
      </c>
      <c r="S231" s="91">
        <v>0</v>
      </c>
      <c r="T231" s="91">
        <v>0</v>
      </c>
      <c r="U231" s="91">
        <v>0</v>
      </c>
      <c r="X231" s="91" t="s">
        <v>1092</v>
      </c>
      <c r="Y231" s="91" t="s">
        <v>1093</v>
      </c>
      <c r="Z231" s="91" t="s">
        <v>34</v>
      </c>
      <c r="AE231" s="6">
        <f t="shared" si="18"/>
        <v>4</v>
      </c>
      <c r="AF231" s="6" t="str">
        <f t="shared" si="19"/>
        <v/>
      </c>
      <c r="AG231" s="6" t="str">
        <f t="shared" si="20"/>
        <v/>
      </c>
      <c r="AH231" s="15" t="str">
        <f>IF(ISNA(VLOOKUP(A231,'offre secrétariat'!A:F,5,FALSE)),"",(VLOOKUP(A231,'offre secrétariat'!A:F,5,FALSE)))</f>
        <v/>
      </c>
      <c r="AI231" s="101" t="str">
        <f t="shared" si="21"/>
        <v/>
      </c>
      <c r="AJ231" s="5" t="str">
        <f t="shared" si="22"/>
        <v/>
      </c>
      <c r="AK231" s="4" t="str">
        <f t="shared" si="23"/>
        <v/>
      </c>
    </row>
    <row r="232" spans="1:37" x14ac:dyDescent="0.25">
      <c r="A232" s="91" t="s">
        <v>1094</v>
      </c>
      <c r="C232" s="95">
        <v>3</v>
      </c>
      <c r="D232" s="91" t="s">
        <v>1095</v>
      </c>
      <c r="E232" s="91" t="s">
        <v>29</v>
      </c>
      <c r="F232" s="95" t="s">
        <v>38</v>
      </c>
      <c r="G232" s="3">
        <v>5350</v>
      </c>
      <c r="H232" s="2">
        <v>42466</v>
      </c>
      <c r="J232" s="2">
        <v>42465</v>
      </c>
      <c r="L232" s="91" t="s">
        <v>31</v>
      </c>
      <c r="M232" s="91">
        <v>50</v>
      </c>
      <c r="P232" s="91">
        <v>0</v>
      </c>
      <c r="Q232" s="91">
        <v>104</v>
      </c>
      <c r="R232" s="3">
        <v>5350.94</v>
      </c>
      <c r="S232" s="91">
        <v>0</v>
      </c>
      <c r="T232" s="91">
        <v>0</v>
      </c>
      <c r="U232" s="91">
        <v>0</v>
      </c>
      <c r="X232" s="91" t="s">
        <v>1096</v>
      </c>
      <c r="Y232" s="91" t="s">
        <v>1097</v>
      </c>
      <c r="Z232" s="91" t="s">
        <v>34</v>
      </c>
      <c r="AE232" s="6">
        <f t="shared" si="18"/>
        <v>4</v>
      </c>
      <c r="AF232" s="6" t="str">
        <f t="shared" si="19"/>
        <v/>
      </c>
      <c r="AG232" s="6" t="str">
        <f t="shared" si="20"/>
        <v/>
      </c>
      <c r="AH232" s="15" t="str">
        <f>IF(ISNA(VLOOKUP(A232,'offre secrétariat'!A:F,5,FALSE)),"",(VLOOKUP(A232,'offre secrétariat'!A:F,5,FALSE)))</f>
        <v/>
      </c>
      <c r="AI232" s="101" t="str">
        <f t="shared" si="21"/>
        <v/>
      </c>
      <c r="AJ232" s="5" t="str">
        <f t="shared" si="22"/>
        <v/>
      </c>
      <c r="AK232" s="4" t="str">
        <f t="shared" si="23"/>
        <v/>
      </c>
    </row>
    <row r="233" spans="1:37" x14ac:dyDescent="0.25">
      <c r="A233" s="91" t="s">
        <v>1098</v>
      </c>
      <c r="C233" s="95">
        <v>3</v>
      </c>
      <c r="D233" s="91" t="s">
        <v>1099</v>
      </c>
      <c r="E233" s="91" t="s">
        <v>29</v>
      </c>
      <c r="F233" s="95" t="s">
        <v>38</v>
      </c>
      <c r="G233" s="3">
        <v>7400</v>
      </c>
      <c r="H233" s="2">
        <v>42466</v>
      </c>
      <c r="J233" s="2">
        <v>42465</v>
      </c>
      <c r="L233" s="91" t="s">
        <v>31</v>
      </c>
      <c r="M233" s="91">
        <v>50</v>
      </c>
      <c r="P233" s="91">
        <v>0</v>
      </c>
      <c r="Q233" s="91">
        <v>80</v>
      </c>
      <c r="R233" s="3">
        <v>7400.67</v>
      </c>
      <c r="S233" s="91">
        <v>0</v>
      </c>
      <c r="T233" s="91">
        <v>0</v>
      </c>
      <c r="U233" s="91">
        <v>0</v>
      </c>
      <c r="X233" s="91" t="s">
        <v>1100</v>
      </c>
      <c r="Y233" s="91" t="s">
        <v>1097</v>
      </c>
      <c r="Z233" s="91" t="s">
        <v>34</v>
      </c>
      <c r="AE233" s="6">
        <f t="shared" si="18"/>
        <v>4</v>
      </c>
      <c r="AF233" s="6" t="str">
        <f t="shared" si="19"/>
        <v/>
      </c>
      <c r="AG233" s="6" t="str">
        <f t="shared" si="20"/>
        <v/>
      </c>
      <c r="AH233" s="15" t="str">
        <f>IF(ISNA(VLOOKUP(A233,'offre secrétariat'!A:F,5,FALSE)),"",(VLOOKUP(A233,'offre secrétariat'!A:F,5,FALSE)))</f>
        <v/>
      </c>
      <c r="AI233" s="101" t="str">
        <f t="shared" si="21"/>
        <v/>
      </c>
      <c r="AJ233" s="5" t="str">
        <f t="shared" si="22"/>
        <v/>
      </c>
      <c r="AK233" s="4" t="str">
        <f t="shared" si="23"/>
        <v/>
      </c>
    </row>
    <row r="234" spans="1:37" x14ac:dyDescent="0.25">
      <c r="A234" s="91" t="s">
        <v>1103</v>
      </c>
      <c r="C234" s="95">
        <v>3</v>
      </c>
      <c r="D234" s="91" t="s">
        <v>1104</v>
      </c>
      <c r="E234" s="91" t="s">
        <v>58</v>
      </c>
      <c r="F234" s="95" t="s">
        <v>30</v>
      </c>
      <c r="G234" s="3">
        <v>4190</v>
      </c>
      <c r="H234" s="2">
        <v>42467</v>
      </c>
      <c r="I234" s="2">
        <v>42472</v>
      </c>
      <c r="J234" s="2">
        <v>42471</v>
      </c>
      <c r="L234" s="91" t="s">
        <v>31</v>
      </c>
      <c r="M234" s="91">
        <v>0</v>
      </c>
      <c r="P234" s="91">
        <v>0</v>
      </c>
      <c r="Q234" s="91">
        <v>56</v>
      </c>
      <c r="R234" s="3">
        <v>4192.92</v>
      </c>
      <c r="S234" s="91">
        <v>0</v>
      </c>
      <c r="T234" s="91">
        <v>0</v>
      </c>
      <c r="U234" s="91">
        <v>0</v>
      </c>
      <c r="X234" s="91">
        <v>6000467432</v>
      </c>
      <c r="Y234" s="91" t="s">
        <v>483</v>
      </c>
      <c r="Z234" s="91" t="s">
        <v>202</v>
      </c>
      <c r="AE234" s="6">
        <f t="shared" si="18"/>
        <v>4</v>
      </c>
      <c r="AF234" s="6" t="str">
        <f t="shared" si="19"/>
        <v/>
      </c>
      <c r="AG234" s="6" t="str">
        <f t="shared" si="20"/>
        <v/>
      </c>
      <c r="AH234" s="15" t="str">
        <f>IF(ISNA(VLOOKUP(A234,'offre secrétariat'!A:F,5,FALSE)),"",(VLOOKUP(A234,'offre secrétariat'!A:F,5,FALSE)))</f>
        <v/>
      </c>
      <c r="AI234" s="101" t="str">
        <f t="shared" si="21"/>
        <v/>
      </c>
      <c r="AJ234" s="5">
        <f t="shared" si="22"/>
        <v>42469</v>
      </c>
      <c r="AK234" s="4" t="str">
        <f t="shared" si="23"/>
        <v/>
      </c>
    </row>
    <row r="235" spans="1:37" x14ac:dyDescent="0.25">
      <c r="A235" s="91" t="s">
        <v>1105</v>
      </c>
      <c r="C235" s="95">
        <v>3</v>
      </c>
      <c r="D235" s="91" t="s">
        <v>1106</v>
      </c>
      <c r="E235" s="91" t="s">
        <v>58</v>
      </c>
      <c r="F235" s="95" t="s">
        <v>59</v>
      </c>
      <c r="G235" s="3">
        <v>2930</v>
      </c>
      <c r="H235" s="2">
        <v>42467</v>
      </c>
      <c r="I235" s="2">
        <v>42475</v>
      </c>
      <c r="J235" s="2">
        <v>42468</v>
      </c>
      <c r="L235" s="91" t="s">
        <v>31</v>
      </c>
      <c r="M235" s="91">
        <v>40</v>
      </c>
      <c r="P235" s="91">
        <v>0</v>
      </c>
      <c r="Q235" s="91">
        <v>16</v>
      </c>
      <c r="R235" s="3">
        <v>2928.76</v>
      </c>
      <c r="S235" s="91">
        <v>0</v>
      </c>
      <c r="T235" s="91">
        <v>0</v>
      </c>
      <c r="U235" s="91">
        <v>0</v>
      </c>
      <c r="X235" s="91" t="s">
        <v>100</v>
      </c>
      <c r="Y235" s="91" t="s">
        <v>625</v>
      </c>
      <c r="Z235" s="91" t="s">
        <v>411</v>
      </c>
      <c r="AE235" s="6">
        <f t="shared" si="18"/>
        <v>4</v>
      </c>
      <c r="AF235" s="6" t="str">
        <f t="shared" si="19"/>
        <v/>
      </c>
      <c r="AG235" s="6" t="str">
        <f t="shared" si="20"/>
        <v/>
      </c>
      <c r="AH235" s="15" t="str">
        <f>IF(ISNA(VLOOKUP(A235,'offre secrétariat'!A:F,5,FALSE)),"",(VLOOKUP(A235,'offre secrétariat'!A:F,5,FALSE)))</f>
        <v/>
      </c>
      <c r="AI235" s="101" t="str">
        <f t="shared" si="21"/>
        <v/>
      </c>
      <c r="AJ235" s="5">
        <f t="shared" si="22"/>
        <v>42472</v>
      </c>
      <c r="AK235" s="4" t="str">
        <f t="shared" si="23"/>
        <v/>
      </c>
    </row>
    <row r="236" spans="1:37" x14ac:dyDescent="0.25">
      <c r="A236" s="91" t="s">
        <v>1107</v>
      </c>
      <c r="C236" s="95">
        <v>3</v>
      </c>
      <c r="D236" s="91" t="s">
        <v>1131</v>
      </c>
      <c r="E236" s="91" t="s">
        <v>29</v>
      </c>
      <c r="F236" s="95" t="s">
        <v>38</v>
      </c>
      <c r="G236" s="3">
        <v>1960</v>
      </c>
      <c r="H236" s="2">
        <v>42467</v>
      </c>
      <c r="J236" s="2">
        <v>42467</v>
      </c>
      <c r="L236" s="91" t="s">
        <v>31</v>
      </c>
      <c r="M236" s="91">
        <v>50</v>
      </c>
      <c r="P236" s="91">
        <v>0</v>
      </c>
      <c r="Q236" s="91">
        <v>36</v>
      </c>
      <c r="R236" s="3">
        <v>1960.96</v>
      </c>
      <c r="S236" s="91">
        <v>0</v>
      </c>
      <c r="T236" s="91">
        <v>0</v>
      </c>
      <c r="U236" s="91">
        <v>0</v>
      </c>
      <c r="X236" s="91" t="s">
        <v>1108</v>
      </c>
      <c r="Y236" s="91" t="s">
        <v>512</v>
      </c>
      <c r="Z236" s="91" t="s">
        <v>34</v>
      </c>
      <c r="AE236" s="6">
        <f t="shared" si="18"/>
        <v>4</v>
      </c>
      <c r="AF236" s="6" t="str">
        <f t="shared" si="19"/>
        <v/>
      </c>
      <c r="AG236" s="6" t="str">
        <f t="shared" si="20"/>
        <v/>
      </c>
      <c r="AH236" s="15" t="str">
        <f>IF(ISNA(VLOOKUP(A236,'offre secrétariat'!A:F,5,FALSE)),"",(VLOOKUP(A236,'offre secrétariat'!A:F,5,FALSE)))</f>
        <v/>
      </c>
      <c r="AI236" s="101" t="str">
        <f t="shared" si="21"/>
        <v/>
      </c>
      <c r="AJ236" s="5" t="str">
        <f t="shared" si="22"/>
        <v/>
      </c>
      <c r="AK236" s="4" t="str">
        <f t="shared" si="23"/>
        <v/>
      </c>
    </row>
    <row r="237" spans="1:37" x14ac:dyDescent="0.25">
      <c r="A237" s="91" t="s">
        <v>1109</v>
      </c>
      <c r="C237" s="95">
        <v>3</v>
      </c>
      <c r="D237" s="91" t="s">
        <v>1132</v>
      </c>
      <c r="E237" s="91" t="s">
        <v>29</v>
      </c>
      <c r="F237" s="95" t="s">
        <v>38</v>
      </c>
      <c r="G237" s="3">
        <v>3555</v>
      </c>
      <c r="H237" s="2">
        <v>42467</v>
      </c>
      <c r="J237" s="2">
        <v>42467</v>
      </c>
      <c r="L237" s="91" t="s">
        <v>31</v>
      </c>
      <c r="M237" s="91">
        <v>50</v>
      </c>
      <c r="P237" s="91">
        <v>0</v>
      </c>
      <c r="Q237" s="91">
        <v>74</v>
      </c>
      <c r="R237" s="3">
        <v>3555.02</v>
      </c>
      <c r="S237" s="91">
        <v>0</v>
      </c>
      <c r="T237" s="91">
        <v>0</v>
      </c>
      <c r="U237" s="91">
        <v>0</v>
      </c>
      <c r="X237" s="91" t="s">
        <v>1110</v>
      </c>
      <c r="Y237" s="91" t="s">
        <v>1111</v>
      </c>
      <c r="Z237" s="91" t="s">
        <v>34</v>
      </c>
      <c r="AE237" s="6">
        <f t="shared" si="18"/>
        <v>4</v>
      </c>
      <c r="AF237" s="6" t="str">
        <f t="shared" si="19"/>
        <v/>
      </c>
      <c r="AG237" s="6" t="str">
        <f t="shared" si="20"/>
        <v/>
      </c>
      <c r="AH237" s="15" t="str">
        <f>IF(ISNA(VLOOKUP(A237,'offre secrétariat'!A:F,5,FALSE)),"",(VLOOKUP(A237,'offre secrétariat'!A:F,5,FALSE)))</f>
        <v/>
      </c>
      <c r="AI237" s="101" t="str">
        <f t="shared" si="21"/>
        <v/>
      </c>
      <c r="AJ237" s="5" t="str">
        <f t="shared" si="22"/>
        <v/>
      </c>
      <c r="AK237" s="4" t="str">
        <f t="shared" si="23"/>
        <v/>
      </c>
    </row>
    <row r="238" spans="1:37" x14ac:dyDescent="0.25">
      <c r="A238" s="91" t="s">
        <v>1112</v>
      </c>
      <c r="B238" s="91">
        <v>160629</v>
      </c>
      <c r="C238" s="95">
        <v>4</v>
      </c>
      <c r="D238" s="91" t="s">
        <v>1113</v>
      </c>
      <c r="E238" s="91" t="s">
        <v>58</v>
      </c>
      <c r="F238" s="95" t="s">
        <v>59</v>
      </c>
      <c r="G238" s="3">
        <v>4755</v>
      </c>
      <c r="H238" s="2">
        <v>42468</v>
      </c>
      <c r="I238" s="2">
        <v>42475</v>
      </c>
      <c r="J238" s="2">
        <v>42471</v>
      </c>
      <c r="L238" s="91" t="s">
        <v>31</v>
      </c>
      <c r="M238" s="91">
        <v>50</v>
      </c>
      <c r="N238" s="91">
        <v>160629</v>
      </c>
      <c r="P238" s="91">
        <v>0</v>
      </c>
      <c r="Q238" s="91">
        <v>0</v>
      </c>
      <c r="R238" s="91">
        <v>0</v>
      </c>
      <c r="S238" s="91">
        <v>1</v>
      </c>
      <c r="T238" s="3">
        <v>4755</v>
      </c>
      <c r="U238" s="91">
        <v>2.5</v>
      </c>
      <c r="X238" s="91" t="s">
        <v>100</v>
      </c>
      <c r="Y238" s="91" t="s">
        <v>471</v>
      </c>
      <c r="Z238" s="91" t="s">
        <v>472</v>
      </c>
      <c r="AE238" s="6">
        <f t="shared" si="18"/>
        <v>4</v>
      </c>
      <c r="AF238" s="6" t="str">
        <f t="shared" si="19"/>
        <v/>
      </c>
      <c r="AG238" s="6" t="str">
        <f t="shared" si="20"/>
        <v/>
      </c>
      <c r="AH238" s="15" t="str">
        <f>IF(ISNA(VLOOKUP(A238,'offre secrétariat'!A:F,5,FALSE)),"",(VLOOKUP(A238,'offre secrétariat'!A:F,5,FALSE)))</f>
        <v/>
      </c>
      <c r="AI238" s="101" t="str">
        <f t="shared" si="21"/>
        <v/>
      </c>
      <c r="AJ238" s="5">
        <f t="shared" si="22"/>
        <v>42472</v>
      </c>
      <c r="AK238" s="4" t="str">
        <f t="shared" si="23"/>
        <v/>
      </c>
    </row>
    <row r="239" spans="1:37" x14ac:dyDescent="0.25">
      <c r="A239" s="91" t="s">
        <v>1140</v>
      </c>
      <c r="B239" s="91">
        <v>160270</v>
      </c>
      <c r="C239" s="95">
        <v>4</v>
      </c>
      <c r="D239" s="91" t="s">
        <v>1141</v>
      </c>
      <c r="E239" s="91" t="s">
        <v>29</v>
      </c>
      <c r="F239" s="95" t="s">
        <v>30</v>
      </c>
      <c r="G239" s="91">
        <v>800</v>
      </c>
      <c r="H239" s="2">
        <v>42472</v>
      </c>
      <c r="I239" s="2">
        <v>42472</v>
      </c>
      <c r="J239" s="2">
        <v>42473</v>
      </c>
      <c r="K239" s="2">
        <v>42490</v>
      </c>
      <c r="L239" s="91" t="s">
        <v>31</v>
      </c>
      <c r="M239" s="91">
        <v>30</v>
      </c>
      <c r="N239" s="91">
        <v>160270</v>
      </c>
      <c r="P239" s="91">
        <v>0</v>
      </c>
      <c r="Q239" s="91">
        <v>12</v>
      </c>
      <c r="R239" s="91">
        <v>798.84</v>
      </c>
      <c r="S239" s="91">
        <v>12</v>
      </c>
      <c r="T239" s="91">
        <v>800</v>
      </c>
      <c r="U239" s="91">
        <v>0</v>
      </c>
      <c r="X239" s="91" t="s">
        <v>1142</v>
      </c>
      <c r="Y239" s="91" t="s">
        <v>140</v>
      </c>
      <c r="Z239" s="91" t="s">
        <v>34</v>
      </c>
      <c r="AE239" s="6">
        <f t="shared" si="18"/>
        <v>4</v>
      </c>
      <c r="AF239" s="6">
        <f t="shared" si="19"/>
        <v>1</v>
      </c>
      <c r="AG239" s="6" t="str">
        <f t="shared" si="20"/>
        <v/>
      </c>
      <c r="AH239" s="15" t="str">
        <f>IF(ISNA(VLOOKUP(A239,'offre secrétariat'!A:F,5,FALSE)),"",(VLOOKUP(A239,'offre secrétariat'!A:F,5,FALSE)))</f>
        <v/>
      </c>
      <c r="AI239" s="101" t="str">
        <f t="shared" si="21"/>
        <v/>
      </c>
      <c r="AJ239" s="5">
        <f t="shared" si="22"/>
        <v>42469</v>
      </c>
      <c r="AK239" s="4" t="str">
        <f t="shared" si="23"/>
        <v/>
      </c>
    </row>
    <row r="240" spans="1:37" x14ac:dyDescent="0.25">
      <c r="A240" s="91" t="s">
        <v>1143</v>
      </c>
      <c r="B240" s="91">
        <v>160272</v>
      </c>
      <c r="C240" s="95">
        <v>4</v>
      </c>
      <c r="D240" s="91" t="s">
        <v>1144</v>
      </c>
      <c r="E240" s="91" t="s">
        <v>29</v>
      </c>
      <c r="F240" s="95" t="s">
        <v>30</v>
      </c>
      <c r="G240" s="91">
        <v>795</v>
      </c>
      <c r="H240" s="2">
        <v>42472</v>
      </c>
      <c r="I240" s="2">
        <v>42472</v>
      </c>
      <c r="J240" s="2">
        <v>42473</v>
      </c>
      <c r="K240" s="2">
        <v>42489</v>
      </c>
      <c r="L240" s="91" t="s">
        <v>31</v>
      </c>
      <c r="M240" s="91">
        <v>100</v>
      </c>
      <c r="N240" s="91">
        <v>160272</v>
      </c>
      <c r="P240" s="91">
        <v>0</v>
      </c>
      <c r="Q240" s="91">
        <v>16</v>
      </c>
      <c r="R240" s="91">
        <v>795.25</v>
      </c>
      <c r="S240" s="91">
        <v>16</v>
      </c>
      <c r="T240" s="91">
        <v>795</v>
      </c>
      <c r="U240" s="91">
        <v>16</v>
      </c>
      <c r="V240" s="2">
        <v>42471</v>
      </c>
      <c r="W240" s="2">
        <v>42471</v>
      </c>
      <c r="X240" s="91" t="s">
        <v>32</v>
      </c>
      <c r="Y240" s="91" t="s">
        <v>33</v>
      </c>
      <c r="Z240" s="91" t="s">
        <v>34</v>
      </c>
      <c r="AE240" s="6">
        <f t="shared" si="18"/>
        <v>4</v>
      </c>
      <c r="AF240" s="6">
        <f t="shared" si="19"/>
        <v>1</v>
      </c>
      <c r="AG240" s="6" t="str">
        <f t="shared" si="20"/>
        <v/>
      </c>
      <c r="AH240" s="15" t="str">
        <f>IF(ISNA(VLOOKUP(A240,'offre secrétariat'!A:F,5,FALSE)),"",(VLOOKUP(A240,'offre secrétariat'!A:F,5,FALSE)))</f>
        <v/>
      </c>
      <c r="AI240" s="101" t="str">
        <f t="shared" si="21"/>
        <v/>
      </c>
      <c r="AJ240" s="5">
        <f t="shared" si="22"/>
        <v>42469</v>
      </c>
      <c r="AK240" s="4" t="str">
        <f t="shared" si="23"/>
        <v/>
      </c>
    </row>
    <row r="241" spans="1:37" x14ac:dyDescent="0.25">
      <c r="A241" s="91" t="s">
        <v>1145</v>
      </c>
      <c r="B241" s="91">
        <v>160271</v>
      </c>
      <c r="C241" s="95">
        <v>4</v>
      </c>
      <c r="D241" s="91" t="s">
        <v>1146</v>
      </c>
      <c r="E241" s="91" t="s">
        <v>29</v>
      </c>
      <c r="F241" s="95" t="s">
        <v>30</v>
      </c>
      <c r="G241" s="3">
        <v>3560</v>
      </c>
      <c r="H241" s="2">
        <v>42472</v>
      </c>
      <c r="I241" s="2">
        <v>42473</v>
      </c>
      <c r="J241" s="2">
        <v>42473</v>
      </c>
      <c r="K241" s="2">
        <v>42478</v>
      </c>
      <c r="L241" s="91" t="s">
        <v>31</v>
      </c>
      <c r="M241" s="91">
        <v>50</v>
      </c>
      <c r="N241" s="91">
        <v>160271</v>
      </c>
      <c r="P241" s="91">
        <v>0</v>
      </c>
      <c r="Q241" s="91">
        <v>50</v>
      </c>
      <c r="R241" s="3">
        <v>3561.93</v>
      </c>
      <c r="S241" s="91">
        <v>50</v>
      </c>
      <c r="T241" s="3">
        <v>3560</v>
      </c>
      <c r="U241" s="91">
        <v>0</v>
      </c>
      <c r="X241" s="91" t="s">
        <v>32</v>
      </c>
      <c r="Y241" s="91" t="s">
        <v>140</v>
      </c>
      <c r="Z241" s="91" t="s">
        <v>34</v>
      </c>
      <c r="AE241" s="6">
        <f t="shared" si="18"/>
        <v>4</v>
      </c>
      <c r="AF241" s="6" t="str">
        <f t="shared" si="19"/>
        <v/>
      </c>
      <c r="AG241" s="6" t="str">
        <f t="shared" si="20"/>
        <v/>
      </c>
      <c r="AH241" s="15" t="str">
        <f>IF(ISNA(VLOOKUP(A241,'offre secrétariat'!A:F,5,FALSE)),"",(VLOOKUP(A241,'offre secrétariat'!A:F,5,FALSE)))</f>
        <v/>
      </c>
      <c r="AI241" s="101" t="str">
        <f t="shared" si="21"/>
        <v/>
      </c>
      <c r="AJ241" s="5">
        <f t="shared" si="22"/>
        <v>42470</v>
      </c>
      <c r="AK241" s="4" t="str">
        <f t="shared" si="23"/>
        <v/>
      </c>
    </row>
    <row r="242" spans="1:37" x14ac:dyDescent="0.25">
      <c r="A242" s="91" t="s">
        <v>1152</v>
      </c>
      <c r="C242" s="95">
        <v>3</v>
      </c>
      <c r="D242" s="91" t="s">
        <v>1153</v>
      </c>
      <c r="E242" s="91" t="s">
        <v>58</v>
      </c>
      <c r="F242" s="95" t="s">
        <v>59</v>
      </c>
      <c r="G242" s="3">
        <v>3293</v>
      </c>
      <c r="H242" s="2">
        <v>42473</v>
      </c>
      <c r="I242" s="2">
        <v>42475</v>
      </c>
      <c r="J242" s="2">
        <v>42473</v>
      </c>
      <c r="K242" s="2">
        <v>42485</v>
      </c>
      <c r="L242" s="91" t="s">
        <v>31</v>
      </c>
      <c r="M242" s="91">
        <v>60</v>
      </c>
      <c r="P242" s="91">
        <v>0</v>
      </c>
      <c r="Q242" s="91">
        <v>0</v>
      </c>
      <c r="R242" s="91">
        <v>0</v>
      </c>
      <c r="S242" s="91">
        <v>0</v>
      </c>
      <c r="T242" s="91">
        <v>0</v>
      </c>
      <c r="U242" s="91">
        <v>0</v>
      </c>
      <c r="X242" s="91" t="s">
        <v>100</v>
      </c>
      <c r="Y242" s="91" t="s">
        <v>337</v>
      </c>
      <c r="Z242" s="91" t="s">
        <v>202</v>
      </c>
      <c r="AE242" s="6">
        <f t="shared" si="18"/>
        <v>4</v>
      </c>
      <c r="AF242" s="6" t="str">
        <f t="shared" si="19"/>
        <v/>
      </c>
      <c r="AG242" s="6" t="str">
        <f t="shared" si="20"/>
        <v/>
      </c>
      <c r="AH242" s="15" t="str">
        <f>IF(ISNA(VLOOKUP(A242,'offre secrétariat'!A:F,5,FALSE)),"",(VLOOKUP(A242,'offre secrétariat'!A:F,5,FALSE)))</f>
        <v/>
      </c>
      <c r="AI242" s="101" t="str">
        <f t="shared" si="21"/>
        <v/>
      </c>
      <c r="AJ242" s="5">
        <f t="shared" si="22"/>
        <v>42472</v>
      </c>
      <c r="AK242" s="4" t="str">
        <f t="shared" si="23"/>
        <v/>
      </c>
    </row>
    <row r="243" spans="1:37" x14ac:dyDescent="0.25">
      <c r="A243" s="91" t="s">
        <v>1154</v>
      </c>
      <c r="C243" s="95">
        <v>3</v>
      </c>
      <c r="D243" s="91" t="s">
        <v>1155</v>
      </c>
      <c r="E243" s="91" t="s">
        <v>65</v>
      </c>
      <c r="F243" s="95" t="s">
        <v>80</v>
      </c>
      <c r="G243" s="3">
        <v>33500</v>
      </c>
      <c r="H243" s="2">
        <v>42473</v>
      </c>
      <c r="I243" s="2">
        <v>42479</v>
      </c>
      <c r="J243" s="2">
        <v>42482</v>
      </c>
      <c r="K243" s="2">
        <v>42552</v>
      </c>
      <c r="L243" s="91" t="s">
        <v>31</v>
      </c>
      <c r="M243" s="91">
        <v>25</v>
      </c>
      <c r="P243" s="91">
        <v>0</v>
      </c>
      <c r="Q243" s="91">
        <v>0</v>
      </c>
      <c r="R243" s="91">
        <v>0</v>
      </c>
      <c r="S243" s="91">
        <v>0</v>
      </c>
      <c r="T243" s="91">
        <v>0</v>
      </c>
      <c r="U243" s="91">
        <v>0</v>
      </c>
      <c r="X243" s="91" t="s">
        <v>81</v>
      </c>
      <c r="Y243" s="91" t="s">
        <v>686</v>
      </c>
      <c r="Z243" s="91" t="s">
        <v>687</v>
      </c>
      <c r="AE243" s="6">
        <f t="shared" si="18"/>
        <v>4</v>
      </c>
      <c r="AF243" s="6">
        <f t="shared" si="19"/>
        <v>1</v>
      </c>
      <c r="AG243" s="6" t="str">
        <f t="shared" si="20"/>
        <v/>
      </c>
      <c r="AH243" s="15" t="str">
        <f>IF(ISNA(VLOOKUP(A243,'offre secrétariat'!A:F,5,FALSE)),"",(VLOOKUP(A243,'offre secrétariat'!A:F,5,FALSE)))</f>
        <v/>
      </c>
      <c r="AI243" s="101" t="str">
        <f t="shared" si="21"/>
        <v/>
      </c>
      <c r="AJ243" s="5">
        <f t="shared" si="22"/>
        <v>42476</v>
      </c>
      <c r="AK243" s="4" t="str">
        <f t="shared" si="23"/>
        <v/>
      </c>
    </row>
    <row r="244" spans="1:37" x14ac:dyDescent="0.25">
      <c r="A244" s="91" t="s">
        <v>1156</v>
      </c>
      <c r="C244" s="95">
        <v>3</v>
      </c>
      <c r="D244" s="91" t="s">
        <v>1157</v>
      </c>
      <c r="E244" s="91" t="s">
        <v>58</v>
      </c>
      <c r="F244" s="95" t="s">
        <v>87</v>
      </c>
      <c r="G244" s="91">
        <v>0</v>
      </c>
      <c r="H244" s="2">
        <v>42473</v>
      </c>
      <c r="I244" s="2">
        <v>42473</v>
      </c>
      <c r="J244" s="2">
        <v>42473</v>
      </c>
      <c r="K244" s="2">
        <v>42474</v>
      </c>
      <c r="L244" s="91" t="s">
        <v>907</v>
      </c>
      <c r="M244" s="91">
        <v>80</v>
      </c>
      <c r="P244" s="91">
        <v>0</v>
      </c>
      <c r="Q244" s="91">
        <v>0</v>
      </c>
      <c r="R244" s="91">
        <v>0</v>
      </c>
      <c r="S244" s="91">
        <v>0</v>
      </c>
      <c r="T244" s="91">
        <v>0</v>
      </c>
      <c r="U244" s="91">
        <v>0</v>
      </c>
      <c r="X244" s="91" t="s">
        <v>316</v>
      </c>
      <c r="Y244" s="91" t="s">
        <v>1158</v>
      </c>
      <c r="Z244" s="91" t="s">
        <v>1124</v>
      </c>
      <c r="AE244" s="6">
        <f t="shared" si="18"/>
        <v>4</v>
      </c>
      <c r="AF244" s="6" t="str">
        <f t="shared" si="19"/>
        <v/>
      </c>
      <c r="AG244" s="6" t="str">
        <f t="shared" si="20"/>
        <v/>
      </c>
      <c r="AH244" s="15" t="str">
        <f>IF(ISNA(VLOOKUP(A244,'offre secrétariat'!A:F,5,FALSE)),"",(VLOOKUP(A244,'offre secrétariat'!A:F,5,FALSE)))</f>
        <v/>
      </c>
      <c r="AI244" s="101" t="str">
        <f t="shared" si="21"/>
        <v/>
      </c>
      <c r="AJ244" s="5">
        <f t="shared" si="22"/>
        <v>42470</v>
      </c>
      <c r="AK244" s="4" t="str">
        <f t="shared" si="23"/>
        <v/>
      </c>
    </row>
    <row r="245" spans="1:37" x14ac:dyDescent="0.25">
      <c r="A245" s="91" t="s">
        <v>1163</v>
      </c>
      <c r="B245" s="91">
        <v>160630</v>
      </c>
      <c r="C245" s="95">
        <v>4</v>
      </c>
      <c r="D245" s="91" t="s">
        <v>1164</v>
      </c>
      <c r="E245" s="91" t="s">
        <v>58</v>
      </c>
      <c r="F245" s="95" t="s">
        <v>30</v>
      </c>
      <c r="G245" s="3">
        <v>4050</v>
      </c>
      <c r="H245" s="2">
        <v>42474</v>
      </c>
      <c r="I245" s="2">
        <v>42480</v>
      </c>
      <c r="J245" s="2">
        <v>42474</v>
      </c>
      <c r="L245" s="91" t="s">
        <v>31</v>
      </c>
      <c r="M245" s="91">
        <v>0</v>
      </c>
      <c r="N245" s="91">
        <v>160630</v>
      </c>
      <c r="P245" s="91">
        <v>0</v>
      </c>
      <c r="Q245" s="91">
        <v>28</v>
      </c>
      <c r="R245" s="3">
        <v>4048.54</v>
      </c>
      <c r="S245" s="91">
        <v>28</v>
      </c>
      <c r="T245" s="3">
        <v>4055</v>
      </c>
      <c r="U245" s="91">
        <v>3</v>
      </c>
      <c r="X245" s="91" t="s">
        <v>1165</v>
      </c>
      <c r="Y245" s="91" t="s">
        <v>101</v>
      </c>
      <c r="Z245" s="91" t="s">
        <v>102</v>
      </c>
      <c r="AE245" s="6">
        <f t="shared" si="18"/>
        <v>4</v>
      </c>
      <c r="AF245" s="6" t="str">
        <f t="shared" si="19"/>
        <v/>
      </c>
      <c r="AG245" s="6" t="str">
        <f t="shared" si="20"/>
        <v/>
      </c>
      <c r="AH245" s="15" t="str">
        <f>IF(ISNA(VLOOKUP(A245,'offre secrétariat'!A:F,5,FALSE)),"",(VLOOKUP(A245,'offre secrétariat'!A:F,5,FALSE)))</f>
        <v/>
      </c>
      <c r="AI245" s="101" t="str">
        <f t="shared" si="21"/>
        <v/>
      </c>
      <c r="AJ245" s="5">
        <f t="shared" si="22"/>
        <v>42477</v>
      </c>
      <c r="AK245" s="4" t="str">
        <f t="shared" si="23"/>
        <v/>
      </c>
    </row>
    <row r="246" spans="1:37" x14ac:dyDescent="0.25">
      <c r="A246" s="91" t="s">
        <v>1166</v>
      </c>
      <c r="C246" s="95">
        <v>3</v>
      </c>
      <c r="D246" s="91" t="s">
        <v>1167</v>
      </c>
      <c r="E246" s="91" t="s">
        <v>29</v>
      </c>
      <c r="F246" s="95" t="s">
        <v>38</v>
      </c>
      <c r="G246" s="3">
        <v>12400</v>
      </c>
      <c r="H246" s="2">
        <v>42474</v>
      </c>
      <c r="J246" s="2">
        <v>42472</v>
      </c>
      <c r="L246" s="91" t="s">
        <v>31</v>
      </c>
      <c r="M246" s="91">
        <v>50</v>
      </c>
      <c r="P246" s="91">
        <v>0</v>
      </c>
      <c r="Q246" s="91">
        <v>84</v>
      </c>
      <c r="R246" s="3">
        <v>12400.77</v>
      </c>
      <c r="S246" s="91">
        <v>0</v>
      </c>
      <c r="T246" s="91">
        <v>0</v>
      </c>
      <c r="U246" s="91">
        <v>0</v>
      </c>
      <c r="X246" s="91" t="s">
        <v>1168</v>
      </c>
      <c r="Y246" s="91" t="s">
        <v>163</v>
      </c>
      <c r="Z246" s="91" t="s">
        <v>34</v>
      </c>
      <c r="AE246" s="6">
        <f t="shared" si="18"/>
        <v>4</v>
      </c>
      <c r="AF246" s="6" t="str">
        <f t="shared" si="19"/>
        <v/>
      </c>
      <c r="AG246" s="6" t="str">
        <f t="shared" si="20"/>
        <v/>
      </c>
      <c r="AH246" s="15" t="str">
        <f>IF(ISNA(VLOOKUP(A246,'offre secrétariat'!A:F,5,FALSE)),"",(VLOOKUP(A246,'offre secrétariat'!A:F,5,FALSE)))</f>
        <v/>
      </c>
      <c r="AI246" s="101" t="str">
        <f t="shared" si="21"/>
        <v/>
      </c>
      <c r="AJ246" s="5" t="str">
        <f t="shared" si="22"/>
        <v/>
      </c>
      <c r="AK246" s="4" t="str">
        <f t="shared" si="23"/>
        <v/>
      </c>
    </row>
    <row r="247" spans="1:37" x14ac:dyDescent="0.25">
      <c r="A247" s="91" t="s">
        <v>1169</v>
      </c>
      <c r="C247" s="95">
        <v>3</v>
      </c>
      <c r="D247" s="91" t="s">
        <v>1170</v>
      </c>
      <c r="E247" s="91" t="s">
        <v>58</v>
      </c>
      <c r="F247" s="95" t="s">
        <v>87</v>
      </c>
      <c r="G247" s="91">
        <v>0</v>
      </c>
      <c r="H247" s="2">
        <v>42474</v>
      </c>
      <c r="I247" s="2">
        <v>42475</v>
      </c>
      <c r="J247" s="2">
        <v>42473</v>
      </c>
      <c r="K247" s="2">
        <v>42478</v>
      </c>
      <c r="L247" s="91" t="s">
        <v>907</v>
      </c>
      <c r="M247" s="91">
        <v>0</v>
      </c>
      <c r="P247" s="91">
        <v>0</v>
      </c>
      <c r="Q247" s="3">
        <v>1000</v>
      </c>
      <c r="R247" s="3">
        <v>45972.36</v>
      </c>
      <c r="S247" s="91">
        <v>0</v>
      </c>
      <c r="T247" s="91">
        <v>0</v>
      </c>
      <c r="U247" s="91">
        <v>0</v>
      </c>
      <c r="X247" s="91" t="s">
        <v>105</v>
      </c>
      <c r="Y247" s="91" t="s">
        <v>1171</v>
      </c>
      <c r="Z247" s="91" t="s">
        <v>1172</v>
      </c>
      <c r="AE247" s="6">
        <f t="shared" si="18"/>
        <v>4</v>
      </c>
      <c r="AF247" s="6" t="str">
        <f t="shared" si="19"/>
        <v/>
      </c>
      <c r="AG247" s="6" t="str">
        <f t="shared" si="20"/>
        <v/>
      </c>
      <c r="AH247" s="15" t="str">
        <f>IF(ISNA(VLOOKUP(A247,'offre secrétariat'!A:F,5,FALSE)),"",(VLOOKUP(A247,'offre secrétariat'!A:F,5,FALSE)))</f>
        <v/>
      </c>
      <c r="AI247" s="101" t="str">
        <f t="shared" si="21"/>
        <v/>
      </c>
      <c r="AJ247" s="5">
        <f t="shared" si="22"/>
        <v>42472</v>
      </c>
      <c r="AK247" s="4" t="str">
        <f t="shared" si="23"/>
        <v/>
      </c>
    </row>
    <row r="248" spans="1:37" x14ac:dyDescent="0.25">
      <c r="A248" s="91" t="s">
        <v>1173</v>
      </c>
      <c r="C248" s="95">
        <v>3</v>
      </c>
      <c r="D248" s="91" t="s">
        <v>1174</v>
      </c>
      <c r="E248" s="91" t="s">
        <v>29</v>
      </c>
      <c r="F248" s="95" t="s">
        <v>138</v>
      </c>
      <c r="G248" s="3">
        <v>1895</v>
      </c>
      <c r="H248" s="2">
        <v>42478</v>
      </c>
      <c r="J248" s="2">
        <v>42474</v>
      </c>
      <c r="L248" s="91" t="s">
        <v>31</v>
      </c>
      <c r="M248" s="91">
        <v>50</v>
      </c>
      <c r="P248" s="91">
        <v>0</v>
      </c>
      <c r="Q248" s="91">
        <v>1</v>
      </c>
      <c r="R248" s="3">
        <v>1894.64</v>
      </c>
      <c r="S248" s="91">
        <v>0</v>
      </c>
      <c r="T248" s="91">
        <v>0</v>
      </c>
      <c r="U248" s="91">
        <v>0</v>
      </c>
      <c r="X248" s="91" t="s">
        <v>1175</v>
      </c>
      <c r="Y248" s="91" t="s">
        <v>155</v>
      </c>
      <c r="Z248" s="91" t="s">
        <v>34</v>
      </c>
      <c r="AE248" s="6">
        <f t="shared" si="18"/>
        <v>4</v>
      </c>
      <c r="AF248" s="6" t="str">
        <f t="shared" si="19"/>
        <v/>
      </c>
      <c r="AG248" s="6" t="str">
        <f t="shared" si="20"/>
        <v/>
      </c>
      <c r="AH248" s="15" t="str">
        <f>IF(ISNA(VLOOKUP(A248,'offre secrétariat'!A:F,5,FALSE)),"",(VLOOKUP(A248,'offre secrétariat'!A:F,5,FALSE)))</f>
        <v/>
      </c>
      <c r="AI248" s="101" t="str">
        <f t="shared" si="21"/>
        <v/>
      </c>
      <c r="AJ248" s="5" t="str">
        <f t="shared" si="22"/>
        <v/>
      </c>
      <c r="AK248" s="4" t="str">
        <f t="shared" si="23"/>
        <v/>
      </c>
    </row>
    <row r="249" spans="1:37" x14ac:dyDescent="0.25">
      <c r="A249" s="91" t="s">
        <v>1181</v>
      </c>
      <c r="C249" s="95">
        <v>3</v>
      </c>
      <c r="D249" s="91" t="s">
        <v>1182</v>
      </c>
      <c r="E249" s="91" t="s">
        <v>29</v>
      </c>
      <c r="F249" s="95" t="s">
        <v>38</v>
      </c>
      <c r="G249" s="3">
        <v>41350</v>
      </c>
      <c r="H249" s="2">
        <v>42478</v>
      </c>
      <c r="J249" s="2">
        <v>42479</v>
      </c>
      <c r="L249" s="91" t="s">
        <v>31</v>
      </c>
      <c r="M249" s="91">
        <v>50</v>
      </c>
      <c r="P249" s="91">
        <v>0</v>
      </c>
      <c r="Q249" s="91">
        <v>704</v>
      </c>
      <c r="R249" s="3">
        <v>41350.49</v>
      </c>
      <c r="S249" s="91">
        <v>0</v>
      </c>
      <c r="T249" s="91">
        <v>0</v>
      </c>
      <c r="U249" s="91">
        <v>0</v>
      </c>
      <c r="X249" s="91" t="s">
        <v>1183</v>
      </c>
      <c r="Y249" s="91" t="s">
        <v>163</v>
      </c>
      <c r="Z249" s="91" t="s">
        <v>34</v>
      </c>
      <c r="AE249" s="6">
        <f t="shared" si="18"/>
        <v>4</v>
      </c>
      <c r="AF249" s="6" t="str">
        <f t="shared" si="19"/>
        <v/>
      </c>
      <c r="AG249" s="6" t="str">
        <f t="shared" si="20"/>
        <v/>
      </c>
      <c r="AH249" s="15" t="str">
        <f>IF(ISNA(VLOOKUP(A249,'offre secrétariat'!A:F,5,FALSE)),"",(VLOOKUP(A249,'offre secrétariat'!A:F,5,FALSE)))</f>
        <v/>
      </c>
      <c r="AI249" s="101" t="str">
        <f t="shared" si="21"/>
        <v/>
      </c>
      <c r="AJ249" s="5" t="str">
        <f t="shared" si="22"/>
        <v/>
      </c>
      <c r="AK249" s="4" t="str">
        <f t="shared" si="23"/>
        <v/>
      </c>
    </row>
    <row r="250" spans="1:37" x14ac:dyDescent="0.25">
      <c r="A250" s="91" t="s">
        <v>1184</v>
      </c>
      <c r="B250" s="91">
        <v>161120</v>
      </c>
      <c r="C250" s="95">
        <v>4</v>
      </c>
      <c r="D250" s="91" t="s">
        <v>1185</v>
      </c>
      <c r="E250" s="91" t="s">
        <v>58</v>
      </c>
      <c r="F250" s="95" t="s">
        <v>87</v>
      </c>
      <c r="G250" s="91">
        <v>0</v>
      </c>
      <c r="H250" s="2">
        <v>42479</v>
      </c>
      <c r="I250" s="2">
        <v>42478</v>
      </c>
      <c r="J250" s="2">
        <v>42478</v>
      </c>
      <c r="K250" s="2">
        <v>42481</v>
      </c>
      <c r="L250" s="91" t="s">
        <v>907</v>
      </c>
      <c r="M250" s="91">
        <v>0</v>
      </c>
      <c r="N250" s="91">
        <v>161120</v>
      </c>
      <c r="P250" s="91">
        <v>0</v>
      </c>
      <c r="Q250" s="91">
        <v>16</v>
      </c>
      <c r="R250" s="3">
        <v>1158.42</v>
      </c>
      <c r="S250" s="91">
        <v>16</v>
      </c>
      <c r="T250" s="91">
        <v>0</v>
      </c>
      <c r="U250" s="91">
        <v>0</v>
      </c>
      <c r="X250" s="91" t="s">
        <v>1186</v>
      </c>
      <c r="Y250" s="91" t="s">
        <v>1187</v>
      </c>
      <c r="Z250" s="91" t="s">
        <v>1188</v>
      </c>
      <c r="AE250" s="6">
        <f t="shared" si="18"/>
        <v>4</v>
      </c>
      <c r="AF250" s="6" t="str">
        <f t="shared" si="19"/>
        <v/>
      </c>
      <c r="AG250" s="6" t="str">
        <f t="shared" si="20"/>
        <v/>
      </c>
      <c r="AH250" s="15" t="str">
        <f>IF(ISNA(VLOOKUP(A250,'offre secrétariat'!A:F,5,FALSE)),"",(VLOOKUP(A250,'offre secrétariat'!A:F,5,FALSE)))</f>
        <v/>
      </c>
      <c r="AI250" s="101" t="str">
        <f t="shared" si="21"/>
        <v/>
      </c>
      <c r="AJ250" s="5">
        <f t="shared" si="22"/>
        <v>42475</v>
      </c>
      <c r="AK250" s="4" t="str">
        <f t="shared" si="23"/>
        <v/>
      </c>
    </row>
    <row r="251" spans="1:37" x14ac:dyDescent="0.25">
      <c r="A251" s="91" t="s">
        <v>1189</v>
      </c>
      <c r="B251" s="91">
        <v>160632</v>
      </c>
      <c r="C251" s="95">
        <v>4</v>
      </c>
      <c r="D251" s="91" t="s">
        <v>1190</v>
      </c>
      <c r="E251" s="91" t="s">
        <v>58</v>
      </c>
      <c r="F251" s="95" t="s">
        <v>59</v>
      </c>
      <c r="G251" s="3">
        <v>4435</v>
      </c>
      <c r="H251" s="2">
        <v>42479</v>
      </c>
      <c r="I251" s="2">
        <v>42479</v>
      </c>
      <c r="J251" s="2">
        <v>42479</v>
      </c>
      <c r="K251" s="2">
        <v>42479</v>
      </c>
      <c r="L251" s="91" t="s">
        <v>31</v>
      </c>
      <c r="M251" s="91">
        <v>0</v>
      </c>
      <c r="N251" s="91">
        <v>160632</v>
      </c>
      <c r="P251" s="91">
        <v>0</v>
      </c>
      <c r="Q251" s="91">
        <v>0</v>
      </c>
      <c r="R251" s="91">
        <v>0</v>
      </c>
      <c r="S251" s="91">
        <v>40</v>
      </c>
      <c r="T251" s="3">
        <v>4435</v>
      </c>
      <c r="U251" s="91">
        <v>0</v>
      </c>
      <c r="X251" s="91" t="s">
        <v>100</v>
      </c>
      <c r="Y251" s="91" t="s">
        <v>471</v>
      </c>
      <c r="Z251" s="91" t="s">
        <v>472</v>
      </c>
      <c r="AE251" s="6">
        <f t="shared" si="18"/>
        <v>4</v>
      </c>
      <c r="AF251" s="6" t="str">
        <f t="shared" si="19"/>
        <v/>
      </c>
      <c r="AG251" s="6" t="str">
        <f t="shared" si="20"/>
        <v/>
      </c>
      <c r="AH251" s="15" t="str">
        <f>IF(ISNA(VLOOKUP(A251,'offre secrétariat'!A:F,5,FALSE)),"",(VLOOKUP(A251,'offre secrétariat'!A:F,5,FALSE)))</f>
        <v/>
      </c>
      <c r="AI251" s="101" t="str">
        <f t="shared" si="21"/>
        <v/>
      </c>
      <c r="AJ251" s="5">
        <f t="shared" si="22"/>
        <v>42476</v>
      </c>
      <c r="AK251" s="4" t="str">
        <f t="shared" si="23"/>
        <v/>
      </c>
    </row>
  </sheetData>
  <autoFilter ref="A1:AI251"/>
  <conditionalFormatting sqref="AE1:AI1048576">
    <cfRule type="cellIs" dxfId="1" priority="1" operator="equal">
      <formula>""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35"/>
  <sheetViews>
    <sheetView topLeftCell="C7" workbookViewId="0">
      <selection activeCell="AY19" sqref="AY19"/>
    </sheetView>
  </sheetViews>
  <sheetFormatPr baseColWidth="10" defaultRowHeight="15" x14ac:dyDescent="0.25"/>
  <cols>
    <col min="1" max="1" width="10.7109375" bestFit="1" customWidth="1"/>
    <col min="2" max="2" width="3.28515625" bestFit="1" customWidth="1"/>
    <col min="3" max="3" width="2" bestFit="1" customWidth="1"/>
    <col min="4" max="4" width="3.28515625" bestFit="1" customWidth="1"/>
    <col min="5" max="5" width="8.5703125" bestFit="1" customWidth="1"/>
    <col min="6" max="6" width="3.28515625" bestFit="1" customWidth="1"/>
    <col min="7" max="7" width="2" bestFit="1" customWidth="1"/>
    <col min="8" max="8" width="3.28515625" bestFit="1" customWidth="1"/>
    <col min="9" max="9" width="8.5703125" bestFit="1" customWidth="1"/>
    <col min="10" max="10" width="3.28515625" bestFit="1" customWidth="1"/>
    <col min="11" max="11" width="2" bestFit="1" customWidth="1"/>
    <col min="12" max="12" width="3.28515625" bestFit="1" customWidth="1"/>
    <col min="13" max="13" width="8.5703125" bestFit="1" customWidth="1"/>
    <col min="14" max="14" width="3.28515625" bestFit="1" customWidth="1"/>
    <col min="15" max="15" width="2" bestFit="1" customWidth="1"/>
    <col min="16" max="16" width="3.28515625" bestFit="1" customWidth="1"/>
    <col min="17" max="17" width="8.5703125" bestFit="1" customWidth="1"/>
    <col min="18" max="18" width="2.140625" bestFit="1" customWidth="1"/>
    <col min="19" max="19" width="2" bestFit="1" customWidth="1"/>
    <col min="20" max="20" width="2.140625" bestFit="1" customWidth="1"/>
    <col min="22" max="22" width="2.140625" bestFit="1" customWidth="1"/>
    <col min="23" max="23" width="2" bestFit="1" customWidth="1"/>
    <col min="24" max="24" width="2.140625" bestFit="1" customWidth="1"/>
    <col min="26" max="26" width="2.140625" bestFit="1" customWidth="1"/>
    <col min="27" max="27" width="2" bestFit="1" customWidth="1"/>
    <col min="28" max="28" width="2.140625" bestFit="1" customWidth="1"/>
    <col min="29" max="29" width="8.7109375" bestFit="1" customWidth="1"/>
    <col min="30" max="30" width="2.140625" bestFit="1" customWidth="1"/>
    <col min="31" max="31" width="2" bestFit="1" customWidth="1"/>
    <col min="32" max="32" width="2.140625" bestFit="1" customWidth="1"/>
    <col min="33" max="33" width="8.5703125" bestFit="1" customWidth="1"/>
    <col min="34" max="34" width="2.140625" bestFit="1" customWidth="1"/>
    <col min="35" max="35" width="2" bestFit="1" customWidth="1"/>
    <col min="36" max="36" width="2.140625" bestFit="1" customWidth="1"/>
    <col min="37" max="37" width="8.7109375" bestFit="1" customWidth="1"/>
    <col min="38" max="38" width="2.140625" bestFit="1" customWidth="1"/>
    <col min="39" max="39" width="2" bestFit="1" customWidth="1"/>
    <col min="40" max="40" width="2.140625" bestFit="1" customWidth="1"/>
    <col min="41" max="41" width="8.5703125" bestFit="1" customWidth="1"/>
    <col min="42" max="42" width="2.140625" bestFit="1" customWidth="1"/>
    <col min="43" max="43" width="2" bestFit="1" customWidth="1"/>
    <col min="44" max="44" width="3.28515625" bestFit="1" customWidth="1"/>
    <col min="45" max="45" width="8.5703125" bestFit="1" customWidth="1"/>
    <col min="46" max="46" width="2.140625" bestFit="1" customWidth="1"/>
    <col min="47" max="47" width="2" bestFit="1" customWidth="1"/>
    <col min="48" max="48" width="2.140625" bestFit="1" customWidth="1"/>
    <col min="49" max="49" width="8.5703125" bestFit="1" customWidth="1"/>
    <col min="50" max="50" width="7.7109375" customWidth="1"/>
    <col min="51" max="51" width="4.42578125" bestFit="1" customWidth="1"/>
    <col min="52" max="52" width="2" bestFit="1" customWidth="1"/>
    <col min="53" max="53" width="4.42578125" bestFit="1" customWidth="1"/>
    <col min="54" max="54" width="8.5703125" bestFit="1" customWidth="1"/>
  </cols>
  <sheetData>
    <row r="1" spans="1:54" ht="19.5" x14ac:dyDescent="0.25">
      <c r="A1" s="104" t="s">
        <v>1013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</row>
    <row r="2" spans="1:54" ht="16.5" x14ac:dyDescent="0.25">
      <c r="A2" s="26" t="s">
        <v>1014</v>
      </c>
      <c r="B2" s="109" t="s">
        <v>1015</v>
      </c>
      <c r="C2" s="110"/>
      <c r="D2" s="110"/>
      <c r="E2" s="111"/>
      <c r="F2" s="109" t="s">
        <v>1016</v>
      </c>
      <c r="G2" s="110"/>
      <c r="H2" s="110"/>
      <c r="I2" s="111"/>
      <c r="J2" s="109" t="s">
        <v>1017</v>
      </c>
      <c r="K2" s="110"/>
      <c r="L2" s="110"/>
      <c r="M2" s="111"/>
      <c r="N2" s="109" t="s">
        <v>1018</v>
      </c>
      <c r="O2" s="110"/>
      <c r="P2" s="110"/>
      <c r="Q2" s="111"/>
      <c r="R2" s="109" t="s">
        <v>1019</v>
      </c>
      <c r="S2" s="110"/>
      <c r="T2" s="110"/>
      <c r="U2" s="111"/>
      <c r="V2" s="109" t="s">
        <v>1020</v>
      </c>
      <c r="W2" s="110"/>
      <c r="X2" s="110"/>
      <c r="Y2" s="111"/>
      <c r="Z2" s="109" t="s">
        <v>1021</v>
      </c>
      <c r="AA2" s="110"/>
      <c r="AB2" s="110"/>
      <c r="AC2" s="111"/>
      <c r="AD2" s="109" t="s">
        <v>1022</v>
      </c>
      <c r="AE2" s="110"/>
      <c r="AF2" s="110"/>
      <c r="AG2" s="111"/>
      <c r="AH2" s="112" t="s">
        <v>1023</v>
      </c>
      <c r="AI2" s="113"/>
      <c r="AJ2" s="113"/>
      <c r="AK2" s="114"/>
      <c r="AL2" s="109" t="s">
        <v>1024</v>
      </c>
      <c r="AM2" s="110"/>
      <c r="AN2" s="110"/>
      <c r="AO2" s="111"/>
      <c r="AP2" s="112" t="s">
        <v>1025</v>
      </c>
      <c r="AQ2" s="113"/>
      <c r="AR2" s="113"/>
      <c r="AS2" s="114"/>
      <c r="AT2" s="112" t="s">
        <v>1026</v>
      </c>
      <c r="AU2" s="113"/>
      <c r="AV2" s="113"/>
      <c r="AW2" s="114"/>
      <c r="AX2" s="20"/>
      <c r="AY2" s="112" t="s">
        <v>1027</v>
      </c>
      <c r="AZ2" s="113"/>
      <c r="BA2" s="113"/>
      <c r="BB2" s="114"/>
    </row>
    <row r="3" spans="1:54" ht="16.5" x14ac:dyDescent="0.25">
      <c r="A3" s="28" t="s">
        <v>1028</v>
      </c>
      <c r="B3" s="35">
        <f>(COUNTIFS('OP envoyée'!$F:$F,"DDu",'OP envoyée'!$AE:$AE,1))</f>
        <v>4</v>
      </c>
      <c r="C3" s="36" t="s">
        <v>1029</v>
      </c>
      <c r="D3" s="35">
        <f>COUNTIFS(Navision!$F:$F,"DDU",Navision!$AD:$AD,"o",Navision!$AE:$AE,1)</f>
        <v>4</v>
      </c>
      <c r="E3" s="46">
        <f>B3/D3</f>
        <v>1</v>
      </c>
      <c r="F3" s="35">
        <f>(COUNTIFS('OP envoyée'!$F:$F,"DDu",'OP envoyée'!$AE:$AE,2))</f>
        <v>1</v>
      </c>
      <c r="G3" s="36" t="s">
        <v>1029</v>
      </c>
      <c r="H3" s="35">
        <f>COUNTIFS(Navision!$F:$F,"DDU",Navision!$AD:$AD,"o",Navision!$AE:$AE,2)</f>
        <v>2</v>
      </c>
      <c r="I3" s="46">
        <f>F3/H3</f>
        <v>0.5</v>
      </c>
      <c r="J3" s="35">
        <f>(COUNTIFS('OP envoyée'!$F:$F,"DDu",'OP envoyée'!$AE:$AE,3))</f>
        <v>2</v>
      </c>
      <c r="K3" s="36" t="s">
        <v>1029</v>
      </c>
      <c r="L3" s="35">
        <f>COUNTIFS(Navision!$F:$F,"DDU",Navision!$AD:$AD,"o",Navision!$AE:$AE,3)</f>
        <v>2</v>
      </c>
      <c r="M3" s="46">
        <f>J3/L3</f>
        <v>1</v>
      </c>
      <c r="N3" s="35">
        <f>(COUNTIFS('OP envoyée'!$F:$F,"DDu",'OP envoyée'!$AE:$AE,4))</f>
        <v>0</v>
      </c>
      <c r="O3" s="36" t="s">
        <v>1029</v>
      </c>
      <c r="P3" s="35">
        <f>COUNTIFS(Navision!$F:$F,"DDU",Navision!$AD:$AD,"o",Navision!$AE:$AE,4)</f>
        <v>0</v>
      </c>
      <c r="Q3" s="46" t="e">
        <f>N3/P3</f>
        <v>#DIV/0!</v>
      </c>
      <c r="R3" s="35">
        <f>(COUNTIFS('OP envoyée'!$F:$F,"DDu",'OP envoyée'!$AE:$AE,5))</f>
        <v>0</v>
      </c>
      <c r="S3" s="36" t="s">
        <v>1029</v>
      </c>
      <c r="T3" s="35">
        <f>COUNTIFS(Navision!$F:$F,"DDU",Navision!$AD:$AD,"o",Navision!$AE:$AE,5)</f>
        <v>0</v>
      </c>
      <c r="U3" s="46" t="e">
        <f>R3/T3</f>
        <v>#DIV/0!</v>
      </c>
      <c r="V3" s="35">
        <f>(COUNTIFS('OP envoyée'!$F:$F,"DDu",'OP envoyée'!$AE:$AE,6))</f>
        <v>0</v>
      </c>
      <c r="W3" s="36" t="s">
        <v>1029</v>
      </c>
      <c r="X3" s="35">
        <f>COUNTIFS(Navision!$F:$F,"DDU",Navision!$AD:$AD,"o",Navision!$AE:$AE,6)</f>
        <v>0</v>
      </c>
      <c r="Y3" s="46" t="e">
        <f>V3/X3</f>
        <v>#DIV/0!</v>
      </c>
      <c r="Z3" s="35">
        <f>(COUNTIFS('OP envoyée'!$F:$F,"DDu",'OP envoyée'!$AE:$AE,7))</f>
        <v>0</v>
      </c>
      <c r="AA3" s="36" t="s">
        <v>1029</v>
      </c>
      <c r="AB3" s="35">
        <f>COUNTIFS(Navision!$F:$F,"DDU",Navision!$AD:$AD,"o",Navision!$AE:$AE,7)</f>
        <v>0</v>
      </c>
      <c r="AC3" s="46" t="e">
        <f>Z3/AB3</f>
        <v>#DIV/0!</v>
      </c>
      <c r="AD3" s="35">
        <f>(COUNTIFS('OP envoyée'!$F:$F,"DDu",'OP envoyée'!$AE:$AE,8))</f>
        <v>0</v>
      </c>
      <c r="AE3" s="36" t="s">
        <v>1029</v>
      </c>
      <c r="AF3" s="35">
        <f>COUNTIFS(Navision!$F:$F,"DDU",Navision!$AD:$AD,"o",Navision!$AE:$AE,8)</f>
        <v>0</v>
      </c>
      <c r="AG3" s="51" t="e">
        <f>AD3/AF3</f>
        <v>#DIV/0!</v>
      </c>
      <c r="AH3" s="35">
        <f>(COUNTIFS('OP envoyée'!$F:$F,"DDu",'OP envoyée'!$AE:$AE,9))</f>
        <v>0</v>
      </c>
      <c r="AI3" s="36" t="s">
        <v>1029</v>
      </c>
      <c r="AJ3" s="35">
        <f>COUNTIFS(Navision!$F:$F,"DDU",Navision!$AD:$AD,"o",Navision!$AE:$AE,9)</f>
        <v>0</v>
      </c>
      <c r="AK3" s="51" t="e">
        <f>AH3/AJ3</f>
        <v>#DIV/0!</v>
      </c>
      <c r="AL3" s="35">
        <f>(COUNTIFS('OP envoyée'!$F:$F,"DDu",'OP envoyée'!$AE:$AE,10))</f>
        <v>0</v>
      </c>
      <c r="AM3" s="36" t="s">
        <v>1029</v>
      </c>
      <c r="AN3" s="35">
        <f>COUNTIFS(Navision!$F:$F,"DDU",Navision!$AD:$AD,"o",Navision!$AE:$AE,10)</f>
        <v>0</v>
      </c>
      <c r="AO3" s="46" t="e">
        <f>AL3/AN3</f>
        <v>#DIV/0!</v>
      </c>
      <c r="AP3" s="35">
        <f>(COUNTIFS('OP envoyée'!$F:$F,"DDu",'OP envoyée'!$AE:$AE,11))</f>
        <v>0</v>
      </c>
      <c r="AQ3" s="36" t="s">
        <v>1029</v>
      </c>
      <c r="AR3" s="35">
        <f>COUNTIFS(Navision!$F:$F,"DDU",Navision!$AD:$AD,"o",Navision!$AE:$AE,11)</f>
        <v>0</v>
      </c>
      <c r="AS3" s="46" t="e">
        <f>AP3/AR3</f>
        <v>#DIV/0!</v>
      </c>
      <c r="AT3" s="35">
        <f>(COUNTIFS('OP envoyée'!$F:$F,"DDu",'OP envoyée'!$AE:$AE,12))</f>
        <v>0</v>
      </c>
      <c r="AU3" s="36" t="s">
        <v>1029</v>
      </c>
      <c r="AV3" s="35">
        <f>COUNTIFS(Navision!$F:$F,"DDU",Navision!$AD:$AD,"o",Navision!$AE:$AE,12)</f>
        <v>0</v>
      </c>
      <c r="AW3" s="46" t="e">
        <f>AT3/AV3</f>
        <v>#DIV/0!</v>
      </c>
      <c r="AX3" s="22"/>
      <c r="AY3" s="35">
        <f>(COUNTIFS('OP envoyée'!$F:$F,"DDu"))</f>
        <v>7</v>
      </c>
      <c r="AZ3" s="43" t="s">
        <v>1029</v>
      </c>
      <c r="BA3" s="35">
        <f>COUNTIFS(Navision!$F:$F,"DDU",Navision!$AD:$AD,"o")</f>
        <v>8</v>
      </c>
      <c r="BB3" s="46">
        <f>AY3/BA3</f>
        <v>0.875</v>
      </c>
    </row>
    <row r="4" spans="1:54" ht="16.5" x14ac:dyDescent="0.25">
      <c r="A4" s="28" t="s">
        <v>132</v>
      </c>
      <c r="B4" s="35">
        <f>(COUNTIFS('OP envoyée'!$F:$F,"GB",'OP envoyée'!$AE:$AE,1))</f>
        <v>0</v>
      </c>
      <c r="C4" s="36" t="s">
        <v>1029</v>
      </c>
      <c r="D4" s="35">
        <f>COUNTIFS(Navision!$F:$F,"GB",Navision!$AD:$AD,"o",Navision!$AE:$AE,1)</f>
        <v>1</v>
      </c>
      <c r="E4" s="46">
        <f t="shared" ref="E4:E17" si="0">B4/D4</f>
        <v>0</v>
      </c>
      <c r="F4" s="35">
        <f>(COUNTIFS('OP envoyée'!$F:$F,"GB",'OP envoyée'!$AE:$AE,2))</f>
        <v>1</v>
      </c>
      <c r="G4" s="36" t="s">
        <v>1029</v>
      </c>
      <c r="H4" s="35">
        <f>COUNTIFS(Navision!$F:$F,"GB",Navision!$AD:$AD,"o",Navision!$AE:$AE,2)</f>
        <v>2</v>
      </c>
      <c r="I4" s="46">
        <f t="shared" ref="I4:I19" si="1">F4/H4</f>
        <v>0.5</v>
      </c>
      <c r="J4" s="35">
        <f>(COUNTIFS('OP envoyée'!$F:$F,"GB",'OP envoyée'!$AE:$AE,3))</f>
        <v>2</v>
      </c>
      <c r="K4" s="36" t="s">
        <v>1029</v>
      </c>
      <c r="L4" s="35">
        <f>COUNTIFS(Navision!$F:$F,"GB",Navision!$AD:$AD,"o",Navision!$AE:$AE,3)</f>
        <v>0</v>
      </c>
      <c r="M4" s="46" t="e">
        <f t="shared" ref="M4:M17" si="2">J4/L4</f>
        <v>#DIV/0!</v>
      </c>
      <c r="N4" s="35">
        <f>(COUNTIFS('OP envoyée'!$F:$F,"GB",'OP envoyée'!$AE:$AE,4))</f>
        <v>0</v>
      </c>
      <c r="O4" s="36" t="s">
        <v>1029</v>
      </c>
      <c r="P4" s="35">
        <f>COUNTIFS(Navision!$F:$F,"GB",Navision!$AD:$AD,"o",Navision!$AE:$AE,4)</f>
        <v>0</v>
      </c>
      <c r="Q4" s="46" t="e">
        <f t="shared" ref="Q4:Q17" si="3">N4/P4</f>
        <v>#DIV/0!</v>
      </c>
      <c r="R4" s="35">
        <f>(COUNTIFS('OP envoyée'!$F:$F,"GB",'OP envoyée'!$AE:$AE,5))</f>
        <v>0</v>
      </c>
      <c r="S4" s="36" t="s">
        <v>1029</v>
      </c>
      <c r="T4" s="35">
        <f>COUNTIFS(Navision!$F:$F,"GB",Navision!$AD:$AD,"o",Navision!$AE:$AE,5)</f>
        <v>0</v>
      </c>
      <c r="U4" s="46" t="e">
        <f t="shared" ref="U4:U19" si="4">R4/T4</f>
        <v>#DIV/0!</v>
      </c>
      <c r="V4" s="35">
        <f>(COUNTIFS('OP envoyée'!$F:$F,"GB",'OP envoyée'!$AE:$AE,6))</f>
        <v>0</v>
      </c>
      <c r="W4" s="36" t="s">
        <v>1029</v>
      </c>
      <c r="X4" s="35">
        <f>COUNTIFS(Navision!$F:$F,"GB",Navision!$AD:$AD,"o",Navision!$AE:$AE,6)</f>
        <v>0</v>
      </c>
      <c r="Y4" s="46" t="e">
        <f t="shared" ref="Y4:Y19" si="5">V4/X4</f>
        <v>#DIV/0!</v>
      </c>
      <c r="Z4" s="35">
        <f>(COUNTIFS('OP envoyée'!$F:$F,"GB",'OP envoyée'!$AE:$AE,7))</f>
        <v>0</v>
      </c>
      <c r="AA4" s="36" t="s">
        <v>1029</v>
      </c>
      <c r="AB4" s="35">
        <f>COUNTIFS(Navision!$F:$F,"GB",Navision!$AD:$AD,"o",Navision!$AE:$AE,7)</f>
        <v>0</v>
      </c>
      <c r="AC4" s="46" t="e">
        <f t="shared" ref="AC4:AC19" si="6">Z4/AB4</f>
        <v>#DIV/0!</v>
      </c>
      <c r="AD4" s="35">
        <f>(COUNTIFS('OP envoyée'!$F:$F,"GB",'OP envoyée'!$AE:$AE,8))</f>
        <v>0</v>
      </c>
      <c r="AE4" s="36" t="s">
        <v>1029</v>
      </c>
      <c r="AF4" s="35">
        <f>COUNTIFS(Navision!$F:$F,"GB",Navision!$AD:$AD,"o",Navision!$AE:$AE,8)</f>
        <v>0</v>
      </c>
      <c r="AG4" s="51" t="e">
        <f t="shared" ref="AG4:AG17" si="7">AD4/AF4</f>
        <v>#DIV/0!</v>
      </c>
      <c r="AH4" s="35">
        <f>(COUNTIFS('OP envoyée'!$F:$F,"GB",'OP envoyée'!$AE:$AE,9))</f>
        <v>0</v>
      </c>
      <c r="AI4" s="36" t="s">
        <v>1029</v>
      </c>
      <c r="AJ4" s="35">
        <f>COUNTIFS(Navision!$F:$F,"GB",Navision!$AD:$AD,"o",Navision!$AE:$AE,9)</f>
        <v>0</v>
      </c>
      <c r="AK4" s="51" t="e">
        <f t="shared" ref="AK4:AK19" si="8">AH4/AJ4</f>
        <v>#DIV/0!</v>
      </c>
      <c r="AL4" s="35">
        <f>(COUNTIFS('OP envoyée'!$F:$F,"GB",'OP envoyée'!$AE:$AE,10))</f>
        <v>0</v>
      </c>
      <c r="AM4" s="36" t="s">
        <v>1029</v>
      </c>
      <c r="AN4" s="35">
        <f>COUNTIFS(Navision!$F:$F,"GB",Navision!$AD:$AD,"o",Navision!$AE:$AE,10)</f>
        <v>0</v>
      </c>
      <c r="AO4" s="46" t="e">
        <f t="shared" ref="AO4:AO19" si="9">AL4/AN4</f>
        <v>#DIV/0!</v>
      </c>
      <c r="AP4" s="35">
        <f>(COUNTIFS('OP envoyée'!$F:$F,"GB",'OP envoyée'!$AE:$AE,11))</f>
        <v>0</v>
      </c>
      <c r="AQ4" s="36" t="s">
        <v>1029</v>
      </c>
      <c r="AR4" s="35">
        <f>COUNTIFS(Navision!$F:$F,"GB",Navision!$AD:$AD,"o",Navision!$AE:$AE,11)</f>
        <v>0</v>
      </c>
      <c r="AS4" s="46" t="e">
        <f t="shared" ref="AS4:AS19" si="10">AP4/AR4</f>
        <v>#DIV/0!</v>
      </c>
      <c r="AT4" s="35">
        <f>(COUNTIFS('OP envoyée'!$F:$F,"GB",'OP envoyée'!$AE:$AE,12))</f>
        <v>0</v>
      </c>
      <c r="AU4" s="36" t="s">
        <v>1029</v>
      </c>
      <c r="AV4" s="35">
        <f>COUNTIFS(Navision!$F:$F,"GB",Navision!$AD:$AD,"o",Navision!$AE:$AE,12)</f>
        <v>0</v>
      </c>
      <c r="AW4" s="46" t="e">
        <f t="shared" ref="AW4:AW19" si="11">AT4/AV4</f>
        <v>#DIV/0!</v>
      </c>
      <c r="AX4" s="22"/>
      <c r="AY4" s="35">
        <f>(COUNTIFS('OP envoyée'!$F:$F,"GB"))</f>
        <v>3</v>
      </c>
      <c r="AZ4" s="43" t="s">
        <v>1029</v>
      </c>
      <c r="BA4" s="35">
        <f>COUNTIFS(Navision!$F:$F,"GB",Navision!$AD:$AD,"o")</f>
        <v>3</v>
      </c>
      <c r="BB4" s="46">
        <f t="shared" ref="BB4:BB17" si="12">AY4/BA4</f>
        <v>1</v>
      </c>
    </row>
    <row r="5" spans="1:54" ht="16.5" x14ac:dyDescent="0.25">
      <c r="A5" s="28" t="s">
        <v>30</v>
      </c>
      <c r="B5" s="35">
        <f>(COUNTIFS('OP envoyée'!$F:$F,"JLB",'OP envoyée'!$AE:$AE,1))</f>
        <v>8</v>
      </c>
      <c r="C5" s="36" t="s">
        <v>1029</v>
      </c>
      <c r="D5" s="35">
        <f>COUNTIFS(Navision!$F:$F,"JLB",Navision!$AD:$AD,"o",Navision!$AE:$AE,1)</f>
        <v>11</v>
      </c>
      <c r="E5" s="46">
        <f t="shared" si="0"/>
        <v>0.72727272727272729</v>
      </c>
      <c r="F5" s="35">
        <f>(COUNTIFS('OP envoyée'!$F:$F,"JLB",'OP envoyée'!$AE:$AE,2))</f>
        <v>17</v>
      </c>
      <c r="G5" s="36" t="s">
        <v>1029</v>
      </c>
      <c r="H5" s="35">
        <f>COUNTIFS(Navision!$F:$F,"JLB",Navision!$AD:$AD,"o",Navision!$AE:$AE,2)</f>
        <v>24</v>
      </c>
      <c r="I5" s="46">
        <f t="shared" si="1"/>
        <v>0.70833333333333337</v>
      </c>
      <c r="J5" s="35">
        <f>(COUNTIFS('OP envoyée'!$F:$F,"JLB",'OP envoyée'!$AE:$AE,3))</f>
        <v>16</v>
      </c>
      <c r="K5" s="36" t="s">
        <v>1029</v>
      </c>
      <c r="L5" s="35">
        <f>COUNTIFS(Navision!$F:$F,"JLB",Navision!$AD:$AD,"o",Navision!$AE:$AE,3)</f>
        <v>16</v>
      </c>
      <c r="M5" s="46">
        <f t="shared" si="2"/>
        <v>1</v>
      </c>
      <c r="N5" s="35">
        <f>(COUNTIFS('OP envoyée'!$F:$F,"JLB",'OP envoyée'!$AE:$AE,4))</f>
        <v>13</v>
      </c>
      <c r="O5" s="36" t="s">
        <v>1029</v>
      </c>
      <c r="P5" s="35">
        <f>COUNTIFS(Navision!$F:$F,"JLB",Navision!$AD:$AD,"o",Navision!$AE:$AE,4)</f>
        <v>12</v>
      </c>
      <c r="Q5" s="46">
        <f t="shared" si="3"/>
        <v>1.0833333333333333</v>
      </c>
      <c r="R5" s="35">
        <f>(COUNTIFS('OP envoyée'!$F:$F,"JLB",'OP envoyée'!$AE:$AE,5))</f>
        <v>0</v>
      </c>
      <c r="S5" s="36" t="s">
        <v>1029</v>
      </c>
      <c r="T5" s="35">
        <f>COUNTIFS(Navision!$F:$F,"JLB",Navision!$AD:$AD,"o",Navision!$AE:$AE,5)</f>
        <v>0</v>
      </c>
      <c r="U5" s="46" t="e">
        <f t="shared" si="4"/>
        <v>#DIV/0!</v>
      </c>
      <c r="V5" s="35">
        <f>(COUNTIFS('OP envoyée'!$F:$F,"JLB",'OP envoyée'!$AE:$AE,6))</f>
        <v>0</v>
      </c>
      <c r="W5" s="36" t="s">
        <v>1029</v>
      </c>
      <c r="X5" s="35">
        <f>COUNTIFS(Navision!$F:$F,"JLB",Navision!$AD:$AD,"o",Navision!$AE:$AE,6)</f>
        <v>0</v>
      </c>
      <c r="Y5" s="46" t="e">
        <f t="shared" si="5"/>
        <v>#DIV/0!</v>
      </c>
      <c r="Z5" s="35">
        <f>(COUNTIFS('OP envoyée'!$F:$F,"JLB",'OP envoyée'!$AE:$AE,7))</f>
        <v>0</v>
      </c>
      <c r="AA5" s="36" t="s">
        <v>1029</v>
      </c>
      <c r="AB5" s="35">
        <f>COUNTIFS(Navision!$F:$F,"JLB",Navision!$AD:$AD,"o",Navision!$AE:$AE,7)</f>
        <v>0</v>
      </c>
      <c r="AC5" s="46" t="e">
        <f t="shared" si="6"/>
        <v>#DIV/0!</v>
      </c>
      <c r="AD5" s="35">
        <f>(COUNTIFS('OP envoyée'!$F:$F,"JLB",'OP envoyée'!$AE:$AE,8))</f>
        <v>0</v>
      </c>
      <c r="AE5" s="36" t="s">
        <v>1029</v>
      </c>
      <c r="AF5" s="35">
        <f>COUNTIFS(Navision!$F:$F,"JLB",Navision!$AD:$AD,"o",Navision!$AE:$AE,8)</f>
        <v>0</v>
      </c>
      <c r="AG5" s="51" t="e">
        <f t="shared" si="7"/>
        <v>#DIV/0!</v>
      </c>
      <c r="AH5" s="35">
        <f>(COUNTIFS('OP envoyée'!$F:$F,"JLB",'OP envoyée'!$AE:$AE,9))</f>
        <v>0</v>
      </c>
      <c r="AI5" s="36" t="s">
        <v>1029</v>
      </c>
      <c r="AJ5" s="35">
        <f>COUNTIFS(Navision!$F:$F,"JLB",Navision!$AD:$AD,"o",Navision!$AE:$AE,9)</f>
        <v>0</v>
      </c>
      <c r="AK5" s="51" t="e">
        <f t="shared" si="8"/>
        <v>#DIV/0!</v>
      </c>
      <c r="AL5" s="35">
        <f>(COUNTIFS('OP envoyée'!$F:$F,"JLB",'OP envoyée'!$AE:$AE,10))</f>
        <v>0</v>
      </c>
      <c r="AM5" s="36" t="s">
        <v>1029</v>
      </c>
      <c r="AN5" s="35">
        <f>COUNTIFS(Navision!$F:$F,"JLB",Navision!$AD:$AD,"o",Navision!$AE:$AE,10)</f>
        <v>0</v>
      </c>
      <c r="AO5" s="46" t="e">
        <f t="shared" si="9"/>
        <v>#DIV/0!</v>
      </c>
      <c r="AP5" s="35">
        <f>(COUNTIFS('OP envoyée'!$F:$F,"JLB",'OP envoyée'!$AE:$AE,11))</f>
        <v>0</v>
      </c>
      <c r="AQ5" s="36" t="s">
        <v>1029</v>
      </c>
      <c r="AR5" s="35">
        <f>COUNTIFS(Navision!$F:$F,"JLB",Navision!$AD:$AD,"o",Navision!$AE:$AE,11)</f>
        <v>0</v>
      </c>
      <c r="AS5" s="46" t="e">
        <f t="shared" si="10"/>
        <v>#DIV/0!</v>
      </c>
      <c r="AT5" s="35">
        <f>(COUNTIFS('OP envoyée'!$F:$F,"JLB",'OP envoyée'!$AE:$AE,12))</f>
        <v>0</v>
      </c>
      <c r="AU5" s="36" t="s">
        <v>1029</v>
      </c>
      <c r="AV5" s="35">
        <f>COUNTIFS(Navision!$F:$F,"JLB",Navision!$AD:$AD,"o",Navision!$AE:$AE,12)</f>
        <v>0</v>
      </c>
      <c r="AW5" s="46" t="e">
        <f t="shared" si="11"/>
        <v>#DIV/0!</v>
      </c>
      <c r="AX5" s="22"/>
      <c r="AY5" s="35">
        <f>(COUNTIFS('OP envoyée'!$F:$F,"JLB"))</f>
        <v>54</v>
      </c>
      <c r="AZ5" s="43" t="s">
        <v>1029</v>
      </c>
      <c r="BA5" s="35">
        <f>COUNTIFS(Navision!$F:$F,"JLB",Navision!$AD:$AD,"o")</f>
        <v>63</v>
      </c>
      <c r="BB5" s="46">
        <f t="shared" si="12"/>
        <v>0.8571428571428571</v>
      </c>
    </row>
    <row r="6" spans="1:54" ht="16.5" x14ac:dyDescent="0.25">
      <c r="A6" s="28" t="s">
        <v>523</v>
      </c>
      <c r="B6" s="35">
        <f>(COUNTIFS('OP envoyée'!$F:$F,"LA",'OP envoyée'!$AE:$AE,1))</f>
        <v>0</v>
      </c>
      <c r="C6" s="36" t="s">
        <v>1029</v>
      </c>
      <c r="D6" s="35">
        <f>COUNTIFS(Navision!$F:$F,"LA",Navision!$AD:$AD,"o",Navision!$AE:$AE,1)</f>
        <v>0</v>
      </c>
      <c r="E6" s="46" t="e">
        <f t="shared" si="0"/>
        <v>#DIV/0!</v>
      </c>
      <c r="F6" s="35">
        <f>(COUNTIFS('OP envoyée'!$F:$F,"LA",'OP envoyée'!$AE:$AE,2))</f>
        <v>0</v>
      </c>
      <c r="G6" s="36" t="s">
        <v>1029</v>
      </c>
      <c r="H6" s="35">
        <f>COUNTIFS(Navision!$F:$F,"LA",Navision!$AD:$AD,"o",Navision!$AE:$AE,2)</f>
        <v>1</v>
      </c>
      <c r="I6" s="46">
        <f t="shared" si="1"/>
        <v>0</v>
      </c>
      <c r="J6" s="35">
        <f>(COUNTIFS('OP envoyée'!$F:$F,"LA",'OP envoyée'!$AE:$AE,3))</f>
        <v>1</v>
      </c>
      <c r="K6" s="36" t="s">
        <v>1029</v>
      </c>
      <c r="L6" s="35">
        <f>COUNTIFS(Navision!$F:$F,"LA",Navision!$AD:$AD,"o",Navision!$AE:$AE,3)</f>
        <v>0</v>
      </c>
      <c r="M6" s="46" t="e">
        <f t="shared" si="2"/>
        <v>#DIV/0!</v>
      </c>
      <c r="N6" s="35">
        <f>(COUNTIFS('OP envoyée'!$F:$F,"LA",'OP envoyée'!$AE:$AE,4))</f>
        <v>0</v>
      </c>
      <c r="O6" s="36" t="s">
        <v>1029</v>
      </c>
      <c r="P6" s="35">
        <f>COUNTIFS(Navision!$F:$F,"LA",Navision!$AD:$AD,"o",Navision!$AE:$AE,4)</f>
        <v>0</v>
      </c>
      <c r="Q6" s="46" t="e">
        <f t="shared" si="3"/>
        <v>#DIV/0!</v>
      </c>
      <c r="R6" s="35">
        <f>(COUNTIFS('OP envoyée'!$F:$F,"LA",'OP envoyée'!$AE:$AE,5))</f>
        <v>0</v>
      </c>
      <c r="S6" s="36" t="s">
        <v>1029</v>
      </c>
      <c r="T6" s="35">
        <f>COUNTIFS(Navision!$F:$F,"LA",Navision!$AD:$AD,"o",Navision!$AE:$AE,5)</f>
        <v>0</v>
      </c>
      <c r="U6" s="46" t="e">
        <f t="shared" si="4"/>
        <v>#DIV/0!</v>
      </c>
      <c r="V6" s="35">
        <f>(COUNTIFS('OP envoyée'!$F:$F,"LA",'OP envoyée'!$AE:$AE,6))</f>
        <v>0</v>
      </c>
      <c r="W6" s="36" t="s">
        <v>1029</v>
      </c>
      <c r="X6" s="35">
        <f>COUNTIFS(Navision!$F:$F,"LA",Navision!$AD:$AD,"o",Navision!$AE:$AE,6)</f>
        <v>0</v>
      </c>
      <c r="Y6" s="46" t="e">
        <f t="shared" si="5"/>
        <v>#DIV/0!</v>
      </c>
      <c r="Z6" s="35">
        <f>(COUNTIFS('OP envoyée'!$F:$F,"LA",'OP envoyée'!$AE:$AE,7))</f>
        <v>0</v>
      </c>
      <c r="AA6" s="36" t="s">
        <v>1029</v>
      </c>
      <c r="AB6" s="35">
        <f>COUNTIFS(Navision!$F:$F,"LA",Navision!$AD:$AD,"o",Navision!$AE:$AE,7)</f>
        <v>0</v>
      </c>
      <c r="AC6" s="46" t="e">
        <f t="shared" si="6"/>
        <v>#DIV/0!</v>
      </c>
      <c r="AD6" s="35">
        <f>(COUNTIFS('OP envoyée'!$F:$F,"LA",'OP envoyée'!$AE:$AE,8))</f>
        <v>0</v>
      </c>
      <c r="AE6" s="36" t="s">
        <v>1029</v>
      </c>
      <c r="AF6" s="35">
        <f>COUNTIFS(Navision!$F:$F,"LA",Navision!$AD:$AD,"o",Navision!$AE:$AE,8)</f>
        <v>0</v>
      </c>
      <c r="AG6" s="51" t="e">
        <f t="shared" si="7"/>
        <v>#DIV/0!</v>
      </c>
      <c r="AH6" s="35">
        <f>(COUNTIFS('OP envoyée'!$F:$F,"LA",'OP envoyée'!$AE:$AE,9))</f>
        <v>0</v>
      </c>
      <c r="AI6" s="36" t="s">
        <v>1029</v>
      </c>
      <c r="AJ6" s="35">
        <f>COUNTIFS(Navision!$F:$F,"LA",Navision!$AD:$AD,"o",Navision!$AE:$AE,9)</f>
        <v>0</v>
      </c>
      <c r="AK6" s="51" t="e">
        <f t="shared" si="8"/>
        <v>#DIV/0!</v>
      </c>
      <c r="AL6" s="35">
        <f>(COUNTIFS('OP envoyée'!$F:$F,"LA",'OP envoyée'!$AE:$AE,10))</f>
        <v>0</v>
      </c>
      <c r="AM6" s="36" t="s">
        <v>1029</v>
      </c>
      <c r="AN6" s="35">
        <f>COUNTIFS(Navision!$F:$F,"LA",Navision!$AD:$AD,"o",Navision!$AE:$AE,10)</f>
        <v>0</v>
      </c>
      <c r="AO6" s="46" t="e">
        <f t="shared" si="9"/>
        <v>#DIV/0!</v>
      </c>
      <c r="AP6" s="35">
        <f>(COUNTIFS('OP envoyée'!$F:$F,"LA",'OP envoyée'!$AE:$AE,11))</f>
        <v>0</v>
      </c>
      <c r="AQ6" s="36" t="s">
        <v>1029</v>
      </c>
      <c r="AR6" s="35">
        <f>COUNTIFS(Navision!$F:$F,"LA",Navision!$AD:$AD,"o",Navision!$AE:$AE,11)</f>
        <v>0</v>
      </c>
      <c r="AS6" s="46" t="e">
        <f t="shared" si="10"/>
        <v>#DIV/0!</v>
      </c>
      <c r="AT6" s="35">
        <f>(COUNTIFS('OP envoyée'!$F:$F,"LA",'OP envoyée'!$AE:$AE,12))</f>
        <v>0</v>
      </c>
      <c r="AU6" s="36" t="s">
        <v>1029</v>
      </c>
      <c r="AV6" s="35">
        <f>COUNTIFS(Navision!$F:$F,"LA",Navision!$AD:$AD,"o",Navision!$AE:$AE,12)</f>
        <v>0</v>
      </c>
      <c r="AW6" s="46" t="e">
        <f t="shared" si="11"/>
        <v>#DIV/0!</v>
      </c>
      <c r="AX6" s="22"/>
      <c r="AY6" s="35">
        <f>(COUNTIFS('OP envoyée'!$F:$F,"LA"))</f>
        <v>1</v>
      </c>
      <c r="AZ6" s="43" t="s">
        <v>1029</v>
      </c>
      <c r="BA6" s="35">
        <f>COUNTIFS(Navision!$F:$F,"LA",Navision!$AD:$AD,"o")</f>
        <v>1</v>
      </c>
      <c r="BB6" s="46">
        <f t="shared" si="12"/>
        <v>1</v>
      </c>
    </row>
    <row r="7" spans="1:54" ht="16.5" x14ac:dyDescent="0.25">
      <c r="A7" s="28" t="s">
        <v>66</v>
      </c>
      <c r="B7" s="35">
        <f>(COUNTIFS('OP envoyée'!$F:$F,"LV",'OP envoyée'!$AE:$AE,1))</f>
        <v>4</v>
      </c>
      <c r="C7" s="36" t="s">
        <v>1029</v>
      </c>
      <c r="D7" s="35">
        <f>COUNTIFS(Navision!$F:$F,"LV",Navision!$AD:$AD,"o",Navision!$AE:$AE,1)</f>
        <v>6</v>
      </c>
      <c r="E7" s="46">
        <f t="shared" si="0"/>
        <v>0.66666666666666663</v>
      </c>
      <c r="F7" s="35">
        <f>(COUNTIFS('OP envoyée'!$F:$F,"LV",'OP envoyée'!$AE:$AE,2))</f>
        <v>3</v>
      </c>
      <c r="G7" s="36" t="s">
        <v>1029</v>
      </c>
      <c r="H7" s="35">
        <f>COUNTIFS(Navision!$F:$F,"LV",Navision!$AD:$AD,"o",Navision!$AE:$AE,2)</f>
        <v>3</v>
      </c>
      <c r="I7" s="46">
        <f t="shared" si="1"/>
        <v>1</v>
      </c>
      <c r="J7" s="35">
        <f>(COUNTIFS('OP envoyée'!$F:$F,"LV",'OP envoyée'!$AE:$AE,3))</f>
        <v>6</v>
      </c>
      <c r="K7" s="36" t="s">
        <v>1029</v>
      </c>
      <c r="L7" s="35">
        <f>COUNTIFS(Navision!$F:$F,"LV",Navision!$AD:$AD,"o",Navision!$AE:$AE,3)</f>
        <v>7</v>
      </c>
      <c r="M7" s="46">
        <f t="shared" si="2"/>
        <v>0.8571428571428571</v>
      </c>
      <c r="N7" s="35">
        <f>(COUNTIFS('OP envoyée'!$F:$F,"LV",'OP envoyée'!$AE:$AE,4))</f>
        <v>1</v>
      </c>
      <c r="O7" s="36" t="s">
        <v>1029</v>
      </c>
      <c r="P7" s="35">
        <f>COUNTIFS(Navision!$F:$F,"LV",Navision!$AD:$AD,"o",Navision!$AE:$AE,4)</f>
        <v>2</v>
      </c>
      <c r="Q7" s="46">
        <f t="shared" si="3"/>
        <v>0.5</v>
      </c>
      <c r="R7" s="35">
        <f>(COUNTIFS('OP envoyée'!$F:$F,"LV",'OP envoyée'!$AE:$AE,5))</f>
        <v>0</v>
      </c>
      <c r="S7" s="36" t="s">
        <v>1029</v>
      </c>
      <c r="T7" s="35">
        <f>COUNTIFS(Navision!$F:$F,"LV",Navision!$AD:$AD,"o",Navision!$AE:$AE,5)</f>
        <v>0</v>
      </c>
      <c r="U7" s="46" t="e">
        <f t="shared" si="4"/>
        <v>#DIV/0!</v>
      </c>
      <c r="V7" s="35">
        <f>(COUNTIFS('OP envoyée'!$F:$F,"LV",'OP envoyée'!$AE:$AE,6))</f>
        <v>0</v>
      </c>
      <c r="W7" s="36" t="s">
        <v>1029</v>
      </c>
      <c r="X7" s="35">
        <f>COUNTIFS(Navision!$F:$F,"LV",Navision!$AD:$AD,"o",Navision!$AE:$AE,6)</f>
        <v>0</v>
      </c>
      <c r="Y7" s="46" t="e">
        <f t="shared" si="5"/>
        <v>#DIV/0!</v>
      </c>
      <c r="Z7" s="35">
        <f>(COUNTIFS('OP envoyée'!$F:$F,"LV",'OP envoyée'!$AE:$AE,7))</f>
        <v>0</v>
      </c>
      <c r="AA7" s="36" t="s">
        <v>1029</v>
      </c>
      <c r="AB7" s="35">
        <f>COUNTIFS(Navision!$F:$F,"LV",Navision!$AD:$AD,"o",Navision!$AE:$AE,7)</f>
        <v>0</v>
      </c>
      <c r="AC7" s="46" t="e">
        <f t="shared" si="6"/>
        <v>#DIV/0!</v>
      </c>
      <c r="AD7" s="35">
        <f>(COUNTIFS('OP envoyée'!$F:$F,"LV",'OP envoyée'!$AE:$AE,8))</f>
        <v>0</v>
      </c>
      <c r="AE7" s="36" t="s">
        <v>1029</v>
      </c>
      <c r="AF7" s="35">
        <f>COUNTIFS(Navision!$F:$F,"LV",Navision!$AD:$AD,"o",Navision!$AE:$AE,8)</f>
        <v>0</v>
      </c>
      <c r="AG7" s="51" t="e">
        <f t="shared" si="7"/>
        <v>#DIV/0!</v>
      </c>
      <c r="AH7" s="35">
        <f>(COUNTIFS('OP envoyée'!$F:$F,"LV",'OP envoyée'!$AE:$AE,9))</f>
        <v>0</v>
      </c>
      <c r="AI7" s="36" t="s">
        <v>1029</v>
      </c>
      <c r="AJ7" s="35">
        <f>COUNTIFS(Navision!$F:$F,"LV",Navision!$AD:$AD,"o",Navision!$AE:$AE,9)</f>
        <v>0</v>
      </c>
      <c r="AK7" s="51" t="e">
        <f t="shared" si="8"/>
        <v>#DIV/0!</v>
      </c>
      <c r="AL7" s="35">
        <f>(COUNTIFS('OP envoyée'!$F:$F,"LV",'OP envoyée'!$AE:$AE,10))</f>
        <v>0</v>
      </c>
      <c r="AM7" s="36" t="s">
        <v>1029</v>
      </c>
      <c r="AN7" s="35">
        <f>COUNTIFS(Navision!$F:$F,"LV",Navision!$AD:$AD,"o",Navision!$AE:$AE,10)</f>
        <v>0</v>
      </c>
      <c r="AO7" s="46" t="e">
        <f t="shared" si="9"/>
        <v>#DIV/0!</v>
      </c>
      <c r="AP7" s="35">
        <f>(COUNTIFS('OP envoyée'!$F:$F,"LV",'OP envoyée'!$AE:$AE,11))</f>
        <v>0</v>
      </c>
      <c r="AQ7" s="36" t="s">
        <v>1029</v>
      </c>
      <c r="AR7" s="35">
        <f>COUNTIFS(Navision!$F:$F,"LV",Navision!$AD:$AD,"o",Navision!$AE:$AE,11)</f>
        <v>0</v>
      </c>
      <c r="AS7" s="46" t="e">
        <f t="shared" si="10"/>
        <v>#DIV/0!</v>
      </c>
      <c r="AT7" s="35">
        <f>(COUNTIFS('OP envoyée'!$F:$F,"LV",'OP envoyée'!$AE:$AE,12))</f>
        <v>0</v>
      </c>
      <c r="AU7" s="36" t="s">
        <v>1029</v>
      </c>
      <c r="AV7" s="35">
        <f>COUNTIFS(Navision!$F:$F,"LV",Navision!$AD:$AD,"o",Navision!$AE:$AE,12)</f>
        <v>0</v>
      </c>
      <c r="AW7" s="46" t="e">
        <f t="shared" si="11"/>
        <v>#DIV/0!</v>
      </c>
      <c r="AX7" s="22"/>
      <c r="AY7" s="35">
        <f>(COUNTIFS('OP envoyée'!$F:$F,"LV"))</f>
        <v>14</v>
      </c>
      <c r="AZ7" s="43" t="s">
        <v>1029</v>
      </c>
      <c r="BA7" s="35">
        <f>COUNTIFS(Navision!$F:$F,"LV",Navision!$AD:$AD,"o")</f>
        <v>18</v>
      </c>
      <c r="BB7" s="46">
        <f t="shared" si="12"/>
        <v>0.77777777777777779</v>
      </c>
    </row>
    <row r="8" spans="1:54" ht="16.5" x14ac:dyDescent="0.25">
      <c r="A8" s="28" t="s">
        <v>80</v>
      </c>
      <c r="B8" s="35">
        <f>(COUNTIFS('OP envoyée'!$F:$F,"NB",'OP envoyée'!$AE:$AE,1))</f>
        <v>0</v>
      </c>
      <c r="C8" s="36" t="s">
        <v>1029</v>
      </c>
      <c r="D8" s="35">
        <f>COUNTIFS(Navision!$F:$F,"NB",Navision!$AD:$AD,"o",Navision!$AE:$AE,1)</f>
        <v>5</v>
      </c>
      <c r="E8" s="46">
        <f t="shared" si="0"/>
        <v>0</v>
      </c>
      <c r="F8" s="35">
        <f>(COUNTIFS('OP envoyée'!$F:$F,"NB",'OP envoyée'!$AE:$AE,2))</f>
        <v>4</v>
      </c>
      <c r="G8" s="36" t="s">
        <v>1029</v>
      </c>
      <c r="H8" s="35">
        <f>COUNTIFS(Navision!$F:$F,"NB",Navision!$AD:$AD,"o",Navision!$AE:$AE,2)</f>
        <v>5</v>
      </c>
      <c r="I8" s="46">
        <f t="shared" si="1"/>
        <v>0.8</v>
      </c>
      <c r="J8" s="35">
        <f>(COUNTIFS('OP envoyée'!$F:$F,"NB",'OP envoyée'!$AE:$AE,3))</f>
        <v>10</v>
      </c>
      <c r="K8" s="36" t="s">
        <v>1029</v>
      </c>
      <c r="L8" s="35">
        <f>COUNTIFS(Navision!$F:$F,"NB",Navision!$AD:$AD,"o",Navision!$AE:$AE,3)</f>
        <v>7</v>
      </c>
      <c r="M8" s="46">
        <f t="shared" si="2"/>
        <v>1.4285714285714286</v>
      </c>
      <c r="N8" s="35">
        <f>(COUNTIFS('OP envoyée'!$F:$F,"NB",'OP envoyée'!$AE:$AE,4))</f>
        <v>2</v>
      </c>
      <c r="O8" s="36" t="s">
        <v>1029</v>
      </c>
      <c r="P8" s="35">
        <f>COUNTIFS(Navision!$F:$F,"NB",Navision!$AD:$AD,"o",Navision!$AE:$AE,4)</f>
        <v>2</v>
      </c>
      <c r="Q8" s="46">
        <f t="shared" si="3"/>
        <v>1</v>
      </c>
      <c r="R8" s="35">
        <f>(COUNTIFS('OP envoyée'!$F:$F,"NB",'OP envoyée'!$AE:$AE,5))</f>
        <v>0</v>
      </c>
      <c r="S8" s="36" t="s">
        <v>1029</v>
      </c>
      <c r="T8" s="35">
        <f>COUNTIFS(Navision!$F:$F,"NB",Navision!$AD:$AD,"o",Navision!$AE:$AE,5)</f>
        <v>0</v>
      </c>
      <c r="U8" s="46" t="e">
        <f t="shared" si="4"/>
        <v>#DIV/0!</v>
      </c>
      <c r="V8" s="35">
        <f>(COUNTIFS('OP envoyée'!$F:$F,"NB",'OP envoyée'!$AE:$AE,6))</f>
        <v>0</v>
      </c>
      <c r="W8" s="36" t="s">
        <v>1029</v>
      </c>
      <c r="X8" s="35">
        <f>COUNTIFS(Navision!$F:$F,"NB",Navision!$AD:$AD,"o",Navision!$AE:$AE,6)</f>
        <v>0</v>
      </c>
      <c r="Y8" s="46" t="e">
        <f t="shared" si="5"/>
        <v>#DIV/0!</v>
      </c>
      <c r="Z8" s="35">
        <f>(COUNTIFS('OP envoyée'!$F:$F,"NB",'OP envoyée'!$AE:$AE,7))</f>
        <v>0</v>
      </c>
      <c r="AA8" s="36" t="s">
        <v>1029</v>
      </c>
      <c r="AB8" s="35">
        <f>COUNTIFS(Navision!$F:$F,"NB",Navision!$AD:$AD,"o",Navision!$AE:$AE,7)</f>
        <v>0</v>
      </c>
      <c r="AC8" s="46" t="e">
        <f t="shared" si="6"/>
        <v>#DIV/0!</v>
      </c>
      <c r="AD8" s="35">
        <f>(COUNTIFS('OP envoyée'!$F:$F,"NB",'OP envoyée'!$AE:$AE,8))</f>
        <v>0</v>
      </c>
      <c r="AE8" s="36" t="s">
        <v>1029</v>
      </c>
      <c r="AF8" s="35">
        <f>COUNTIFS(Navision!$F:$F,"NB",Navision!$AD:$AD,"o",Navision!$AE:$AE,8)</f>
        <v>0</v>
      </c>
      <c r="AG8" s="51" t="e">
        <f t="shared" si="7"/>
        <v>#DIV/0!</v>
      </c>
      <c r="AH8" s="35">
        <f>(COUNTIFS('OP envoyée'!$F:$F,"NB",'OP envoyée'!$AE:$AE,9))</f>
        <v>0</v>
      </c>
      <c r="AI8" s="36" t="s">
        <v>1029</v>
      </c>
      <c r="AJ8" s="35">
        <f>COUNTIFS(Navision!$F:$F,"NB",Navision!$AD:$AD,"o",Navision!$AE:$AE,9)</f>
        <v>0</v>
      </c>
      <c r="AK8" s="51" t="e">
        <f t="shared" si="8"/>
        <v>#DIV/0!</v>
      </c>
      <c r="AL8" s="35">
        <f>(COUNTIFS('OP envoyée'!$F:$F,"NB",'OP envoyée'!$AE:$AE,10))</f>
        <v>0</v>
      </c>
      <c r="AM8" s="36" t="s">
        <v>1029</v>
      </c>
      <c r="AN8" s="35">
        <f>COUNTIFS(Navision!$F:$F,"NB",Navision!$AD:$AD,"o",Navision!$AE:$AE,10)</f>
        <v>0</v>
      </c>
      <c r="AO8" s="46" t="e">
        <f t="shared" si="9"/>
        <v>#DIV/0!</v>
      </c>
      <c r="AP8" s="35">
        <f>(COUNTIFS('OP envoyée'!$F:$F,"NB",'OP envoyée'!$AE:$AE,11))</f>
        <v>0</v>
      </c>
      <c r="AQ8" s="36" t="s">
        <v>1029</v>
      </c>
      <c r="AR8" s="35">
        <f>COUNTIFS(Navision!$F:$F,"NB",Navision!$AD:$AD,"o",Navision!$AE:$AE,11)</f>
        <v>0</v>
      </c>
      <c r="AS8" s="46" t="e">
        <f t="shared" si="10"/>
        <v>#DIV/0!</v>
      </c>
      <c r="AT8" s="35">
        <f>(COUNTIFS('OP envoyée'!$F:$F,"NB",'OP envoyée'!$AE:$AE,12))</f>
        <v>0</v>
      </c>
      <c r="AU8" s="36" t="s">
        <v>1029</v>
      </c>
      <c r="AV8" s="35">
        <f>COUNTIFS(Navision!$F:$F,"NB",Navision!$AD:$AD,"o",Navision!$AE:$AE,12)</f>
        <v>0</v>
      </c>
      <c r="AW8" s="46" t="e">
        <f t="shared" si="11"/>
        <v>#DIV/0!</v>
      </c>
      <c r="AX8" s="22"/>
      <c r="AY8" s="35">
        <f>(COUNTIFS('OP envoyée'!$F:$F,"NB"))</f>
        <v>16</v>
      </c>
      <c r="AZ8" s="43" t="s">
        <v>1029</v>
      </c>
      <c r="BA8" s="35">
        <f>COUNTIFS(Navision!$F:$F,"NB",Navision!$AD:$AD,"o")</f>
        <v>19</v>
      </c>
      <c r="BB8" s="46">
        <f t="shared" si="12"/>
        <v>0.84210526315789469</v>
      </c>
    </row>
    <row r="9" spans="1:54" ht="16.5" x14ac:dyDescent="0.25">
      <c r="A9" s="28" t="s">
        <v>138</v>
      </c>
      <c r="B9" s="35">
        <f>(COUNTIFS('OP envoyée'!$F:$F,"NG",'OP envoyée'!$AE:$AE,1))</f>
        <v>6</v>
      </c>
      <c r="C9" s="36" t="s">
        <v>1029</v>
      </c>
      <c r="D9" s="35">
        <f>COUNTIFS(Navision!$F:$F,"NG",Navision!$AD:$AD,"o",Navision!$AE:$AE,1)</f>
        <v>20</v>
      </c>
      <c r="E9" s="46">
        <f t="shared" si="0"/>
        <v>0.3</v>
      </c>
      <c r="F9" s="35">
        <f>(COUNTIFS('OP envoyée'!$F:$F,"NG",'OP envoyée'!$AE:$AE,2))</f>
        <v>22</v>
      </c>
      <c r="G9" s="36" t="s">
        <v>1029</v>
      </c>
      <c r="H9" s="35">
        <f>COUNTIFS(Navision!$F:$F,"NG",Navision!$AD:$AD,"o",Navision!$AE:$AE,2)</f>
        <v>21</v>
      </c>
      <c r="I9" s="46">
        <f t="shared" si="1"/>
        <v>1.0476190476190477</v>
      </c>
      <c r="J9" s="35">
        <f>(COUNTIFS('OP envoyée'!$F:$F,"NG",'OP envoyée'!$AE:$AE,3))</f>
        <v>16</v>
      </c>
      <c r="K9" s="36" t="s">
        <v>1029</v>
      </c>
      <c r="L9" s="35">
        <f>COUNTIFS(Navision!$F:$F,"NG",Navision!$AD:$AD,"o",Navision!$AE:$AE,3)</f>
        <v>20</v>
      </c>
      <c r="M9" s="46">
        <f t="shared" si="2"/>
        <v>0.8</v>
      </c>
      <c r="N9" s="35">
        <f>(COUNTIFS('OP envoyée'!$F:$F,"NG",'OP envoyée'!$AE:$AE,4))</f>
        <v>9</v>
      </c>
      <c r="O9" s="36" t="s">
        <v>1029</v>
      </c>
      <c r="P9" s="35">
        <f>COUNTIFS(Navision!$F:$F,"NG",Navision!$AD:$AD,"o",Navision!$AE:$AE,4)</f>
        <v>1</v>
      </c>
      <c r="Q9" s="46">
        <f t="shared" si="3"/>
        <v>9</v>
      </c>
      <c r="R9" s="35">
        <f>(COUNTIFS('OP envoyée'!$F:$F,"NG",'OP envoyée'!$AE:$AE,5))</f>
        <v>0</v>
      </c>
      <c r="S9" s="36" t="s">
        <v>1029</v>
      </c>
      <c r="T9" s="35">
        <f>COUNTIFS(Navision!$F:$F,"NG",Navision!$AD:$AD,"o",Navision!$AE:$AE,5)</f>
        <v>0</v>
      </c>
      <c r="U9" s="46" t="e">
        <f t="shared" si="4"/>
        <v>#DIV/0!</v>
      </c>
      <c r="V9" s="35">
        <f>(COUNTIFS('OP envoyée'!$F:$F,"NG",'OP envoyée'!$AE:$AE,6))</f>
        <v>0</v>
      </c>
      <c r="W9" s="36" t="s">
        <v>1029</v>
      </c>
      <c r="X9" s="35">
        <f>COUNTIFS(Navision!$F:$F,"NG",Navision!$AD:$AD,"o",Navision!$AE:$AE,6)</f>
        <v>0</v>
      </c>
      <c r="Y9" s="46" t="e">
        <f t="shared" si="5"/>
        <v>#DIV/0!</v>
      </c>
      <c r="Z9" s="35">
        <f>(COUNTIFS('OP envoyée'!$F:$F,"NG",'OP envoyée'!$AE:$AE,7))</f>
        <v>0</v>
      </c>
      <c r="AA9" s="36" t="s">
        <v>1029</v>
      </c>
      <c r="AB9" s="35">
        <f>COUNTIFS(Navision!$F:$F,"NG",Navision!$AD:$AD,"o",Navision!$AE:$AE,7)</f>
        <v>0</v>
      </c>
      <c r="AC9" s="46" t="e">
        <f t="shared" si="6"/>
        <v>#DIV/0!</v>
      </c>
      <c r="AD9" s="35">
        <f>(COUNTIFS('OP envoyée'!$F:$F,"NG",'OP envoyée'!$AE:$AE,8))</f>
        <v>0</v>
      </c>
      <c r="AE9" s="36" t="s">
        <v>1029</v>
      </c>
      <c r="AF9" s="35">
        <f>COUNTIFS(Navision!$F:$F,"NG",Navision!$AD:$AD,"o",Navision!$AE:$AE,8)</f>
        <v>0</v>
      </c>
      <c r="AG9" s="51" t="e">
        <f t="shared" si="7"/>
        <v>#DIV/0!</v>
      </c>
      <c r="AH9" s="35">
        <f>(COUNTIFS('OP envoyée'!$F:$F,"NG",'OP envoyée'!$AE:$AE,9))</f>
        <v>0</v>
      </c>
      <c r="AI9" s="36" t="s">
        <v>1029</v>
      </c>
      <c r="AJ9" s="35">
        <f>COUNTIFS(Navision!$F:$F,"NG",Navision!$AD:$AD,"o",Navision!$AE:$AE,9)</f>
        <v>0</v>
      </c>
      <c r="AK9" s="51" t="e">
        <f t="shared" si="8"/>
        <v>#DIV/0!</v>
      </c>
      <c r="AL9" s="35">
        <f>(COUNTIFS('OP envoyée'!$F:$F,"NG",'OP envoyée'!$AE:$AE,10))</f>
        <v>0</v>
      </c>
      <c r="AM9" s="36" t="s">
        <v>1029</v>
      </c>
      <c r="AN9" s="35">
        <f>COUNTIFS(Navision!$F:$F,"NG",Navision!$AD:$AD,"o",Navision!$AE:$AE,10)</f>
        <v>0</v>
      </c>
      <c r="AO9" s="46" t="e">
        <f t="shared" si="9"/>
        <v>#DIV/0!</v>
      </c>
      <c r="AP9" s="35">
        <f>(COUNTIFS('OP envoyée'!$F:$F,"NG",'OP envoyée'!$AE:$AE,11))</f>
        <v>0</v>
      </c>
      <c r="AQ9" s="36" t="s">
        <v>1029</v>
      </c>
      <c r="AR9" s="35">
        <f>COUNTIFS(Navision!$F:$F,"NG",Navision!$AD:$AD,"o",Navision!$AE:$AE,11)</f>
        <v>0</v>
      </c>
      <c r="AS9" s="46" t="e">
        <f t="shared" si="10"/>
        <v>#DIV/0!</v>
      </c>
      <c r="AT9" s="35">
        <f>(COUNTIFS('OP envoyée'!$F:$F,"NG",'OP envoyée'!$AE:$AE,12))</f>
        <v>0</v>
      </c>
      <c r="AU9" s="36" t="s">
        <v>1029</v>
      </c>
      <c r="AV9" s="35">
        <f>COUNTIFS(Navision!$F:$F,"NG",Navision!$AD:$AD,"o",Navision!$AE:$AE,12)</f>
        <v>0</v>
      </c>
      <c r="AW9" s="46" t="e">
        <f t="shared" si="11"/>
        <v>#DIV/0!</v>
      </c>
      <c r="AX9" s="22"/>
      <c r="AY9" s="35">
        <f>(COUNTIFS('OP envoyée'!$F:$F,"NG"))</f>
        <v>53</v>
      </c>
      <c r="AZ9" s="43" t="s">
        <v>1029</v>
      </c>
      <c r="BA9" s="35">
        <f>COUNTIFS(Navision!$F:$F,"NG",Navision!$AD:$AD,"o")</f>
        <v>62</v>
      </c>
      <c r="BB9" s="46">
        <f t="shared" si="12"/>
        <v>0.85483870967741937</v>
      </c>
    </row>
    <row r="10" spans="1:54" s="16" customFormat="1" ht="16.5" x14ac:dyDescent="0.25">
      <c r="A10" s="28" t="s">
        <v>740</v>
      </c>
      <c r="B10" s="35">
        <f>(COUNTIFS('OP envoyée'!$F:$F,"PB",'OP envoyée'!$AE:$AE,1))</f>
        <v>0</v>
      </c>
      <c r="C10" s="36" t="s">
        <v>1029</v>
      </c>
      <c r="D10" s="35">
        <f>COUNTIFS(Navision!$F:$F,"PB",Navision!$AD:$AD,"o",Navision!$AE:$AE,1)</f>
        <v>0</v>
      </c>
      <c r="E10" s="46" t="e">
        <f>B10/D10</f>
        <v>#DIV/0!</v>
      </c>
      <c r="F10" s="35">
        <f>(COUNTIFS('OP envoyée'!$F:$F,"PB",'OP envoyée'!$AE:$AE,2))</f>
        <v>0</v>
      </c>
      <c r="G10" s="36"/>
      <c r="H10" s="35">
        <f>COUNTIFS(Navision!$F:$F,"PB",Navision!$AD:$AD,"o",Navision!$AE:$AE,2)</f>
        <v>0</v>
      </c>
      <c r="I10" s="46" t="e">
        <f t="shared" si="1"/>
        <v>#DIV/0!</v>
      </c>
      <c r="J10" s="35">
        <f>(COUNTIFS('OP envoyée'!$F:$F,"PB",'OP envoyée'!$AE:$AE,3))</f>
        <v>0</v>
      </c>
      <c r="K10" s="36" t="s">
        <v>1029</v>
      </c>
      <c r="L10" s="35">
        <f>COUNTIFS(Navision!$F:$F,"PB",Navision!$AD:$AD,"o",Navision!$AE:$AE,3)</f>
        <v>1</v>
      </c>
      <c r="M10" s="46">
        <f t="shared" si="2"/>
        <v>0</v>
      </c>
      <c r="N10" s="35">
        <f>(COUNTIFS('OP envoyée'!$F:$F,"PB",'OP envoyée'!$AE:$AE,4))</f>
        <v>0</v>
      </c>
      <c r="O10" s="36" t="s">
        <v>1029</v>
      </c>
      <c r="P10" s="35">
        <f>COUNTIFS(Navision!$F:$F,"PB",Navision!$AD:$AD,"o",Navision!$AE:$AE,4)</f>
        <v>0</v>
      </c>
      <c r="Q10" s="46" t="e">
        <f t="shared" si="3"/>
        <v>#DIV/0!</v>
      </c>
      <c r="R10" s="35">
        <f>(COUNTIFS('OP envoyée'!$F:$F,"PB",'OP envoyée'!$AE:$AE,5))</f>
        <v>0</v>
      </c>
      <c r="S10" s="36" t="s">
        <v>1029</v>
      </c>
      <c r="T10" s="35">
        <f>COUNTIFS(Navision!$F:$F,"PB",Navision!$AD:$AD,"o",Navision!$AE:$AE,5)</f>
        <v>0</v>
      </c>
      <c r="U10" s="46" t="e">
        <f t="shared" si="4"/>
        <v>#DIV/0!</v>
      </c>
      <c r="V10" s="35">
        <f>(COUNTIFS('OP envoyée'!$F:$F,"PB",'OP envoyée'!$AE:$AE,6))</f>
        <v>0</v>
      </c>
      <c r="W10" s="36" t="s">
        <v>1029</v>
      </c>
      <c r="X10" s="35">
        <f>COUNTIFS(Navision!$F:$F,"PB",Navision!$AD:$AD,"o",Navision!$AE:$AE,6)</f>
        <v>0</v>
      </c>
      <c r="Y10" s="46" t="e">
        <f t="shared" si="5"/>
        <v>#DIV/0!</v>
      </c>
      <c r="Z10" s="35">
        <f>(COUNTIFS('OP envoyée'!$F:$F,"PB",'OP envoyée'!$AE:$AE,7))</f>
        <v>0</v>
      </c>
      <c r="AA10" s="36" t="s">
        <v>1029</v>
      </c>
      <c r="AB10" s="35">
        <f>COUNTIFS(Navision!$F:$F,"PB",Navision!$AD:$AD,"o",Navision!$AE:$AE,7)</f>
        <v>0</v>
      </c>
      <c r="AC10" s="46" t="e">
        <f t="shared" si="6"/>
        <v>#DIV/0!</v>
      </c>
      <c r="AD10" s="35">
        <f>(COUNTIFS('OP envoyée'!$F:$F,"PB",'OP envoyée'!$AE:$AE,8))</f>
        <v>0</v>
      </c>
      <c r="AE10" s="36" t="s">
        <v>1029</v>
      </c>
      <c r="AF10" s="35">
        <f>COUNTIFS(Navision!$F:$F,"PB",Navision!$AD:$AD,"o",Navision!$AE:$AE,8)</f>
        <v>0</v>
      </c>
      <c r="AG10" s="51" t="e">
        <f t="shared" si="7"/>
        <v>#DIV/0!</v>
      </c>
      <c r="AH10" s="35">
        <f>(COUNTIFS('OP envoyée'!$F:$F,"PB",'OP envoyée'!$AE:$AE,9))</f>
        <v>0</v>
      </c>
      <c r="AI10" s="36"/>
      <c r="AJ10" s="35">
        <f>COUNTIFS(Navision!$F:$F,"PB",Navision!$AD:$AD,"o",Navision!$AE:$AE,9)</f>
        <v>0</v>
      </c>
      <c r="AK10" s="51" t="e">
        <f t="shared" si="8"/>
        <v>#DIV/0!</v>
      </c>
      <c r="AL10" s="35">
        <f>(COUNTIFS('OP envoyée'!$F:$F,"PB",'OP envoyée'!$AE:$AE,10))</f>
        <v>0</v>
      </c>
      <c r="AM10" s="36"/>
      <c r="AN10" s="35">
        <f>COUNTIFS(Navision!$F:$F,"PB",Navision!$AD:$AD,"o",Navision!$AE:$AE,10)</f>
        <v>0</v>
      </c>
      <c r="AO10" s="46" t="e">
        <f t="shared" si="9"/>
        <v>#DIV/0!</v>
      </c>
      <c r="AP10" s="35">
        <f>(COUNTIFS('OP envoyée'!$F:$F,"PB",'OP envoyée'!$AE:$AE,11))</f>
        <v>0</v>
      </c>
      <c r="AQ10" s="36"/>
      <c r="AR10" s="35">
        <f>COUNTIFS(Navision!$F:$F,"PB",Navision!$AD:$AD,"o",Navision!$AE:$AE,11)</f>
        <v>0</v>
      </c>
      <c r="AS10" s="46" t="e">
        <f t="shared" si="10"/>
        <v>#DIV/0!</v>
      </c>
      <c r="AT10" s="35">
        <f>(COUNTIFS('OP envoyée'!$F:$F,"PB",'OP envoyée'!$AE:$AE,12))</f>
        <v>0</v>
      </c>
      <c r="AU10" s="36"/>
      <c r="AV10" s="35">
        <f>COUNTIFS(Navision!$F:$F,"PB",Navision!$AD:$AD,"o",Navision!$AE:$AE,12)</f>
        <v>0</v>
      </c>
      <c r="AW10" s="46" t="e">
        <f t="shared" si="11"/>
        <v>#DIV/0!</v>
      </c>
      <c r="AX10" s="22"/>
      <c r="AY10" s="35">
        <f>(COUNTIFS('OP envoyée'!$F:$F,"PB"))</f>
        <v>0</v>
      </c>
      <c r="AZ10" s="43" t="s">
        <v>1029</v>
      </c>
      <c r="BA10" s="35">
        <f>COUNTIFS(Navision!$F:$F,"PB",Navision!$AD:$AD,"o")</f>
        <v>1</v>
      </c>
      <c r="BB10" s="46">
        <f t="shared" si="12"/>
        <v>0</v>
      </c>
    </row>
    <row r="11" spans="1:54" s="91" customFormat="1" ht="16.5" x14ac:dyDescent="0.25">
      <c r="A11" s="28" t="s">
        <v>189</v>
      </c>
      <c r="B11" s="35">
        <f>(COUNTIFS('OP envoyée'!$F:$F,"PO",'OP envoyée'!$AE:$AE,1))</f>
        <v>0</v>
      </c>
      <c r="C11" s="36" t="s">
        <v>1029</v>
      </c>
      <c r="D11" s="35">
        <f>COUNTIFS(Navision!$F:$F,"PO",Navision!$AD:$AD,"o",Navision!$AE:$AE,1)</f>
        <v>1</v>
      </c>
      <c r="E11" s="46">
        <f>B11/D11</f>
        <v>0</v>
      </c>
      <c r="F11" s="35">
        <f>(COUNTIFS('OP envoyée'!$F:$F,"PO",'OP envoyée'!$AE:$AE,2))</f>
        <v>0</v>
      </c>
      <c r="G11" s="36"/>
      <c r="H11" s="35">
        <f>COUNTIFS(Navision!$F:$F,"PO",Navision!$AD:$AD,"o",Navision!$AE:$AE,2)</f>
        <v>0</v>
      </c>
      <c r="I11" s="46" t="e">
        <f t="shared" ref="I11" si="13">F11/H11</f>
        <v>#DIV/0!</v>
      </c>
      <c r="J11" s="35">
        <f>(COUNTIFS('OP envoyée'!$F:$F,"PO",'OP envoyée'!$AE:$AE,3))</f>
        <v>0</v>
      </c>
      <c r="K11" s="36" t="s">
        <v>1029</v>
      </c>
      <c r="L11" s="35">
        <f>COUNTIFS(Navision!$F:$F,"PO",Navision!$AD:$AD,"o",Navision!$AE:$AE,3)</f>
        <v>0</v>
      </c>
      <c r="M11" s="46" t="e">
        <f t="shared" ref="M11" si="14">J11/L11</f>
        <v>#DIV/0!</v>
      </c>
      <c r="N11" s="35">
        <f>(COUNTIFS('OP envoyée'!$F:$F,"PO",'OP envoyée'!$AE:$AE,4))</f>
        <v>0</v>
      </c>
      <c r="O11" s="36" t="s">
        <v>1029</v>
      </c>
      <c r="P11" s="35">
        <f>COUNTIFS(Navision!$F:$F,"PO",Navision!$AD:$AD,"o",Navision!$AE:$AE,4)</f>
        <v>0</v>
      </c>
      <c r="Q11" s="46" t="e">
        <f t="shared" ref="Q11" si="15">N11/P11</f>
        <v>#DIV/0!</v>
      </c>
      <c r="R11" s="35">
        <f>(COUNTIFS('OP envoyée'!$F:$F,"PO",'OP envoyée'!$AE:$AE,5))</f>
        <v>0</v>
      </c>
      <c r="S11" s="36" t="s">
        <v>1029</v>
      </c>
      <c r="T11" s="35">
        <f>COUNTIFS(Navision!$F:$F,"PO",Navision!$AD:$AD,"o",Navision!$AE:$AE,5)</f>
        <v>0</v>
      </c>
      <c r="U11" s="46" t="e">
        <f t="shared" ref="U11" si="16">R11/T11</f>
        <v>#DIV/0!</v>
      </c>
      <c r="V11" s="35">
        <f>(COUNTIFS('OP envoyée'!$F:$F,"PO",'OP envoyée'!$AE:$AE,6))</f>
        <v>0</v>
      </c>
      <c r="W11" s="36" t="s">
        <v>1029</v>
      </c>
      <c r="X11" s="35">
        <f>COUNTIFS(Navision!$F:$F,"PO",Navision!$AD:$AD,"o",Navision!$AE:$AE,6)</f>
        <v>0</v>
      </c>
      <c r="Y11" s="46" t="e">
        <f t="shared" ref="Y11" si="17">V11/X11</f>
        <v>#DIV/0!</v>
      </c>
      <c r="Z11" s="35">
        <f>(COUNTIFS('OP envoyée'!$F:$F,"PO",'OP envoyée'!$AE:$AE,7))</f>
        <v>0</v>
      </c>
      <c r="AA11" s="36" t="s">
        <v>1029</v>
      </c>
      <c r="AB11" s="35">
        <f>COUNTIFS(Navision!$F:$F,"PO",Navision!$AD:$AD,"o",Navision!$AE:$AE,7)</f>
        <v>0</v>
      </c>
      <c r="AC11" s="46" t="e">
        <f t="shared" ref="AC11" si="18">Z11/AB11</f>
        <v>#DIV/0!</v>
      </c>
      <c r="AD11" s="35">
        <f>(COUNTIFS('OP envoyée'!$F:$F,"PO",'OP envoyée'!$AE:$AE,8))</f>
        <v>0</v>
      </c>
      <c r="AE11" s="36" t="s">
        <v>1029</v>
      </c>
      <c r="AF11" s="35">
        <f>COUNTIFS(Navision!$F:$F,"PO",Navision!$AD:$AD,"o",Navision!$AE:$AE,8)</f>
        <v>0</v>
      </c>
      <c r="AG11" s="51" t="e">
        <f t="shared" ref="AG11" si="19">AD11/AF11</f>
        <v>#DIV/0!</v>
      </c>
      <c r="AH11" s="35">
        <f>(COUNTIFS('OP envoyée'!$F:$F,"PO",'OP envoyée'!$AE:$AE,9))</f>
        <v>0</v>
      </c>
      <c r="AI11" s="36"/>
      <c r="AJ11" s="35">
        <f>COUNTIFS(Navision!$F:$F,"PO",Navision!$AD:$AD,"o",Navision!$AE:$AE,9)</f>
        <v>0</v>
      </c>
      <c r="AK11" s="51" t="e">
        <f t="shared" ref="AK11" si="20">AH11/AJ11</f>
        <v>#DIV/0!</v>
      </c>
      <c r="AL11" s="35">
        <f>(COUNTIFS('OP envoyée'!$F:$F,"PO",'OP envoyée'!$AE:$AE,10))</f>
        <v>0</v>
      </c>
      <c r="AM11" s="36"/>
      <c r="AN11" s="35">
        <f>COUNTIFS(Navision!$F:$F,"PO",Navision!$AD:$AD,"o",Navision!$AE:$AE,10)</f>
        <v>0</v>
      </c>
      <c r="AO11" s="46" t="e">
        <f t="shared" ref="AO11" si="21">AL11/AN11</f>
        <v>#DIV/0!</v>
      </c>
      <c r="AP11" s="35">
        <f>(COUNTIFS('OP envoyée'!$F:$F,"PO",'OP envoyée'!$AE:$AE,11))</f>
        <v>0</v>
      </c>
      <c r="AQ11" s="36"/>
      <c r="AR11" s="35">
        <f>COUNTIFS(Navision!$F:$F,"PO",Navision!$AD:$AD,"o",Navision!$AE:$AE,11)</f>
        <v>0</v>
      </c>
      <c r="AS11" s="46" t="e">
        <f t="shared" ref="AS11" si="22">AP11/AR11</f>
        <v>#DIV/0!</v>
      </c>
      <c r="AT11" s="35">
        <f>(COUNTIFS('OP envoyée'!$F:$F,"PO",'OP envoyée'!$AE:$AE,12))</f>
        <v>0</v>
      </c>
      <c r="AU11" s="36"/>
      <c r="AV11" s="35">
        <f>COUNTIFS(Navision!$F:$F,"PO",Navision!$AD:$AD,"o",Navision!$AE:$AE,12)</f>
        <v>0</v>
      </c>
      <c r="AW11" s="46" t="e">
        <f t="shared" ref="AW11" si="23">AT11/AV11</f>
        <v>#DIV/0!</v>
      </c>
      <c r="AX11" s="22"/>
      <c r="AY11" s="35">
        <f>(COUNTIFS('OP envoyée'!$F:$F,"PO"))</f>
        <v>0</v>
      </c>
      <c r="AZ11" s="43" t="s">
        <v>1029</v>
      </c>
      <c r="BA11" s="35">
        <f>COUNTIFS(Navision!$F:$F,"PO",Navision!$AD:$AD,"o")</f>
        <v>1</v>
      </c>
      <c r="BB11" s="46">
        <f t="shared" ref="BB11" si="24">AY11/BA11</f>
        <v>0</v>
      </c>
    </row>
    <row r="12" spans="1:54" ht="16.5" x14ac:dyDescent="0.25">
      <c r="A12" s="28" t="s">
        <v>308</v>
      </c>
      <c r="B12" s="35">
        <f>(COUNTIFS('OP envoyée'!$F:$F,"RM",'OP envoyée'!AE:AE,1))</f>
        <v>0</v>
      </c>
      <c r="C12" s="36" t="s">
        <v>1029</v>
      </c>
      <c r="D12" s="35">
        <f>COUNTIFS(Navision!$F:$F,"RM",Navision!$AD:$AD,"o",Navision!$AE:$AE,1)</f>
        <v>3</v>
      </c>
      <c r="E12" s="46">
        <f t="shared" si="0"/>
        <v>0</v>
      </c>
      <c r="F12" s="35">
        <f>(COUNTIFS('OP envoyée'!$F:$F,"RM",'OP envoyée'!$AE:$AE,2))</f>
        <v>2</v>
      </c>
      <c r="G12" s="36" t="s">
        <v>1029</v>
      </c>
      <c r="H12" s="35">
        <f>COUNTIFS(Navision!$F:$F,"RM",Navision!$AD:$AD,"o",Navision!$AE:$AE,2)</f>
        <v>1</v>
      </c>
      <c r="I12" s="46">
        <f t="shared" si="1"/>
        <v>2</v>
      </c>
      <c r="J12" s="35">
        <f>(COUNTIFS('OP envoyée'!$F:$F,"RM",'OP envoyée'!$AE:$AE,3))</f>
        <v>2</v>
      </c>
      <c r="K12" s="36" t="s">
        <v>1029</v>
      </c>
      <c r="L12" s="35">
        <f>COUNTIFS(Navision!$F:$F,"RM",Navision!$AD:$AD,"o",Navision!$AE:$AE,3)</f>
        <v>1</v>
      </c>
      <c r="M12" s="46">
        <f t="shared" si="2"/>
        <v>2</v>
      </c>
      <c r="N12" s="35">
        <f>(COUNTIFS('OP envoyée'!$F:$F,"RM",'OP envoyée'!$AE:$AE,4))</f>
        <v>0</v>
      </c>
      <c r="O12" s="36" t="s">
        <v>1029</v>
      </c>
      <c r="P12" s="35">
        <f>COUNTIFS(Navision!$F:$F,"RM",Navision!$AD:$AD,"o",Navision!$AE:$AE,4)</f>
        <v>0</v>
      </c>
      <c r="Q12" s="46" t="e">
        <f t="shared" si="3"/>
        <v>#DIV/0!</v>
      </c>
      <c r="R12" s="35">
        <f>(COUNTIFS('OP envoyée'!$F:$F,"RM",'OP envoyée'!$AE:$AE,5))</f>
        <v>0</v>
      </c>
      <c r="S12" s="36" t="s">
        <v>1029</v>
      </c>
      <c r="T12" s="35">
        <f>COUNTIFS(Navision!$F:$F,"RM",Navision!$AD:$AD,"o",Navision!$AE:$AE,5)</f>
        <v>0</v>
      </c>
      <c r="U12" s="46" t="e">
        <f t="shared" si="4"/>
        <v>#DIV/0!</v>
      </c>
      <c r="V12" s="35">
        <f>(COUNTIFS('OP envoyée'!$F:$F,"RM",'OP envoyée'!$AE:$AE,6))</f>
        <v>0</v>
      </c>
      <c r="W12" s="36" t="s">
        <v>1029</v>
      </c>
      <c r="X12" s="35">
        <f>COUNTIFS(Navision!$F:$F,"RM",Navision!$AD:$AD,"o",Navision!$AE:$AE,6)</f>
        <v>0</v>
      </c>
      <c r="Y12" s="46" t="e">
        <f t="shared" si="5"/>
        <v>#DIV/0!</v>
      </c>
      <c r="Z12" s="35">
        <f>(COUNTIFS('OP envoyée'!$F:$F,"RM",'OP envoyée'!$AE:$AE,7))</f>
        <v>0</v>
      </c>
      <c r="AA12" s="36" t="s">
        <v>1029</v>
      </c>
      <c r="AB12" s="35">
        <f>COUNTIFS(Navision!$F:$F,"RM",Navision!$AD:$AD,"o",Navision!$AE:$AE,7)</f>
        <v>0</v>
      </c>
      <c r="AC12" s="46" t="e">
        <f t="shared" si="6"/>
        <v>#DIV/0!</v>
      </c>
      <c r="AD12" s="35">
        <f>(COUNTIFS('OP envoyée'!$F:$F,"RM",'OP envoyée'!$AE:$AE,8))</f>
        <v>0</v>
      </c>
      <c r="AE12" s="36" t="s">
        <v>1029</v>
      </c>
      <c r="AF12" s="35">
        <f>COUNTIFS(Navision!$F:$F,"RM",Navision!$AD:$AD,"o",Navision!$AE:$AE,8)</f>
        <v>0</v>
      </c>
      <c r="AG12" s="51" t="e">
        <f t="shared" si="7"/>
        <v>#DIV/0!</v>
      </c>
      <c r="AH12" s="35">
        <f>(COUNTIFS('OP envoyée'!$F:$F,"RM",'OP envoyée'!$AE:$AE,9))</f>
        <v>0</v>
      </c>
      <c r="AI12" s="36" t="s">
        <v>1029</v>
      </c>
      <c r="AJ12" s="35">
        <f>COUNTIFS(Navision!$F:$F,"RM",Navision!$AD:$AD,"o",Navision!$AE:$AE,9)</f>
        <v>0</v>
      </c>
      <c r="AK12" s="51" t="e">
        <f t="shared" si="8"/>
        <v>#DIV/0!</v>
      </c>
      <c r="AL12" s="35">
        <f>(COUNTIFS('OP envoyée'!$F:$F,"RM",'OP envoyée'!$AE:$AE,10))</f>
        <v>0</v>
      </c>
      <c r="AM12" s="36" t="s">
        <v>1029</v>
      </c>
      <c r="AN12" s="35">
        <f>COUNTIFS(Navision!$F:$F,"RM",Navision!$AD:$AD,"o",Navision!$AE:$AE,10)</f>
        <v>0</v>
      </c>
      <c r="AO12" s="46" t="e">
        <f t="shared" si="9"/>
        <v>#DIV/0!</v>
      </c>
      <c r="AP12" s="35">
        <f>(COUNTIFS('OP envoyée'!$F:$F,"RM",'OP envoyée'!$AE:$AE,11))</f>
        <v>0</v>
      </c>
      <c r="AQ12" s="36" t="s">
        <v>1029</v>
      </c>
      <c r="AR12" s="35">
        <f>COUNTIFS(Navision!$F:$F,"RM",Navision!$AD:$AD,"o",Navision!$AE:$AE,11)</f>
        <v>0</v>
      </c>
      <c r="AS12" s="46" t="e">
        <f t="shared" si="10"/>
        <v>#DIV/0!</v>
      </c>
      <c r="AT12" s="35">
        <f>(COUNTIFS('OP envoyée'!$F:$F,"RM",'OP envoyée'!$AE:$AE,12))</f>
        <v>0</v>
      </c>
      <c r="AU12" s="36" t="s">
        <v>1029</v>
      </c>
      <c r="AV12" s="35">
        <f>COUNTIFS(Navision!$F:$F,"RM",Navision!$AD:$AD,"o",Navision!$AE:$AE,12)</f>
        <v>0</v>
      </c>
      <c r="AW12" s="46" t="e">
        <f t="shared" si="11"/>
        <v>#DIV/0!</v>
      </c>
      <c r="AX12" s="48"/>
      <c r="AY12" s="35">
        <f>(COUNTIFS('OP envoyée'!$F:$F,"RM",'OP envoyée'!$AE:$AE,12))</f>
        <v>0</v>
      </c>
      <c r="AZ12" s="43" t="s">
        <v>1029</v>
      </c>
      <c r="BA12" s="35">
        <f>COUNTIFS(Navision!$F:$F,"RM",Navision!$AD:$AD,"o")</f>
        <v>5</v>
      </c>
      <c r="BB12" s="46">
        <f t="shared" si="12"/>
        <v>0</v>
      </c>
    </row>
    <row r="13" spans="1:54" ht="16.5" x14ac:dyDescent="0.25">
      <c r="A13" s="28" t="s">
        <v>364</v>
      </c>
      <c r="B13" s="35">
        <f>(COUNTIFS('OP envoyée'!$F:$F,"RT",'OP envoyée'!$AE:$AE,1))</f>
        <v>0</v>
      </c>
      <c r="C13" s="36" t="s">
        <v>1029</v>
      </c>
      <c r="D13" s="35">
        <f>COUNTIFS(Navision!$F:$F,"RT",Navision!$AD:$AD,"o",Navision!$AE:$AE,1)</f>
        <v>0</v>
      </c>
      <c r="E13" s="46" t="e">
        <f t="shared" si="0"/>
        <v>#DIV/0!</v>
      </c>
      <c r="F13" s="35">
        <f>(COUNTIFS('OP envoyée'!$F:$F,"RT",'OP envoyée'!$AE:$AE,2))</f>
        <v>2</v>
      </c>
      <c r="G13" s="36" t="s">
        <v>1029</v>
      </c>
      <c r="H13" s="35">
        <f>COUNTIFS(Navision!$F:$F,"RT",Navision!$AD:$AD,"o",Navision!$AE:$AE,2)</f>
        <v>3</v>
      </c>
      <c r="I13" s="46">
        <f t="shared" si="1"/>
        <v>0.66666666666666663</v>
      </c>
      <c r="J13" s="35">
        <f>(COUNTIFS('OP envoyée'!$F:$F,"RT",'OP envoyée'!$AE:$AE,3))</f>
        <v>4</v>
      </c>
      <c r="K13" s="36" t="s">
        <v>1029</v>
      </c>
      <c r="L13" s="35">
        <f>COUNTIFS(Navision!$F:$F,"RT",Navision!$AD:$AD,"o",Navision!$AE:$AE,3)</f>
        <v>17</v>
      </c>
      <c r="M13" s="46">
        <f t="shared" si="2"/>
        <v>0.23529411764705882</v>
      </c>
      <c r="N13" s="35">
        <f>(COUNTIFS('OP envoyée'!$F:$F,"RT",'OP envoyée'!$AE:$AE,4))</f>
        <v>0</v>
      </c>
      <c r="O13" s="36" t="s">
        <v>1029</v>
      </c>
      <c r="P13" s="35">
        <f>COUNTIFS(Navision!$F:$F,"RT",Navision!$AD:$AD,"o",Navision!$AE:$AE,4)</f>
        <v>0</v>
      </c>
      <c r="Q13" s="46" t="e">
        <f t="shared" si="3"/>
        <v>#DIV/0!</v>
      </c>
      <c r="R13" s="35">
        <f>(COUNTIFS('OP envoyée'!$F:$F,"RT",'OP envoyée'!$AE:$AE,5))</f>
        <v>0</v>
      </c>
      <c r="S13" s="36" t="s">
        <v>1029</v>
      </c>
      <c r="T13" s="35">
        <f>COUNTIFS(Navision!$F:$F,"RT",Navision!$AD:$AD,"o",Navision!$AE:$AE,5)</f>
        <v>0</v>
      </c>
      <c r="U13" s="46" t="e">
        <f t="shared" si="4"/>
        <v>#DIV/0!</v>
      </c>
      <c r="V13" s="35">
        <f>(COUNTIFS('OP envoyée'!$F:$F,"RT",'OP envoyée'!$AE:$AE,6))</f>
        <v>0</v>
      </c>
      <c r="W13" s="36" t="s">
        <v>1029</v>
      </c>
      <c r="X13" s="35">
        <f>COUNTIFS(Navision!$F:$F,"RT",Navision!$AD:$AD,"o",Navision!$AE:$AE,6)</f>
        <v>0</v>
      </c>
      <c r="Y13" s="46" t="e">
        <f t="shared" si="5"/>
        <v>#DIV/0!</v>
      </c>
      <c r="Z13" s="35">
        <f>(COUNTIFS('OP envoyée'!$F:$F,"RT",'OP envoyée'!$AE:$AE,7))</f>
        <v>0</v>
      </c>
      <c r="AA13" s="36" t="s">
        <v>1029</v>
      </c>
      <c r="AB13" s="35">
        <f>COUNTIFS(Navision!$F:$F,"RT",Navision!$AD:$AD,"o",Navision!$AE:$AE,7)</f>
        <v>0</v>
      </c>
      <c r="AC13" s="46" t="e">
        <f t="shared" si="6"/>
        <v>#DIV/0!</v>
      </c>
      <c r="AD13" s="35">
        <f>(COUNTIFS('OP envoyée'!$F:$F,"RT",'OP envoyée'!$AE:$AE,8))</f>
        <v>0</v>
      </c>
      <c r="AE13" s="36" t="s">
        <v>1029</v>
      </c>
      <c r="AF13" s="35">
        <f>COUNTIFS(Navision!$F:$F,"RT",Navision!$AD:$AD,"o",Navision!$AE:$AE,8)</f>
        <v>0</v>
      </c>
      <c r="AG13" s="51" t="e">
        <f t="shared" si="7"/>
        <v>#DIV/0!</v>
      </c>
      <c r="AH13" s="35">
        <f>(COUNTIFS('OP envoyée'!$F:$F,"RT",'OP envoyée'!$AE:$AE,9))</f>
        <v>0</v>
      </c>
      <c r="AI13" s="36" t="s">
        <v>1029</v>
      </c>
      <c r="AJ13" s="35">
        <f>COUNTIFS(Navision!$F:$F,"RT",Navision!$AD:$AD,"o",Navision!$AE:$AE,9)</f>
        <v>0</v>
      </c>
      <c r="AK13" s="51" t="e">
        <f t="shared" si="8"/>
        <v>#DIV/0!</v>
      </c>
      <c r="AL13" s="35">
        <f>(COUNTIFS('OP envoyée'!$F:$F,"RT",'OP envoyée'!$AE:$AE,10))</f>
        <v>0</v>
      </c>
      <c r="AM13" s="36" t="s">
        <v>1029</v>
      </c>
      <c r="AN13" s="35">
        <f>COUNTIFS(Navision!$F:$F,"RT",Navision!$AD:$AD,"o",Navision!$AE:$AE,10)</f>
        <v>0</v>
      </c>
      <c r="AO13" s="46" t="e">
        <f t="shared" si="9"/>
        <v>#DIV/0!</v>
      </c>
      <c r="AP13" s="35">
        <f>(COUNTIFS('OP envoyée'!$F:$F,"RT",'OP envoyée'!$AE:$AE,11))</f>
        <v>0</v>
      </c>
      <c r="AQ13" s="36" t="s">
        <v>1029</v>
      </c>
      <c r="AR13" s="35">
        <f>COUNTIFS(Navision!$F:$F,"RT",Navision!$AD:$AD,"o",Navision!$AE:$AE,11)</f>
        <v>0</v>
      </c>
      <c r="AS13" s="46" t="e">
        <f t="shared" si="10"/>
        <v>#DIV/0!</v>
      </c>
      <c r="AT13" s="35">
        <f>(COUNTIFS('OP envoyée'!$F:$F,"RT",'OP envoyée'!$AE:$AE,12))</f>
        <v>0</v>
      </c>
      <c r="AU13" s="36" t="s">
        <v>1029</v>
      </c>
      <c r="AV13" s="35">
        <f>COUNTIFS(Navision!$F:$F,"RT",Navision!$AD:$AD,"o",Navision!$AE:$AE,12)</f>
        <v>0</v>
      </c>
      <c r="AW13" s="46" t="e">
        <f t="shared" si="11"/>
        <v>#DIV/0!</v>
      </c>
      <c r="AX13" s="22"/>
      <c r="AY13" s="35">
        <f>(COUNTIFS('OP envoyée'!$F:$F,"RT"))</f>
        <v>6</v>
      </c>
      <c r="AZ13" s="43" t="s">
        <v>1029</v>
      </c>
      <c r="BA13" s="35">
        <f>COUNTIFS(Navision!$F:$F,"RT",Navision!$AD:$AD,"o")</f>
        <v>20</v>
      </c>
      <c r="BB13" s="46">
        <f t="shared" si="12"/>
        <v>0.3</v>
      </c>
    </row>
    <row r="14" spans="1:54" ht="16.5" x14ac:dyDescent="0.25">
      <c r="A14" s="28" t="s">
        <v>38</v>
      </c>
      <c r="B14" s="35">
        <f>(COUNTIFS('OP envoyée'!$F:$F,"RV",'OP envoyée'!$AE:$AE,1))</f>
        <v>14</v>
      </c>
      <c r="C14" s="36" t="s">
        <v>1029</v>
      </c>
      <c r="D14" s="35">
        <f>COUNTIFS(Navision!$F:$F,"RV",Navision!$AD:$AD,"o",Navision!$AE:$AE,1)</f>
        <v>14</v>
      </c>
      <c r="E14" s="46">
        <f t="shared" si="0"/>
        <v>1</v>
      </c>
      <c r="F14" s="35">
        <f>(COUNTIFS('OP envoyée'!$F:$F,"RV",'OP envoyée'!$AE:$AE,2))</f>
        <v>13</v>
      </c>
      <c r="G14" s="36" t="s">
        <v>1029</v>
      </c>
      <c r="H14" s="35">
        <f>COUNTIFS(Navision!$F:$F,"RV",Navision!$AD:$AD,"o",Navision!$AE:$AE,2)</f>
        <v>11</v>
      </c>
      <c r="I14" s="46">
        <f t="shared" si="1"/>
        <v>1.1818181818181819</v>
      </c>
      <c r="J14" s="35">
        <f>(COUNTIFS('OP envoyée'!$F:$F,"RV",'OP envoyée'!$AE:$AE,3))</f>
        <v>14</v>
      </c>
      <c r="K14" s="36" t="s">
        <v>1029</v>
      </c>
      <c r="L14" s="35">
        <f>COUNTIFS(Navision!$F:$F,"RV",Navision!$AD:$AD,"o",Navision!$AE:$AE,3)</f>
        <v>16</v>
      </c>
      <c r="M14" s="46">
        <f t="shared" si="2"/>
        <v>0.875</v>
      </c>
      <c r="N14" s="35">
        <f>(COUNTIFS('OP envoyée'!$F:$F,"RV",'OP envoyée'!$AE:$AE,4))</f>
        <v>8</v>
      </c>
      <c r="O14" s="36" t="s">
        <v>1029</v>
      </c>
      <c r="P14" s="35">
        <f>COUNTIFS(Navision!$F:$F,"RV",Navision!$AD:$AD,"o",Navision!$AE:$AE,4)</f>
        <v>8</v>
      </c>
      <c r="Q14" s="46">
        <f t="shared" si="3"/>
        <v>1</v>
      </c>
      <c r="R14" s="35">
        <f>(COUNTIFS('OP envoyée'!$F:$F,"RV",'OP envoyée'!$AE:$AE,5))</f>
        <v>0</v>
      </c>
      <c r="S14" s="36" t="s">
        <v>1029</v>
      </c>
      <c r="T14" s="35">
        <f>COUNTIFS(Navision!$F:$F,"RV",Navision!$AD:$AD,"o",Navision!$AE:$AE,5)</f>
        <v>0</v>
      </c>
      <c r="U14" s="46" t="e">
        <f t="shared" si="4"/>
        <v>#DIV/0!</v>
      </c>
      <c r="V14" s="35">
        <f>(COUNTIFS('OP envoyée'!$F:$F,"RV",'OP envoyée'!$AE:$AE,6))</f>
        <v>0</v>
      </c>
      <c r="W14" s="36" t="s">
        <v>1029</v>
      </c>
      <c r="X14" s="35">
        <f>COUNTIFS(Navision!$F:$F,"RV",Navision!$AD:$AD,"o",Navision!$AE:$AE,6)</f>
        <v>0</v>
      </c>
      <c r="Y14" s="46" t="e">
        <f t="shared" si="5"/>
        <v>#DIV/0!</v>
      </c>
      <c r="Z14" s="35">
        <f>(COUNTIFS('OP envoyée'!$F:$F,"RV",'OP envoyée'!$AE:$AE,7))</f>
        <v>0</v>
      </c>
      <c r="AA14" s="36" t="s">
        <v>1029</v>
      </c>
      <c r="AB14" s="35">
        <f>COUNTIFS(Navision!$F:$F,"RV",Navision!$AD:$AD,"o",Navision!$AE:$AE,7)</f>
        <v>0</v>
      </c>
      <c r="AC14" s="46" t="e">
        <f t="shared" si="6"/>
        <v>#DIV/0!</v>
      </c>
      <c r="AD14" s="35">
        <f>(COUNTIFS('OP envoyée'!$F:$F,"RV",'OP envoyée'!$AE:$AE,8))</f>
        <v>0</v>
      </c>
      <c r="AE14" s="36" t="s">
        <v>1029</v>
      </c>
      <c r="AF14" s="35">
        <f>COUNTIFS(Navision!$F:$F,"RV",Navision!$AD:$AD,"o",Navision!$AE:$AE,8)</f>
        <v>0</v>
      </c>
      <c r="AG14" s="51" t="e">
        <f t="shared" si="7"/>
        <v>#DIV/0!</v>
      </c>
      <c r="AH14" s="35">
        <f>(COUNTIFS('OP envoyée'!$F:$F,"RV",'OP envoyée'!$AE:$AE,9))</f>
        <v>0</v>
      </c>
      <c r="AI14" s="36" t="s">
        <v>1029</v>
      </c>
      <c r="AJ14" s="35">
        <f>COUNTIFS(Navision!$F:$F,"RV",Navision!$AD:$AD,"o",Navision!$AE:$AE,9)</f>
        <v>0</v>
      </c>
      <c r="AK14" s="51" t="e">
        <f t="shared" si="8"/>
        <v>#DIV/0!</v>
      </c>
      <c r="AL14" s="35">
        <f>(COUNTIFS('OP envoyée'!$F:$F,"RV",'OP envoyée'!$AE:$AE,10))</f>
        <v>0</v>
      </c>
      <c r="AM14" s="36" t="s">
        <v>1029</v>
      </c>
      <c r="AN14" s="35">
        <f>COUNTIFS(Navision!$F:$F,"RV",Navision!$AD:$AD,"o",Navision!$AE:$AE,10)</f>
        <v>0</v>
      </c>
      <c r="AO14" s="46" t="e">
        <f t="shared" si="9"/>
        <v>#DIV/0!</v>
      </c>
      <c r="AP14" s="35">
        <f>(COUNTIFS('OP envoyée'!$F:$F,"RV",'OP envoyée'!$AE:$AE,11))</f>
        <v>0</v>
      </c>
      <c r="AQ14" s="36" t="s">
        <v>1029</v>
      </c>
      <c r="AR14" s="35">
        <f>COUNTIFS(Navision!$F:$F,"RV",Navision!$AD:$AD,"o",Navision!$AE:$AE,11)</f>
        <v>0</v>
      </c>
      <c r="AS14" s="46" t="e">
        <f t="shared" si="10"/>
        <v>#DIV/0!</v>
      </c>
      <c r="AT14" s="35">
        <f>(COUNTIFS('OP envoyée'!$F:$F,"RV",'OP envoyée'!$AE:$AE,12))</f>
        <v>0</v>
      </c>
      <c r="AU14" s="36" t="s">
        <v>1029</v>
      </c>
      <c r="AV14" s="35">
        <f>COUNTIFS(Navision!$F:$F,"RV",Navision!$AD:$AD,"o",Navision!$AE:$AE,12)</f>
        <v>0</v>
      </c>
      <c r="AW14" s="46" t="e">
        <f t="shared" si="11"/>
        <v>#DIV/0!</v>
      </c>
      <c r="AX14" s="22"/>
      <c r="AY14" s="35">
        <f>(COUNTIFS('OP envoyée'!$F:$F,"RV"))</f>
        <v>49</v>
      </c>
      <c r="AZ14" s="43" t="s">
        <v>1029</v>
      </c>
      <c r="BA14" s="35">
        <f>COUNTIFS(Navision!$F:$F,"RV",Navision!$AD:$AD,"o")</f>
        <v>49</v>
      </c>
      <c r="BB14" s="46">
        <f t="shared" si="12"/>
        <v>1</v>
      </c>
    </row>
    <row r="15" spans="1:54" ht="16.5" x14ac:dyDescent="0.25">
      <c r="A15" s="28" t="s">
        <v>59</v>
      </c>
      <c r="B15" s="35">
        <f>(COUNTIFS('OP envoyée'!$F:$F,"STB",'OP envoyée'!$AE:$AE,1))</f>
        <v>4</v>
      </c>
      <c r="C15" s="36" t="s">
        <v>1029</v>
      </c>
      <c r="D15" s="35">
        <f>COUNTIFS(Navision!$F:$F,"STB",Navision!$AD:$AD,"o",Navision!$AE:$AE,1)</f>
        <v>11</v>
      </c>
      <c r="E15" s="46">
        <f t="shared" si="0"/>
        <v>0.36363636363636365</v>
      </c>
      <c r="F15" s="35">
        <f>(COUNTIFS('OP envoyée'!$F:$F,"STB",'OP envoyée'!$AE:$AE,2))</f>
        <v>12</v>
      </c>
      <c r="G15" s="36" t="s">
        <v>1029</v>
      </c>
      <c r="H15" s="35">
        <f>COUNTIFS(Navision!$F:$F,"STB",Navision!$AD:$AD,"o",Navision!$AE:$AE,2)</f>
        <v>11</v>
      </c>
      <c r="I15" s="46">
        <f t="shared" si="1"/>
        <v>1.0909090909090908</v>
      </c>
      <c r="J15" s="35">
        <f>(COUNTIFS('OP envoyée'!$F:$F,"STB",'OP envoyée'!$AE:$AE,3))</f>
        <v>7</v>
      </c>
      <c r="K15" s="36" t="s">
        <v>1029</v>
      </c>
      <c r="L15" s="35">
        <f>COUNTIFS(Navision!$F:$F,"STB",Navision!$AD:$AD,"o",Navision!$AE:$AE,3)</f>
        <v>8</v>
      </c>
      <c r="M15" s="46">
        <f t="shared" si="2"/>
        <v>0.875</v>
      </c>
      <c r="N15" s="35">
        <f>(COUNTIFS('OP envoyée'!$F:$F,"STB",'OP envoyée'!$AE:$AE,4))</f>
        <v>10</v>
      </c>
      <c r="O15" s="36" t="s">
        <v>1029</v>
      </c>
      <c r="P15" s="35">
        <f>COUNTIFS(Navision!$F:$F,"STB",Navision!$AD:$AD,"o",Navision!$AE:$AE,4)</f>
        <v>20</v>
      </c>
      <c r="Q15" s="46">
        <f t="shared" si="3"/>
        <v>0.5</v>
      </c>
      <c r="R15" s="35">
        <f>(COUNTIFS('OP envoyée'!$F:$F,"STB",'OP envoyée'!$AE:$AE,5))</f>
        <v>0</v>
      </c>
      <c r="S15" s="36" t="s">
        <v>1029</v>
      </c>
      <c r="T15" s="35">
        <f>COUNTIFS(Navision!$F:$F,"STB",Navision!$AD:$AD,"o",Navision!$AE:$AE,5)</f>
        <v>0</v>
      </c>
      <c r="U15" s="46" t="e">
        <f t="shared" si="4"/>
        <v>#DIV/0!</v>
      </c>
      <c r="V15" s="35">
        <f>(COUNTIFS('OP envoyée'!$F:$F,"STB",'OP envoyée'!$AE:$AE,6))</f>
        <v>0</v>
      </c>
      <c r="W15" s="36" t="s">
        <v>1029</v>
      </c>
      <c r="X15" s="35">
        <f>COUNTIFS(Navision!$F:$F,"STB",Navision!$AD:$AD,"o",Navision!$AE:$AE,6)</f>
        <v>0</v>
      </c>
      <c r="Y15" s="46" t="e">
        <f t="shared" si="5"/>
        <v>#DIV/0!</v>
      </c>
      <c r="Z15" s="35">
        <f>(COUNTIFS('OP envoyée'!$F:$F,"STB",'OP envoyée'!$AE:$AE,7))</f>
        <v>0</v>
      </c>
      <c r="AA15" s="36" t="s">
        <v>1029</v>
      </c>
      <c r="AB15" s="35">
        <f>COUNTIFS(Navision!$F:$F,"STB",Navision!$AD:$AD,"o",Navision!$AE:$AE,7)</f>
        <v>0</v>
      </c>
      <c r="AC15" s="46" t="e">
        <f t="shared" si="6"/>
        <v>#DIV/0!</v>
      </c>
      <c r="AD15" s="35">
        <f>(COUNTIFS('OP envoyée'!$F:$F,"STB",'OP envoyée'!$AE:$AE,8))</f>
        <v>0</v>
      </c>
      <c r="AE15" s="36" t="s">
        <v>1029</v>
      </c>
      <c r="AF15" s="35">
        <f>COUNTIFS(Navision!$F:$F,"STB",Navision!$AD:$AD,"o",Navision!$AE:$AE,8)</f>
        <v>0</v>
      </c>
      <c r="AG15" s="51" t="e">
        <f t="shared" si="7"/>
        <v>#DIV/0!</v>
      </c>
      <c r="AH15" s="35">
        <f>(COUNTIFS('OP envoyée'!$F:$F,"STB",'OP envoyée'!$AE:$AE,9))</f>
        <v>0</v>
      </c>
      <c r="AI15" s="36" t="s">
        <v>1029</v>
      </c>
      <c r="AJ15" s="35">
        <f>COUNTIFS(Navision!$F:$F,"STB",Navision!$AD:$AD,"o",Navision!$AE:$AE,9)</f>
        <v>0</v>
      </c>
      <c r="AK15" s="51" t="e">
        <f t="shared" si="8"/>
        <v>#DIV/0!</v>
      </c>
      <c r="AL15" s="35">
        <f>(COUNTIFS('OP envoyée'!$F:$F,"STB",'OP envoyée'!$AE:$AE,10))</f>
        <v>0</v>
      </c>
      <c r="AM15" s="36" t="s">
        <v>1029</v>
      </c>
      <c r="AN15" s="35">
        <f>COUNTIFS(Navision!$F:$F,"STB",Navision!$AD:$AD,"o",Navision!$AE:$AE,10)</f>
        <v>0</v>
      </c>
      <c r="AO15" s="46" t="e">
        <f t="shared" si="9"/>
        <v>#DIV/0!</v>
      </c>
      <c r="AP15" s="35">
        <f>(COUNTIFS('OP envoyée'!$F:$F,"STB",'OP envoyée'!$AE:$AE,11))</f>
        <v>0</v>
      </c>
      <c r="AQ15" s="36" t="s">
        <v>1029</v>
      </c>
      <c r="AR15" s="35">
        <f>COUNTIFS(Navision!$F:$F,"STB",Navision!$AD:$AD,"o",Navision!$AE:$AE,11)</f>
        <v>0</v>
      </c>
      <c r="AS15" s="46" t="e">
        <f t="shared" si="10"/>
        <v>#DIV/0!</v>
      </c>
      <c r="AT15" s="35">
        <f>(COUNTIFS('OP envoyée'!$F:$F,"STB",'OP envoyée'!$AE:$AE,12))</f>
        <v>0</v>
      </c>
      <c r="AU15" s="36" t="s">
        <v>1029</v>
      </c>
      <c r="AV15" s="35">
        <f>COUNTIFS(Navision!$F:$F,"STB",Navision!$AD:$AD,"o",Navision!$AE:$AE,12)</f>
        <v>0</v>
      </c>
      <c r="AW15" s="46" t="e">
        <f t="shared" si="11"/>
        <v>#DIV/0!</v>
      </c>
      <c r="AX15" s="22"/>
      <c r="AY15" s="35">
        <f>(COUNTIFS('OP envoyée'!$F:$F,"STB"))</f>
        <v>33</v>
      </c>
      <c r="AZ15" s="43" t="s">
        <v>1029</v>
      </c>
      <c r="BA15" s="35">
        <f>COUNTIFS(Navision!$F:$F,"STB",Navision!$AD:$AD,"o")</f>
        <v>50</v>
      </c>
      <c r="BB15" s="46">
        <f t="shared" si="12"/>
        <v>0.66</v>
      </c>
    </row>
    <row r="16" spans="1:54" ht="16.5" x14ac:dyDescent="0.25">
      <c r="A16" s="28" t="s">
        <v>87</v>
      </c>
      <c r="B16" s="35">
        <f>(COUNTIFS('OP envoyée'!$F:$F,"VDP",'OP envoyée'!$AE:$AE,1))</f>
        <v>1</v>
      </c>
      <c r="C16" s="36" t="s">
        <v>1029</v>
      </c>
      <c r="D16" s="35">
        <f>COUNTIFS(Navision!$F:$F,"VDP",Navision!$AD:$AD,"o",Navision!$AE:$AE,1)</f>
        <v>12</v>
      </c>
      <c r="E16" s="46">
        <f t="shared" si="0"/>
        <v>8.3333333333333329E-2</v>
      </c>
      <c r="F16" s="35">
        <f>(COUNTIFS('OP envoyée'!$F:$F,"VDP",'OP envoyée'!$AE:$AE,2))</f>
        <v>2</v>
      </c>
      <c r="G16" s="36" t="s">
        <v>1029</v>
      </c>
      <c r="H16" s="35">
        <f>COUNTIFS(Navision!$F:$F,"VDP",Navision!$AD:$AD,"o",Navision!$AE:$AE,2)</f>
        <v>7</v>
      </c>
      <c r="I16" s="46">
        <f t="shared" si="1"/>
        <v>0.2857142857142857</v>
      </c>
      <c r="J16" s="35">
        <f>(COUNTIFS('OP envoyée'!$F:$F,"VDP",'OP envoyée'!$AE:$AE,3))</f>
        <v>4</v>
      </c>
      <c r="K16" s="36" t="s">
        <v>1029</v>
      </c>
      <c r="L16" s="35">
        <f>COUNTIFS(Navision!$F:$F,"VDP",Navision!$AD:$AD,"o",Navision!$AE:$AE,3)</f>
        <v>4</v>
      </c>
      <c r="M16" s="46">
        <f t="shared" si="2"/>
        <v>1</v>
      </c>
      <c r="N16" s="35">
        <f>(COUNTIFS('OP envoyée'!$F:$F,"VDP",'OP envoyée'!$AE:$AE,4))</f>
        <v>3</v>
      </c>
      <c r="O16" s="36" t="s">
        <v>1029</v>
      </c>
      <c r="P16" s="35">
        <f>COUNTIFS(Navision!$F:$F,"VDP",Navision!$AD:$AD,"o",Navision!$AE:$AE,4)</f>
        <v>4</v>
      </c>
      <c r="Q16" s="46">
        <f t="shared" si="3"/>
        <v>0.75</v>
      </c>
      <c r="R16" s="35">
        <f>(COUNTIFS('OP envoyée'!$F:$F,"VDP",'OP envoyée'!$AE:$AE,5))</f>
        <v>0</v>
      </c>
      <c r="S16" s="36" t="s">
        <v>1029</v>
      </c>
      <c r="T16" s="35">
        <f>COUNTIFS(Navision!$F:$F,"VDP",Navision!$AD:$AD,"o",Navision!$AE:$AE,5)</f>
        <v>0</v>
      </c>
      <c r="U16" s="46" t="e">
        <f t="shared" si="4"/>
        <v>#DIV/0!</v>
      </c>
      <c r="V16" s="35">
        <f>(COUNTIFS('OP envoyée'!$F:$F,"VDP",'OP envoyée'!$AE:$AE,6))</f>
        <v>0</v>
      </c>
      <c r="W16" s="36" t="s">
        <v>1029</v>
      </c>
      <c r="X16" s="35">
        <f>COUNTIFS(Navision!$F:$F,"VDP",Navision!$AD:$AD,"o",Navision!$AE:$AE,6)</f>
        <v>0</v>
      </c>
      <c r="Y16" s="46" t="e">
        <f t="shared" si="5"/>
        <v>#DIV/0!</v>
      </c>
      <c r="Z16" s="35">
        <f>(COUNTIFS('OP envoyée'!$F:$F,"VDP",'OP envoyée'!$AE:$AE,7))</f>
        <v>0</v>
      </c>
      <c r="AA16" s="36" t="s">
        <v>1029</v>
      </c>
      <c r="AB16" s="35">
        <f>COUNTIFS(Navision!$F:$F,"VDP",Navision!$AD:$AD,"o",Navision!$AE:$AE,7)</f>
        <v>0</v>
      </c>
      <c r="AC16" s="46" t="e">
        <f t="shared" si="6"/>
        <v>#DIV/0!</v>
      </c>
      <c r="AD16" s="35">
        <f>(COUNTIFS('OP envoyée'!$F:$F,"VDP",'OP envoyée'!$AE:$AE,8))</f>
        <v>0</v>
      </c>
      <c r="AE16" s="36" t="s">
        <v>1029</v>
      </c>
      <c r="AF16" s="35">
        <f>COUNTIFS(Navision!$F:$F,"VDP",Navision!$AD:$AD,"o",Navision!$AE:$AE,8)</f>
        <v>0</v>
      </c>
      <c r="AG16" s="51" t="e">
        <f t="shared" si="7"/>
        <v>#DIV/0!</v>
      </c>
      <c r="AH16" s="35">
        <f>(COUNTIFS('OP envoyée'!$F:$F,"VDP",'OP envoyée'!$AE:$AE,9))</f>
        <v>0</v>
      </c>
      <c r="AI16" s="36" t="s">
        <v>1029</v>
      </c>
      <c r="AJ16" s="35">
        <f>COUNTIFS(Navision!$F:$F,"VDP",Navision!$AD:$AD,"o",Navision!$AE:$AE,9)</f>
        <v>0</v>
      </c>
      <c r="AK16" s="51" t="e">
        <f t="shared" si="8"/>
        <v>#DIV/0!</v>
      </c>
      <c r="AL16" s="35">
        <f>(COUNTIFS('OP envoyée'!$F:$F,"VDP",'OP envoyée'!$AE:$AE,10))</f>
        <v>0</v>
      </c>
      <c r="AM16" s="36" t="s">
        <v>1029</v>
      </c>
      <c r="AN16" s="35">
        <f>COUNTIFS(Navision!$F:$F,"VDP",Navision!$AD:$AD,"o",Navision!$AE:$AE,10)</f>
        <v>0</v>
      </c>
      <c r="AO16" s="46" t="e">
        <f t="shared" si="9"/>
        <v>#DIV/0!</v>
      </c>
      <c r="AP16" s="35">
        <f>(COUNTIFS('OP envoyée'!$F:$F,"VDP",'OP envoyée'!$AE:$AE,11))</f>
        <v>0</v>
      </c>
      <c r="AQ16" s="36" t="s">
        <v>1029</v>
      </c>
      <c r="AR16" s="35">
        <f>COUNTIFS(Navision!$F:$F,"VDP",Navision!$AD:$AD,"o",Navision!$AE:$AE,11)</f>
        <v>0</v>
      </c>
      <c r="AS16" s="46" t="e">
        <f t="shared" si="10"/>
        <v>#DIV/0!</v>
      </c>
      <c r="AT16" s="35">
        <f>(COUNTIFS('OP envoyée'!$F:$F,"VDP",'OP envoyée'!$AE:$AE,12))</f>
        <v>0</v>
      </c>
      <c r="AU16" s="36" t="s">
        <v>1029</v>
      </c>
      <c r="AV16" s="35">
        <f>COUNTIFS(Navision!$F:$F,"VDP",Navision!$AD:$AD,"o",Navision!$AE:$AE,12)</f>
        <v>0</v>
      </c>
      <c r="AW16" s="46" t="e">
        <f t="shared" si="11"/>
        <v>#DIV/0!</v>
      </c>
      <c r="AX16" s="22"/>
      <c r="AY16" s="35">
        <f>(COUNTIFS('OP envoyée'!$F:$F,"VDP"))</f>
        <v>10</v>
      </c>
      <c r="AZ16" s="43" t="s">
        <v>1029</v>
      </c>
      <c r="BA16" s="35">
        <f>COUNTIFS(Navision!$F:$F,"VDP",Navision!$AD:$AD,"o")</f>
        <v>27</v>
      </c>
      <c r="BB16" s="46">
        <f t="shared" si="12"/>
        <v>0.37037037037037035</v>
      </c>
    </row>
    <row r="17" spans="1:54" ht="16.5" x14ac:dyDescent="0.25">
      <c r="A17" s="29" t="s">
        <v>1030</v>
      </c>
      <c r="B17" s="35">
        <f>(COUNTIFS('OP envoyée'!$F:$F,"YS",'OP envoyée'!$AE:$AE,1))</f>
        <v>0</v>
      </c>
      <c r="C17" s="36" t="s">
        <v>1029</v>
      </c>
      <c r="D17" s="35">
        <f>COUNTIFS(Navision!$F:$F,"YS",Navision!$AD:$AD,"o",Navision!$AE:$AE,1)</f>
        <v>0</v>
      </c>
      <c r="E17" s="46" t="e">
        <f t="shared" si="0"/>
        <v>#DIV/0!</v>
      </c>
      <c r="F17" s="35">
        <f>(COUNTIFS('OP envoyée'!$F:$F,"YS",'OP envoyée'!$AE:$AE,2))</f>
        <v>0</v>
      </c>
      <c r="G17" s="36" t="s">
        <v>1029</v>
      </c>
      <c r="H17" s="35">
        <f>COUNTIFS(Navision!$F:$F,"YS",Navision!$AD:$AD,"o",Navision!$AE:$AE,2)</f>
        <v>0</v>
      </c>
      <c r="I17" s="46" t="e">
        <f t="shared" si="1"/>
        <v>#DIV/0!</v>
      </c>
      <c r="J17" s="35">
        <f>(COUNTIFS('OP envoyée'!$F:$F,"YS",'OP envoyée'!$AE:$AE,3))</f>
        <v>0</v>
      </c>
      <c r="K17" s="36" t="s">
        <v>1029</v>
      </c>
      <c r="L17" s="35">
        <f>COUNTIFS(Navision!$F:$F,"YS",Navision!$AD:$AD,"o",Navision!$AE:$AE,3)</f>
        <v>0</v>
      </c>
      <c r="M17" s="46" t="e">
        <f t="shared" si="2"/>
        <v>#DIV/0!</v>
      </c>
      <c r="N17" s="35">
        <f>(COUNTIFS('OP envoyée'!$F:$F,"YS",'OP envoyée'!$AE:$AE,4))</f>
        <v>0</v>
      </c>
      <c r="O17" s="36" t="s">
        <v>1029</v>
      </c>
      <c r="P17" s="35">
        <f>COUNTIFS(Navision!$F:$F,"YS",Navision!$AD:$AD,"o",Navision!$AE:$AE,4)</f>
        <v>0</v>
      </c>
      <c r="Q17" s="46" t="e">
        <f t="shared" si="3"/>
        <v>#DIV/0!</v>
      </c>
      <c r="R17" s="35">
        <f>(COUNTIFS('OP envoyée'!$F:$F,"YS",'OP envoyée'!$AE:$AE,5))</f>
        <v>0</v>
      </c>
      <c r="S17" s="36" t="s">
        <v>1029</v>
      </c>
      <c r="T17" s="35">
        <f>COUNTIFS(Navision!$F:$F,"YS",Navision!$AD:$AD,"o",Navision!$AE:$AE,5)</f>
        <v>0</v>
      </c>
      <c r="U17" s="46" t="e">
        <f t="shared" si="4"/>
        <v>#DIV/0!</v>
      </c>
      <c r="V17" s="35">
        <f>(COUNTIFS('OP envoyée'!$F:$F,"YS",'OP envoyée'!$AE:$AE,6))</f>
        <v>0</v>
      </c>
      <c r="W17" s="36" t="s">
        <v>1029</v>
      </c>
      <c r="X17" s="35">
        <f>COUNTIFS(Navision!$F:$F,"YS",Navision!$AD:$AD,"o",Navision!$AE:$AE,6)</f>
        <v>0</v>
      </c>
      <c r="Y17" s="46" t="e">
        <f t="shared" si="5"/>
        <v>#DIV/0!</v>
      </c>
      <c r="Z17" s="35">
        <f>(COUNTIFS('OP envoyée'!$F:$F,"YS",'OP envoyée'!$AE:$AE,7))</f>
        <v>0</v>
      </c>
      <c r="AA17" s="36" t="s">
        <v>1029</v>
      </c>
      <c r="AB17" s="35">
        <f>COUNTIFS(Navision!$F:$F,"YS",Navision!$AD:$AD,"o",Navision!$AE:$AE,7)</f>
        <v>0</v>
      </c>
      <c r="AC17" s="46" t="e">
        <f t="shared" si="6"/>
        <v>#DIV/0!</v>
      </c>
      <c r="AD17" s="35">
        <f>(COUNTIFS('OP envoyée'!$F:$F,"YS",'OP envoyée'!$AE:$AE,8))</f>
        <v>0</v>
      </c>
      <c r="AE17" s="36" t="s">
        <v>1029</v>
      </c>
      <c r="AF17" s="35">
        <f>COUNTIFS(Navision!$F:$F,"YS",Navision!$AD:$AD,"o",Navision!$AE:$AE,8)</f>
        <v>0</v>
      </c>
      <c r="AG17" s="51" t="e">
        <f t="shared" si="7"/>
        <v>#DIV/0!</v>
      </c>
      <c r="AH17" s="35">
        <f>(COUNTIFS('OP envoyée'!$F:$F,"YS",'OP envoyée'!$AE:$AE,9))</f>
        <v>0</v>
      </c>
      <c r="AI17" s="36" t="s">
        <v>1029</v>
      </c>
      <c r="AJ17" s="35">
        <f>COUNTIFS(Navision!$F:$F,"YS",Navision!$AD:$AD,"o",Navision!$AE:$AE,9)</f>
        <v>0</v>
      </c>
      <c r="AK17" s="51" t="e">
        <f t="shared" si="8"/>
        <v>#DIV/0!</v>
      </c>
      <c r="AL17" s="35">
        <f>(COUNTIFS('OP envoyée'!$F:$F,"YS",'OP envoyée'!$AE:$AE,10))</f>
        <v>0</v>
      </c>
      <c r="AM17" s="36" t="s">
        <v>1029</v>
      </c>
      <c r="AN17" s="35">
        <f>COUNTIFS(Navision!$F:$F,"YS",Navision!$AD:$AD,"o",Navision!$AE:$AE,10)</f>
        <v>0</v>
      </c>
      <c r="AO17" s="46" t="e">
        <f t="shared" si="9"/>
        <v>#DIV/0!</v>
      </c>
      <c r="AP17" s="35">
        <f>(COUNTIFS('OP envoyée'!$F:$F,"YS",'OP envoyée'!$AE:$AE,11))</f>
        <v>0</v>
      </c>
      <c r="AQ17" s="36" t="s">
        <v>1029</v>
      </c>
      <c r="AR17" s="35">
        <f>COUNTIFS(Navision!$F:$F,"YS",Navision!$AD:$AD,"o",Navision!$AE:$AE,11)</f>
        <v>0</v>
      </c>
      <c r="AS17" s="46" t="e">
        <f t="shared" si="10"/>
        <v>#DIV/0!</v>
      </c>
      <c r="AT17" s="35">
        <f>(COUNTIFS('OP envoyée'!$F:$F,"YS",'OP envoyée'!$AE:$AE,12))</f>
        <v>0</v>
      </c>
      <c r="AU17" s="36" t="s">
        <v>1029</v>
      </c>
      <c r="AV17" s="35">
        <f>COUNTIFS(Navision!$F:$F,"YS",Navision!$AD:$AD,"o",Navision!$AE:$AE,12)</f>
        <v>0</v>
      </c>
      <c r="AW17" s="46" t="e">
        <f t="shared" si="11"/>
        <v>#DIV/0!</v>
      </c>
      <c r="AX17" s="22"/>
      <c r="AY17" s="35">
        <f>(COUNTIFS('OP envoyée'!$F:$F,"YS"))</f>
        <v>0</v>
      </c>
      <c r="AZ17" s="43" t="s">
        <v>1029</v>
      </c>
      <c r="BA17" s="35">
        <f>COUNTIFS(Navision!$F:$F,"YS",Navision!$AD:$AD,"o")</f>
        <v>0</v>
      </c>
      <c r="BB17" s="46" t="e">
        <f t="shared" si="12"/>
        <v>#DIV/0!</v>
      </c>
    </row>
    <row r="18" spans="1:54" ht="16.5" x14ac:dyDescent="0.25">
      <c r="A18" s="24"/>
      <c r="B18" s="31"/>
      <c r="C18" s="25"/>
      <c r="D18" s="25"/>
      <c r="E18" s="21"/>
      <c r="F18" s="32"/>
      <c r="G18" s="25"/>
      <c r="H18" s="32"/>
      <c r="I18" s="46"/>
      <c r="J18" s="32"/>
      <c r="K18" s="25"/>
      <c r="L18" s="32"/>
      <c r="M18" s="46"/>
      <c r="N18" s="32"/>
      <c r="O18" s="25"/>
      <c r="P18" s="32"/>
      <c r="Q18" s="46"/>
      <c r="R18" s="33"/>
      <c r="S18" s="25"/>
      <c r="T18" s="33"/>
      <c r="U18" s="46"/>
      <c r="V18" s="33"/>
      <c r="W18" s="25"/>
      <c r="X18" s="35"/>
      <c r="Y18" s="46"/>
      <c r="Z18" s="33"/>
      <c r="AA18" s="25"/>
      <c r="AB18" s="33"/>
      <c r="AC18" s="46"/>
      <c r="AD18" s="33"/>
      <c r="AE18" s="25"/>
      <c r="AF18" s="33"/>
      <c r="AG18" s="51"/>
      <c r="AH18" s="33"/>
      <c r="AI18" s="25"/>
      <c r="AJ18" s="33"/>
      <c r="AK18" s="51"/>
      <c r="AL18" s="33"/>
      <c r="AM18" s="19"/>
      <c r="AN18" s="33"/>
      <c r="AO18" s="46"/>
      <c r="AP18" s="33"/>
      <c r="AQ18" s="19"/>
      <c r="AR18" s="33"/>
      <c r="AS18" s="46"/>
      <c r="AT18" s="33"/>
      <c r="AU18" s="19"/>
      <c r="AV18" s="33"/>
      <c r="AW18" s="46"/>
      <c r="AX18" s="22"/>
      <c r="AY18" s="33"/>
      <c r="AZ18" s="19"/>
      <c r="BA18" s="33"/>
      <c r="BB18" s="46"/>
    </row>
    <row r="19" spans="1:54" ht="16.5" x14ac:dyDescent="0.25">
      <c r="A19" s="27" t="s">
        <v>1027</v>
      </c>
      <c r="B19" s="37">
        <f>SUM(B3:B18)</f>
        <v>41</v>
      </c>
      <c r="C19" s="39" t="s">
        <v>1029</v>
      </c>
      <c r="D19" s="38">
        <f>SUM(D3:D18)</f>
        <v>88</v>
      </c>
      <c r="E19" s="47">
        <f>B19/D19</f>
        <v>0.46590909090909088</v>
      </c>
      <c r="F19" s="40">
        <f>SUM(F3:F17)</f>
        <v>79</v>
      </c>
      <c r="G19" s="39" t="s">
        <v>1029</v>
      </c>
      <c r="H19" s="45">
        <f>SUM(H3:H18)</f>
        <v>91</v>
      </c>
      <c r="I19" s="47">
        <f t="shared" si="1"/>
        <v>0.86813186813186816</v>
      </c>
      <c r="J19" s="40">
        <f>SUM(J3:J17)</f>
        <v>84</v>
      </c>
      <c r="K19" s="39" t="s">
        <v>1029</v>
      </c>
      <c r="L19" s="45">
        <f>SUM(L3:L18)</f>
        <v>99</v>
      </c>
      <c r="M19" s="47">
        <f>J19/L19</f>
        <v>0.84848484848484851</v>
      </c>
      <c r="N19" s="40">
        <f>SUM(N3:N17)</f>
        <v>46</v>
      </c>
      <c r="O19" s="39" t="s">
        <v>1029</v>
      </c>
      <c r="P19" s="45">
        <f>SUM(P3:P18)</f>
        <v>49</v>
      </c>
      <c r="Q19" s="47">
        <f>N19/P19</f>
        <v>0.93877551020408168</v>
      </c>
      <c r="R19" s="41">
        <f>SUM(R3:R17)</f>
        <v>0</v>
      </c>
      <c r="S19" s="39" t="s">
        <v>1029</v>
      </c>
      <c r="T19" s="42">
        <f>SUM(T3:T18)</f>
        <v>0</v>
      </c>
      <c r="U19" s="47" t="e">
        <f t="shared" si="4"/>
        <v>#DIV/0!</v>
      </c>
      <c r="V19" s="41">
        <f>SUM(V3:V18)</f>
        <v>0</v>
      </c>
      <c r="W19" s="39" t="s">
        <v>1029</v>
      </c>
      <c r="X19" s="42">
        <f>SUM(X3:X18)</f>
        <v>0</v>
      </c>
      <c r="Y19" s="47" t="e">
        <f t="shared" si="5"/>
        <v>#DIV/0!</v>
      </c>
      <c r="Z19" s="41">
        <f>SUM(Z3:Z18)</f>
        <v>0</v>
      </c>
      <c r="AA19" s="39" t="s">
        <v>1029</v>
      </c>
      <c r="AB19" s="42">
        <f>SUM(AB3:AB18)</f>
        <v>0</v>
      </c>
      <c r="AC19" s="47" t="e">
        <f t="shared" si="6"/>
        <v>#DIV/0!</v>
      </c>
      <c r="AD19" s="41">
        <f>SUM(AD3:AD18)</f>
        <v>0</v>
      </c>
      <c r="AE19" s="39" t="s">
        <v>1029</v>
      </c>
      <c r="AF19" s="42">
        <f>SUM(AF3:AF18)</f>
        <v>0</v>
      </c>
      <c r="AG19" s="47" t="e">
        <f>AD19/AF19</f>
        <v>#DIV/0!</v>
      </c>
      <c r="AH19" s="41">
        <f>SUM(AH3:AH18)</f>
        <v>0</v>
      </c>
      <c r="AI19" s="39" t="s">
        <v>1029</v>
      </c>
      <c r="AJ19" s="42">
        <f>SUM(AJ3:AJ17)</f>
        <v>0</v>
      </c>
      <c r="AK19" s="51" t="e">
        <f t="shared" si="8"/>
        <v>#DIV/0!</v>
      </c>
      <c r="AL19" s="41">
        <f>SUM(AL3:AL18)</f>
        <v>0</v>
      </c>
      <c r="AM19" s="44" t="s">
        <v>1029</v>
      </c>
      <c r="AN19" s="42">
        <f>SUM(AN3:AN18)</f>
        <v>0</v>
      </c>
      <c r="AO19" s="46" t="e">
        <f t="shared" si="9"/>
        <v>#DIV/0!</v>
      </c>
      <c r="AP19" s="41">
        <f>SUM(AP3:AP18)</f>
        <v>0</v>
      </c>
      <c r="AQ19" s="44" t="s">
        <v>1029</v>
      </c>
      <c r="AR19" s="42">
        <f>SUM(AR3:AR18)</f>
        <v>0</v>
      </c>
      <c r="AS19" s="46" t="e">
        <f t="shared" si="10"/>
        <v>#DIV/0!</v>
      </c>
      <c r="AT19" s="41">
        <f>SUM(AT3:AT17)</f>
        <v>0</v>
      </c>
      <c r="AU19" s="44" t="s">
        <v>1029</v>
      </c>
      <c r="AV19" s="42">
        <f>SUM(AV3:AV18)</f>
        <v>0</v>
      </c>
      <c r="AW19" s="46" t="e">
        <f t="shared" si="11"/>
        <v>#DIV/0!</v>
      </c>
      <c r="AX19" s="34"/>
      <c r="AY19" s="41">
        <f>SUM(AY3:AY18)</f>
        <v>246</v>
      </c>
      <c r="AZ19" s="44" t="s">
        <v>1029</v>
      </c>
      <c r="BA19" s="42">
        <f>SUM(BA3:BA18)</f>
        <v>327</v>
      </c>
      <c r="BB19" s="53">
        <f>+AY19/BA19</f>
        <v>0.75229357798165142</v>
      </c>
    </row>
    <row r="20" spans="1:54" x14ac:dyDescent="0.25">
      <c r="A20" s="18"/>
      <c r="B20" s="18"/>
      <c r="C20" s="18"/>
      <c r="D20" s="18"/>
      <c r="E20" s="49"/>
      <c r="F20" s="18"/>
      <c r="G20" s="18"/>
      <c r="H20" s="18"/>
      <c r="I20" s="49"/>
      <c r="J20" s="18"/>
      <c r="K20" s="18"/>
      <c r="L20" s="18"/>
      <c r="M20" s="49"/>
      <c r="N20" s="18"/>
      <c r="O20" s="18"/>
      <c r="P20" s="18"/>
      <c r="Q20" s="49"/>
      <c r="R20" s="18"/>
      <c r="S20" s="18"/>
      <c r="T20" s="18"/>
      <c r="U20" s="49"/>
      <c r="V20" s="18"/>
      <c r="W20" s="18"/>
      <c r="X20" s="18"/>
      <c r="Y20" s="49"/>
      <c r="Z20" s="18"/>
      <c r="AA20" s="18"/>
      <c r="AB20" s="18"/>
      <c r="AC20" s="49"/>
      <c r="AD20" s="18"/>
      <c r="AE20" s="18"/>
      <c r="AF20" s="18"/>
      <c r="AG20" s="49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49"/>
    </row>
    <row r="21" spans="1:54" ht="19.5" x14ac:dyDescent="0.25">
      <c r="A21" s="30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</row>
    <row r="22" spans="1:54" ht="19.5" x14ac:dyDescent="0.25">
      <c r="A22" s="104" t="s">
        <v>1033</v>
      </c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4"/>
      <c r="Z22" s="104"/>
      <c r="AA22" s="104"/>
      <c r="AB22" s="104"/>
      <c r="AC22" s="104"/>
      <c r="AD22" s="104"/>
      <c r="AE22" s="104"/>
      <c r="AF22" s="104"/>
      <c r="AG22" s="104"/>
      <c r="AH22" s="104"/>
      <c r="AI22" s="104"/>
      <c r="AJ22" s="104"/>
      <c r="AK22" s="104"/>
      <c r="AL22" s="104"/>
      <c r="AM22" s="104"/>
      <c r="AN22" s="104"/>
      <c r="AO22" s="104"/>
      <c r="AP22" s="104"/>
      <c r="AQ22" s="104"/>
      <c r="AR22" s="104"/>
      <c r="AS22" s="104"/>
      <c r="AT22" s="104"/>
      <c r="AU22" s="104"/>
      <c r="AV22" s="104"/>
      <c r="AW22" s="104"/>
      <c r="AX22" s="104"/>
      <c r="AY22" s="104"/>
      <c r="AZ22" s="104"/>
      <c r="BA22" s="104"/>
      <c r="BB22" s="104"/>
    </row>
    <row r="24" spans="1:54" s="16" customFormat="1" ht="16.5" x14ac:dyDescent="0.25">
      <c r="A24" s="26" t="s">
        <v>905</v>
      </c>
      <c r="B24" s="109" t="s">
        <v>1015</v>
      </c>
      <c r="C24" s="110"/>
      <c r="D24" s="110"/>
      <c r="E24" s="111"/>
      <c r="F24" s="109" t="s">
        <v>1016</v>
      </c>
      <c r="G24" s="110"/>
      <c r="H24" s="110"/>
      <c r="I24" s="111"/>
      <c r="J24" s="109" t="s">
        <v>1017</v>
      </c>
      <c r="K24" s="110"/>
      <c r="L24" s="110"/>
      <c r="M24" s="111"/>
      <c r="N24" s="109" t="s">
        <v>1018</v>
      </c>
      <c r="O24" s="110"/>
      <c r="P24" s="110"/>
      <c r="Q24" s="111"/>
      <c r="R24" s="109" t="s">
        <v>1019</v>
      </c>
      <c r="S24" s="110"/>
      <c r="T24" s="110"/>
      <c r="U24" s="111"/>
      <c r="V24" s="109" t="s">
        <v>1020</v>
      </c>
      <c r="W24" s="110"/>
      <c r="X24" s="110"/>
      <c r="Y24" s="111"/>
      <c r="Z24" s="109" t="s">
        <v>1021</v>
      </c>
      <c r="AA24" s="110"/>
      <c r="AB24" s="110"/>
      <c r="AC24" s="111"/>
      <c r="AD24" s="109" t="s">
        <v>1022</v>
      </c>
      <c r="AE24" s="110"/>
      <c r="AF24" s="110"/>
      <c r="AG24" s="111"/>
      <c r="AH24" s="112" t="s">
        <v>1023</v>
      </c>
      <c r="AI24" s="113"/>
      <c r="AJ24" s="113"/>
      <c r="AK24" s="114"/>
      <c r="AL24" s="109" t="s">
        <v>1024</v>
      </c>
      <c r="AM24" s="110"/>
      <c r="AN24" s="110"/>
      <c r="AO24" s="111"/>
      <c r="AP24" s="112" t="s">
        <v>1025</v>
      </c>
      <c r="AQ24" s="113"/>
      <c r="AR24" s="113"/>
      <c r="AS24" s="114"/>
      <c r="AT24" s="112" t="s">
        <v>1026</v>
      </c>
      <c r="AU24" s="113"/>
      <c r="AV24" s="113"/>
      <c r="AW24" s="114"/>
      <c r="AX24" s="20"/>
      <c r="AY24" s="112" t="s">
        <v>1027</v>
      </c>
      <c r="AZ24" s="113"/>
      <c r="BA24" s="113"/>
      <c r="BB24" s="114"/>
    </row>
    <row r="25" spans="1:54" s="16" customFormat="1" ht="16.5" x14ac:dyDescent="0.25">
      <c r="A25" s="28" t="s">
        <v>1034</v>
      </c>
      <c r="B25" s="35">
        <f>(COUNTIFS('OP envoyée'!$E:$E,"BUEN-OEM",'OP envoyée'!$AE:$AE,1))</f>
        <v>7</v>
      </c>
      <c r="C25" s="36" t="s">
        <v>1029</v>
      </c>
      <c r="D25" s="35">
        <f>COUNTIFS(Navision!$E:$E,"BUEN-OEM",Navision!$AD:$AD,"o",Navision!$AE:$AE,1)</f>
        <v>27</v>
      </c>
      <c r="E25" s="46">
        <f t="shared" ref="E25:E30" si="25">B25/D25</f>
        <v>0.25925925925925924</v>
      </c>
      <c r="F25" s="35">
        <f>(COUNTIFS('OP envoyée'!$E:$E,"BUEN-OEM",'OP envoyée'!$AE:$AE,2))</f>
        <v>22</v>
      </c>
      <c r="G25" s="36" t="s">
        <v>1029</v>
      </c>
      <c r="H25" s="35">
        <f>COUNTIFS(Navision!$E:$E,"BUEN-OEM",Navision!$AD:$AD,"o",Navision!$AE:$AE,2)</f>
        <v>29</v>
      </c>
      <c r="I25" s="46">
        <f t="shared" ref="I25:I30" si="26">F25/H25</f>
        <v>0.75862068965517238</v>
      </c>
      <c r="J25" s="35">
        <f>(COUNTIFS('OP envoyée'!$E:$E,"BUEN-OEM",'OP envoyée'!$AE:$AE,3))</f>
        <v>19</v>
      </c>
      <c r="K25" s="36" t="s">
        <v>1029</v>
      </c>
      <c r="L25" s="35">
        <f>COUNTIFS(Navision!$E:$E,"BUEN-OEM",Navision!$AD:$AD,"o",Navision!$AE:$AE,3)</f>
        <v>21</v>
      </c>
      <c r="M25" s="46">
        <f t="shared" ref="M25:M30" si="27">J25/L25</f>
        <v>0.90476190476190477</v>
      </c>
      <c r="N25" s="35">
        <f>(COUNTIFS('OP envoyée'!$E:$E,"BUEN-OEM",'OP envoyée'!$AE:$AE,4))</f>
        <v>19</v>
      </c>
      <c r="O25" s="36" t="s">
        <v>1029</v>
      </c>
      <c r="P25" s="35">
        <f>COUNTIFS(Navision!$E:$E,"BUEN-OEM",Navision!$AD:$AD,"o",Navision!$AE:$AE,4)</f>
        <v>29</v>
      </c>
      <c r="Q25" s="46">
        <f t="shared" ref="Q25:Q30" si="28">N25/P25</f>
        <v>0.65517241379310343</v>
      </c>
      <c r="R25" s="35">
        <f>(COUNTIFS('OP envoyée'!$E:$E,"BUEN-OEM",'OP envoyée'!$AE:$AE,5))</f>
        <v>0</v>
      </c>
      <c r="S25" s="36" t="s">
        <v>1029</v>
      </c>
      <c r="T25" s="35">
        <f>COUNTIFS(Navision!$E:$E,"BUEN-OEM",Navision!$AD:$AD,"o",Navision!$AE:$AE,5)</f>
        <v>0</v>
      </c>
      <c r="U25" s="46" t="e">
        <f t="shared" ref="U25:U30" si="29">R25/T25</f>
        <v>#DIV/0!</v>
      </c>
      <c r="V25" s="35">
        <f>(COUNTIFS('OP envoyée'!$E:$E,"BUEN-OEM",'OP envoyée'!$AE:$AE,6))</f>
        <v>0</v>
      </c>
      <c r="W25" s="36" t="s">
        <v>1029</v>
      </c>
      <c r="X25" s="35">
        <f>COUNTIFS(Navision!$E:$E,"BUEN-OEM",Navision!$AD:$AD,"o",Navision!$AE:$AE,6)</f>
        <v>0</v>
      </c>
      <c r="Y25" s="46" t="e">
        <f t="shared" ref="Y25:Y30" si="30">V25/X25</f>
        <v>#DIV/0!</v>
      </c>
      <c r="Z25" s="35">
        <f>(COUNTIFS('OP envoyée'!$E:$E,"BUEN-OEM",'OP envoyée'!$AE:$AE,7))</f>
        <v>0</v>
      </c>
      <c r="AA25" s="36" t="s">
        <v>1029</v>
      </c>
      <c r="AB25" s="35">
        <f>COUNTIFS(Navision!$E:$E,"BUEN-OEM",Navision!$AD:$AD,"o",Navision!$AE:$AE,7)</f>
        <v>0</v>
      </c>
      <c r="AC25" s="46" t="e">
        <f t="shared" ref="AC25:AC30" si="31">Z25/AB25</f>
        <v>#DIV/0!</v>
      </c>
      <c r="AD25" s="35">
        <f>(COUNTIFS('OP envoyée'!$E:$E,"BUEN-OEM",'OP envoyée'!$AE:$AE,8))</f>
        <v>0</v>
      </c>
      <c r="AE25" s="36" t="s">
        <v>1029</v>
      </c>
      <c r="AF25" s="35">
        <f>COUNTIFS(Navision!$E:$E,"BUEN-OEM",Navision!$AD:$AD,"o",Navision!$AE:$AE,8)</f>
        <v>0</v>
      </c>
      <c r="AG25" s="46" t="e">
        <f t="shared" ref="AG25:AG30" si="32">AD25/AF25</f>
        <v>#DIV/0!</v>
      </c>
      <c r="AH25" s="35">
        <f>(COUNTIFS('OP envoyée'!$E:$E,"BUEN-OEM",'OP envoyée'!$AE:$AE,9))</f>
        <v>0</v>
      </c>
      <c r="AI25" s="36" t="s">
        <v>1029</v>
      </c>
      <c r="AJ25" s="35">
        <f>COUNTIFS(Navision!$E:$E,"BUEN-OEM",Navision!$AD:$AD,"o",Navision!$AE:$AE,9)</f>
        <v>0</v>
      </c>
      <c r="AK25" s="46" t="e">
        <f t="shared" ref="AK25:AK30" si="33">AH25/AJ25</f>
        <v>#DIV/0!</v>
      </c>
      <c r="AL25" s="35">
        <f>(COUNTIFS('OP envoyée'!$E:$E,"BUEN-OEM",'OP envoyée'!$AE:$AE,10))</f>
        <v>0</v>
      </c>
      <c r="AM25" s="36" t="s">
        <v>1029</v>
      </c>
      <c r="AN25" s="35">
        <f>COUNTIFS(Navision!$E:$E,"BUEN-OEM",Navision!$AD:$AD,"o",Navision!$AE:$AE,10)</f>
        <v>0</v>
      </c>
      <c r="AO25" s="46" t="e">
        <f t="shared" ref="AO25:AO30" si="34">AL25/AN25</f>
        <v>#DIV/0!</v>
      </c>
      <c r="AP25" s="35">
        <f>(COUNTIFS('OP envoyée'!$E:$E,"BUEN-OEM",'OP envoyée'!$AE:$AE,11))</f>
        <v>0</v>
      </c>
      <c r="AQ25" s="36" t="s">
        <v>1029</v>
      </c>
      <c r="AR25" s="35">
        <f>COUNTIFS(Navision!$E:$E,"BUEN-OEM",Navision!$AD:$AD,"o",Navision!$AE:$AE,11)</f>
        <v>0</v>
      </c>
      <c r="AS25" s="46" t="e">
        <f t="shared" ref="AS25:AS30" si="35">AP25/AR25</f>
        <v>#DIV/0!</v>
      </c>
      <c r="AT25" s="35">
        <f>(COUNTIFS('OP envoyée'!$E:$E,"BUEN-OEM",'OP envoyée'!$AE:$AE,12))</f>
        <v>0</v>
      </c>
      <c r="AU25" s="36" t="s">
        <v>1029</v>
      </c>
      <c r="AV25" s="35">
        <f>COUNTIFS(Navision!$E:$E,"BUEN-OEM",Navision!$AD:$AD,"o",Navision!$AE:$AE,9)</f>
        <v>0</v>
      </c>
      <c r="AW25" s="46" t="e">
        <f t="shared" ref="AW25:AW30" si="36">AT25/AV25</f>
        <v>#DIV/0!</v>
      </c>
      <c r="AX25" s="22"/>
      <c r="AY25" s="35">
        <f>(COUNTIFS('OP envoyée'!$E:$E,"BUEN-OEM"))</f>
        <v>67</v>
      </c>
      <c r="AZ25" s="36" t="s">
        <v>1029</v>
      </c>
      <c r="BA25" s="35">
        <f>COUNTIFS(Navision!$E:$E,"BUEN-OEM",Navision!$AD:$AD,"o")</f>
        <v>106</v>
      </c>
      <c r="BB25" s="46">
        <f t="shared" ref="BB25:BB30" si="37">AY25/BA25</f>
        <v>0.63207547169811318</v>
      </c>
    </row>
    <row r="26" spans="1:54" s="16" customFormat="1" ht="16.5" x14ac:dyDescent="0.25">
      <c r="A26" s="28" t="s">
        <v>1035</v>
      </c>
      <c r="B26" s="35">
        <f>(COUNTIFS('OP envoyée'!$E:$E,"BUPH-CH-AL",'OP envoyée'!$AE:$AE,1))</f>
        <v>6</v>
      </c>
      <c r="C26" s="36" t="s">
        <v>1029</v>
      </c>
      <c r="D26" s="35">
        <f>COUNTIFS(Navision!$E:$E,"BUPH-CH-AL",Navision!$AD:$AD,"o",Navision!$AE:$AE,1)</f>
        <v>14</v>
      </c>
      <c r="E26" s="46">
        <f t="shared" si="25"/>
        <v>0.42857142857142855</v>
      </c>
      <c r="F26" s="35">
        <f>(COUNTIFS('OP envoyée'!$E:$E,"BUPH-CH-AL",'OP envoyée'!$AE:$AE,2))</f>
        <v>7</v>
      </c>
      <c r="G26" s="36" t="s">
        <v>1029</v>
      </c>
      <c r="H26" s="35">
        <f>COUNTIFS(Navision!$E:$E,"BUPH-CH-AL",Navision!$AD:$AD,"o",Navision!$AE:$AE,2)</f>
        <v>9</v>
      </c>
      <c r="I26" s="46">
        <f t="shared" si="26"/>
        <v>0.77777777777777779</v>
      </c>
      <c r="J26" s="35">
        <f>(COUNTIFS('OP envoyée'!$E:$E,"BUPH-CH-AL",'OP envoyée'!$AE:$AE,3))</f>
        <v>20</v>
      </c>
      <c r="K26" s="36" t="s">
        <v>1029</v>
      </c>
      <c r="L26" s="35">
        <f>COUNTIFS(Navision!$E:$E,"BUPH-CH-AL",Navision!$AD:$AD,"o",Navision!$AE:$AE,3)</f>
        <v>18</v>
      </c>
      <c r="M26" s="46">
        <f t="shared" si="27"/>
        <v>1.1111111111111112</v>
      </c>
      <c r="N26" s="35">
        <f>(COUNTIFS('OP envoyée'!$E:$E,"BUPH-CH-AL",'OP envoyée'!$AE:$AE,4))</f>
        <v>5</v>
      </c>
      <c r="O26" s="36" t="s">
        <v>1029</v>
      </c>
      <c r="P26" s="35">
        <f>COUNTIFS(Navision!$E:$E,"BUPH-CH-AL",Navision!$AD:$AD,"o",Navision!$AE:$AE,4)</f>
        <v>5</v>
      </c>
      <c r="Q26" s="46">
        <f t="shared" si="28"/>
        <v>1</v>
      </c>
      <c r="R26" s="35">
        <f>(COUNTIFS('OP envoyée'!$E:$E,"BUPH-CH-AL",'OP envoyée'!$AE:$AE,5))</f>
        <v>0</v>
      </c>
      <c r="S26" s="36" t="s">
        <v>1029</v>
      </c>
      <c r="T26" s="35">
        <f>COUNTIFS(Navision!$E:$E,"BUPH-CH-AL",Navision!$AD:$AD,"o",Navision!$AE:$AE,5)</f>
        <v>0</v>
      </c>
      <c r="U26" s="46" t="e">
        <f t="shared" si="29"/>
        <v>#DIV/0!</v>
      </c>
      <c r="V26" s="35">
        <f>(COUNTIFS('OP envoyée'!$E:$E,"BUPH-CH-AL",'OP envoyée'!$AE:$AE,6))</f>
        <v>0</v>
      </c>
      <c r="W26" s="36" t="s">
        <v>1029</v>
      </c>
      <c r="X26" s="35">
        <f>COUNTIFS(Navision!$E:$E,"BUPH-CH-AL",Navision!$AD:$AD,"o",Navision!$AE:$AE,6)</f>
        <v>0</v>
      </c>
      <c r="Y26" s="46" t="e">
        <f t="shared" si="30"/>
        <v>#DIV/0!</v>
      </c>
      <c r="Z26" s="35">
        <f>(COUNTIFS('OP envoyée'!$E:$E,"BUPH-CH-AL",'OP envoyée'!$AE:$AE,7))</f>
        <v>0</v>
      </c>
      <c r="AA26" s="36" t="s">
        <v>1029</v>
      </c>
      <c r="AB26" s="35">
        <f>COUNTIFS(Navision!$E:$E,"BUPH-CH-AL",Navision!$AD:$AD,"o",Navision!$AE:$AE,7)</f>
        <v>0</v>
      </c>
      <c r="AC26" s="46" t="e">
        <f t="shared" si="31"/>
        <v>#DIV/0!</v>
      </c>
      <c r="AD26" s="35">
        <f>(COUNTIFS('OP envoyée'!$E:$E,"BUPH-CH-AL",'OP envoyée'!$AE:$AE,8))</f>
        <v>0</v>
      </c>
      <c r="AE26" s="36" t="s">
        <v>1029</v>
      </c>
      <c r="AF26" s="35">
        <f>COUNTIFS(Navision!$E:$E,"BUPH-CH-AL",Navision!$AD:$AD,"o",Navision!$AE:$AE,8)</f>
        <v>0</v>
      </c>
      <c r="AG26" s="46" t="e">
        <f t="shared" si="32"/>
        <v>#DIV/0!</v>
      </c>
      <c r="AH26" s="35">
        <f>(COUNTIFS('OP envoyée'!$E:$E,"BUPH-CH-AL",'OP envoyée'!$AE:$AE,9))</f>
        <v>0</v>
      </c>
      <c r="AI26" s="36" t="s">
        <v>1029</v>
      </c>
      <c r="AJ26" s="35">
        <f>COUNTIFS(Navision!$E:$E,"BUPH-CH-AL",Navision!$AD:$AD,"o",Navision!$AE:$AE,9)</f>
        <v>0</v>
      </c>
      <c r="AK26" s="46" t="e">
        <f t="shared" si="33"/>
        <v>#DIV/0!</v>
      </c>
      <c r="AL26" s="35">
        <f>(COUNTIFS('OP envoyée'!$E:$E,"BUPH-CH-AL",'OP envoyée'!$AE:$AE,10))</f>
        <v>0</v>
      </c>
      <c r="AM26" s="36" t="s">
        <v>1029</v>
      </c>
      <c r="AN26" s="35">
        <f>COUNTIFS(Navision!$E:$E,"BUPH-CH-AL",Navision!$AD:$AD,"o",Navision!$AE:$AE,10)</f>
        <v>0</v>
      </c>
      <c r="AO26" s="46" t="e">
        <f t="shared" si="34"/>
        <v>#DIV/0!</v>
      </c>
      <c r="AP26" s="35">
        <f>(COUNTIFS('OP envoyée'!$E:$E,"BUPH-CH-AL",'OP envoyée'!$AE:$AE,11))</f>
        <v>0</v>
      </c>
      <c r="AQ26" s="36" t="s">
        <v>1029</v>
      </c>
      <c r="AR26" s="35">
        <f>COUNTIFS(Navision!$E:$E,"BUPH-CH-AL",Navision!$AD:$AD,"o",Navision!$AE:$AE,11)</f>
        <v>0</v>
      </c>
      <c r="AS26" s="46" t="e">
        <f t="shared" si="35"/>
        <v>#DIV/0!</v>
      </c>
      <c r="AT26" s="35">
        <f>(COUNTIFS('OP envoyée'!$E:$E,"BUPH-CH-AL",'OP envoyée'!$AE:$AE,12))</f>
        <v>0</v>
      </c>
      <c r="AU26" s="36" t="s">
        <v>1029</v>
      </c>
      <c r="AV26" s="35">
        <f>COUNTIFS(Navision!$E:$E,"BUPH-CH-AL",Navision!$AD:$AD,"o",Navision!$AE:$AE,9)</f>
        <v>0</v>
      </c>
      <c r="AW26" s="46" t="e">
        <f t="shared" si="36"/>
        <v>#DIV/0!</v>
      </c>
      <c r="AX26" s="22"/>
      <c r="AY26" s="35">
        <f>(COUNTIFS('OP envoyée'!$E:$E,"BUPH-CH-AL"))</f>
        <v>38</v>
      </c>
      <c r="AZ26" s="36" t="s">
        <v>1029</v>
      </c>
      <c r="BA26" s="35">
        <f>COUNTIFS(Navision!$E:$E,"BUPH-CH-AL",Navision!$AD:$AD,"o")</f>
        <v>46</v>
      </c>
      <c r="BB26" s="46">
        <f t="shared" si="37"/>
        <v>0.82608695652173914</v>
      </c>
    </row>
    <row r="27" spans="1:54" s="16" customFormat="1" ht="16.5" x14ac:dyDescent="0.25">
      <c r="A27" s="28" t="s">
        <v>51</v>
      </c>
      <c r="B27" s="35">
        <f>(COUNTIFS('OP envoyée'!$E:$E,"BUNUC",'OP envoyée'!$AE:$AE,1))</f>
        <v>4</v>
      </c>
      <c r="C27" s="36" t="s">
        <v>1029</v>
      </c>
      <c r="D27" s="35">
        <f>COUNTIFS(Navision!$E:$E,"BUNUC",Navision!$AD:$AD,"o",Navision!$AE:$AE,1)</f>
        <v>5</v>
      </c>
      <c r="E27" s="46">
        <f t="shared" si="25"/>
        <v>0.8</v>
      </c>
      <c r="F27" s="35">
        <f>(COUNTIFS('OP envoyée'!$E:$E,"BUNUC",'OP envoyée'!$AE:$AE,2))</f>
        <v>2</v>
      </c>
      <c r="G27" s="36" t="s">
        <v>1029</v>
      </c>
      <c r="H27" s="35">
        <f>COUNTIFS(Navision!$E:$E,"BUNUC",Navision!$AD:$AD,"o",Navision!$AE:$AE,2)</f>
        <v>4</v>
      </c>
      <c r="I27" s="46">
        <f t="shared" si="26"/>
        <v>0.5</v>
      </c>
      <c r="J27" s="35">
        <f>(COUNTIFS('OP envoyée'!$E:$E,"BUNUC",'OP envoyée'!$AE:$AE,3))</f>
        <v>4</v>
      </c>
      <c r="K27" s="36" t="s">
        <v>1029</v>
      </c>
      <c r="L27" s="35">
        <f>COUNTIFS(Navision!$E:$E,"BUNUC",Navision!$AD:$AD,"o",Navision!$AE:$AE,3)</f>
        <v>3</v>
      </c>
      <c r="M27" s="46">
        <f t="shared" si="27"/>
        <v>1.3333333333333333</v>
      </c>
      <c r="N27" s="35">
        <f>(COUNTIFS('OP envoyée'!$E:$E,"BUNUC",'OP envoyée'!$AE:$AE,4))</f>
        <v>0</v>
      </c>
      <c r="O27" s="36" t="s">
        <v>1029</v>
      </c>
      <c r="P27" s="35">
        <f>COUNTIFS(Navision!$E:$E,"BUNUC",Navision!$AD:$AD,"o",Navision!$AE:$AE,4)</f>
        <v>0</v>
      </c>
      <c r="Q27" s="46" t="e">
        <f t="shared" si="28"/>
        <v>#DIV/0!</v>
      </c>
      <c r="R27" s="35">
        <f>(COUNTIFS('OP envoyée'!$E:$E,"BUNUC",'OP envoyée'!$AE:$AE,5))</f>
        <v>0</v>
      </c>
      <c r="S27" s="36" t="s">
        <v>1029</v>
      </c>
      <c r="T27" s="35">
        <f>COUNTIFS(Navision!$E:$E,"BUNUC",Navision!$AD:$AD,"o",Navision!$AE:$AE,5)</f>
        <v>0</v>
      </c>
      <c r="U27" s="46" t="e">
        <f t="shared" si="29"/>
        <v>#DIV/0!</v>
      </c>
      <c r="V27" s="35">
        <f>(COUNTIFS('OP envoyée'!$E:$E,"BUNUC",'OP envoyée'!$AE:$AE,6))</f>
        <v>0</v>
      </c>
      <c r="W27" s="36" t="s">
        <v>1029</v>
      </c>
      <c r="X27" s="35">
        <f>COUNTIFS(Navision!$E:$E,"BUNUC",Navision!$AD:$AD,"o",Navision!$AE:$AE,6)</f>
        <v>0</v>
      </c>
      <c r="Y27" s="46" t="e">
        <f t="shared" si="30"/>
        <v>#DIV/0!</v>
      </c>
      <c r="Z27" s="35">
        <f>(COUNTIFS('OP envoyée'!$E:$E,"BUNUC",'OP envoyée'!$AE:$AE,7))</f>
        <v>0</v>
      </c>
      <c r="AA27" s="36" t="s">
        <v>1029</v>
      </c>
      <c r="AB27" s="35">
        <f>COUNTIFS(Navision!$E:$E,"BUNUC",Navision!$AD:$AD,"o",Navision!$AE:$AE,7)</f>
        <v>0</v>
      </c>
      <c r="AC27" s="46" t="e">
        <f t="shared" si="31"/>
        <v>#DIV/0!</v>
      </c>
      <c r="AD27" s="35">
        <f>(COUNTIFS('OP envoyée'!$E:$E,"BUNUC",'OP envoyée'!$AE:$AE,8))</f>
        <v>0</v>
      </c>
      <c r="AE27" s="36" t="s">
        <v>1029</v>
      </c>
      <c r="AF27" s="35">
        <f>COUNTIFS(Navision!$E:$E,"BUNUC",Navision!$AD:$AD,"o",Navision!$AE:$AE,8)</f>
        <v>0</v>
      </c>
      <c r="AG27" s="46" t="e">
        <f t="shared" si="32"/>
        <v>#DIV/0!</v>
      </c>
      <c r="AH27" s="35">
        <f>(COUNTIFS('OP envoyée'!$E:$E,"BUNUC",'OP envoyée'!$AE:$AE,9))</f>
        <v>0</v>
      </c>
      <c r="AI27" s="36" t="s">
        <v>1029</v>
      </c>
      <c r="AJ27" s="35">
        <f>COUNTIFS(Navision!$E:$E,"BUNUC",Navision!$AD:$AD,"o",Navision!$AE:$AE,9)</f>
        <v>0</v>
      </c>
      <c r="AK27" s="46" t="e">
        <f t="shared" si="33"/>
        <v>#DIV/0!</v>
      </c>
      <c r="AL27" s="35">
        <f>(COUNTIFS('OP envoyée'!$E:$E,"BUNUC",'OP envoyée'!$AE:$AE,10))</f>
        <v>0</v>
      </c>
      <c r="AM27" s="36" t="s">
        <v>1029</v>
      </c>
      <c r="AN27" s="35">
        <f>COUNTIFS(Navision!$E:$E,"BUNUC",Navision!$AD:$AD,"o",Navision!$AE:$AE,10)</f>
        <v>0</v>
      </c>
      <c r="AO27" s="46" t="e">
        <f t="shared" si="34"/>
        <v>#DIV/0!</v>
      </c>
      <c r="AP27" s="35">
        <f>(COUNTIFS('OP envoyée'!$E:$E,"BUNUC",'OP envoyée'!$AE:$AE,11))</f>
        <v>0</v>
      </c>
      <c r="AQ27" s="36" t="s">
        <v>1029</v>
      </c>
      <c r="AR27" s="35">
        <f>COUNTIFS(Navision!$E:$E,"BUNUC",Navision!$AD:$AD,"o",Navision!$AE:$AE,11)</f>
        <v>0</v>
      </c>
      <c r="AS27" s="46" t="e">
        <f t="shared" si="35"/>
        <v>#DIV/0!</v>
      </c>
      <c r="AT27" s="35">
        <f>(COUNTIFS('OP envoyée'!$E:$E,"BUNUC",'OP envoyée'!$AE:$AE,12))</f>
        <v>0</v>
      </c>
      <c r="AU27" s="36" t="s">
        <v>1029</v>
      </c>
      <c r="AV27" s="35">
        <f>COUNTIFS(Navision!$E:$E,"BUNUC",Navision!$AD:$AD,"o",Navision!$AE:$AE,9)</f>
        <v>0</v>
      </c>
      <c r="AW27" s="46" t="e">
        <f t="shared" si="36"/>
        <v>#DIV/0!</v>
      </c>
      <c r="AX27" s="22"/>
      <c r="AY27" s="35">
        <f>(COUNTIFS('OP envoyée'!$E:$E,"BUNUC"))</f>
        <v>10</v>
      </c>
      <c r="AZ27" s="36" t="s">
        <v>1029</v>
      </c>
      <c r="BA27" s="35">
        <f>COUNTIFS(Navision!$E:$E,"BUNUC",Navision!$AD:$AD,"o")</f>
        <v>12</v>
      </c>
      <c r="BB27" s="46">
        <f t="shared" si="37"/>
        <v>0.83333333333333337</v>
      </c>
    </row>
    <row r="28" spans="1:54" s="16" customFormat="1" ht="16.5" x14ac:dyDescent="0.25">
      <c r="A28" s="28" t="s">
        <v>1036</v>
      </c>
      <c r="B28" s="35">
        <f>(COUNTIFS('OP envoyée'!$E:$E,"BUSID-IL",'OP envoyée'!$AE:$AE,1))</f>
        <v>24</v>
      </c>
      <c r="C28" s="36" t="s">
        <v>1029</v>
      </c>
      <c r="D28" s="35">
        <f>COUNTIFS(Navision!$E:$E,"BUSID-IL",Navision!$AD:$AD,"o",Navision!$AE:$AE,1)</f>
        <v>41</v>
      </c>
      <c r="E28" s="46">
        <f t="shared" si="25"/>
        <v>0.58536585365853655</v>
      </c>
      <c r="F28" s="35">
        <f>(COUNTIFS('OP envoyée'!$E:$E,"BUSID-IL",'OP envoyée'!$AE:$AE,2))</f>
        <v>48</v>
      </c>
      <c r="G28" s="36" t="s">
        <v>1029</v>
      </c>
      <c r="H28" s="35">
        <f>COUNTIFS(Navision!$E:$E,"BUSID-IL",Navision!$AD:$AD,"o",Navision!$AE:$AE,2)</f>
        <v>48</v>
      </c>
      <c r="I28" s="46">
        <f t="shared" si="26"/>
        <v>1</v>
      </c>
      <c r="J28" s="35">
        <f>(COUNTIFS('OP envoyée'!$E:$E,"BUSID-IL",'OP envoyée'!$AE:$AE,3))</f>
        <v>40</v>
      </c>
      <c r="K28" s="36" t="s">
        <v>1029</v>
      </c>
      <c r="L28" s="35">
        <f>COUNTIFS(Navision!$E:$E,"BUSID-IL",Navision!$AD:$AD,"o",Navision!$AE:$AE,3)</f>
        <v>57</v>
      </c>
      <c r="M28" s="46">
        <f t="shared" si="27"/>
        <v>0.70175438596491224</v>
      </c>
      <c r="N28" s="35">
        <f>(COUNTIFS('OP envoyée'!$E:$E,"BUSID-IL",'OP envoyée'!$AE:$AE,4))</f>
        <v>22</v>
      </c>
      <c r="O28" s="36" t="s">
        <v>1029</v>
      </c>
      <c r="P28" s="35">
        <f>COUNTIFS(Navision!$E:$E,"BUSID-IL",Navision!$AD:$AD,"o",Navision!$AE:$AE,4)</f>
        <v>15</v>
      </c>
      <c r="Q28" s="46">
        <f t="shared" si="28"/>
        <v>1.4666666666666666</v>
      </c>
      <c r="R28" s="35">
        <f>(COUNTIFS('OP envoyée'!$E:$E,"BUSID-IL",'OP envoyée'!$AE:$AE,5))</f>
        <v>0</v>
      </c>
      <c r="S28" s="36" t="s">
        <v>1029</v>
      </c>
      <c r="T28" s="35">
        <f>COUNTIFS(Navision!$E:$E,"BUSID-IL",Navision!$AD:$AD,"o",Navision!$AE:$AE,5)</f>
        <v>0</v>
      </c>
      <c r="U28" s="46" t="e">
        <f t="shared" si="29"/>
        <v>#DIV/0!</v>
      </c>
      <c r="V28" s="35">
        <f>(COUNTIFS('OP envoyée'!$E:$E,"BUSID-IL",'OP envoyée'!$AE:$AE,6))</f>
        <v>0</v>
      </c>
      <c r="W28" s="36" t="s">
        <v>1029</v>
      </c>
      <c r="X28" s="35">
        <f>COUNTIFS(Navision!$E:$E,"BUSID-IL",Navision!$AD:$AD,"o",Navision!$AE:$AE,6)</f>
        <v>0</v>
      </c>
      <c r="Y28" s="46" t="e">
        <f t="shared" si="30"/>
        <v>#DIV/0!</v>
      </c>
      <c r="Z28" s="35">
        <f>(COUNTIFS('OP envoyée'!$E:$E,"BUSID-IL",'OP envoyée'!$AE:$AE,7))</f>
        <v>0</v>
      </c>
      <c r="AA28" s="36" t="s">
        <v>1029</v>
      </c>
      <c r="AB28" s="35">
        <f>COUNTIFS(Navision!$E:$E,"BUSID-IL",Navision!$AD:$AD,"o",Navision!$AE:$AE,7)</f>
        <v>0</v>
      </c>
      <c r="AC28" s="46" t="e">
        <f t="shared" si="31"/>
        <v>#DIV/0!</v>
      </c>
      <c r="AD28" s="35">
        <f>(COUNTIFS('OP envoyée'!$E:$E,"BUSID-IL",'OP envoyée'!$AE:$AE,8))</f>
        <v>0</v>
      </c>
      <c r="AE28" s="36" t="s">
        <v>1029</v>
      </c>
      <c r="AF28" s="35">
        <f>COUNTIFS(Navision!$E:$E,"BUSID-IL",Navision!$AD:$AD,"o",Navision!$AE:$AE,8)</f>
        <v>0</v>
      </c>
      <c r="AG28" s="46" t="e">
        <f t="shared" si="32"/>
        <v>#DIV/0!</v>
      </c>
      <c r="AH28" s="35">
        <f>(COUNTIFS('OP envoyée'!$E:$E,"BUSID-IL",'OP envoyée'!$AE:$AE,9))</f>
        <v>0</v>
      </c>
      <c r="AI28" s="36" t="s">
        <v>1029</v>
      </c>
      <c r="AJ28" s="35">
        <f>COUNTIFS(Navision!$E:$E,"BUSID-IL",Navision!$AD:$AD,"o",Navision!$AE:$AE,9)</f>
        <v>0</v>
      </c>
      <c r="AK28" s="46" t="e">
        <f t="shared" si="33"/>
        <v>#DIV/0!</v>
      </c>
      <c r="AL28" s="35">
        <f>(COUNTIFS('OP envoyée'!$E:$E,"BUSID-IL",'OP envoyée'!$AE:$AE,10))</f>
        <v>0</v>
      </c>
      <c r="AM28" s="36" t="s">
        <v>1029</v>
      </c>
      <c r="AN28" s="35">
        <f>COUNTIFS(Navision!$E:$E,"BUSID-IL",Navision!$AD:$AD,"o",Navision!$AE:$AE,10)</f>
        <v>0</v>
      </c>
      <c r="AO28" s="46" t="e">
        <f t="shared" si="34"/>
        <v>#DIV/0!</v>
      </c>
      <c r="AP28" s="35">
        <f>(COUNTIFS('OP envoyée'!$E:$E,"BUSID-IL",'OP envoyée'!$AE:$AE,11))</f>
        <v>0</v>
      </c>
      <c r="AQ28" s="36" t="s">
        <v>1029</v>
      </c>
      <c r="AR28" s="35">
        <f>COUNTIFS(Navision!$E:$E,"BUSID-IL",Navision!$AD:$AD,"o",Navision!$AE:$AE,11)</f>
        <v>0</v>
      </c>
      <c r="AS28" s="46" t="e">
        <f t="shared" si="35"/>
        <v>#DIV/0!</v>
      </c>
      <c r="AT28" s="35">
        <f>(COUNTIFS('OP envoyée'!$E:$E,"BUSID-IL",'OP envoyée'!$AE:$AE,12))</f>
        <v>0</v>
      </c>
      <c r="AU28" s="36" t="s">
        <v>1029</v>
      </c>
      <c r="AV28" s="35">
        <f>COUNTIFS(Navision!$E:$E,"BUSID-IL",Navision!$AD:$AD,"o",Navision!$AE:$AE,9)</f>
        <v>0</v>
      </c>
      <c r="AW28" s="46" t="e">
        <f t="shared" si="36"/>
        <v>#DIV/0!</v>
      </c>
      <c r="AX28" s="22"/>
      <c r="AY28" s="35">
        <f>(COUNTIFS('OP envoyée'!$E:$E,"BUSID-IL"))</f>
        <v>134</v>
      </c>
      <c r="AZ28" s="36" t="s">
        <v>1029</v>
      </c>
      <c r="BA28" s="35">
        <f>COUNTIFS(Navision!$E:$E,"BUSID-IL",Navision!$AD:$AD,"o")</f>
        <v>161</v>
      </c>
      <c r="BB28" s="46">
        <f t="shared" si="37"/>
        <v>0.83229813664596275</v>
      </c>
    </row>
    <row r="29" spans="1:54" ht="16.5" x14ac:dyDescent="0.25">
      <c r="A29" s="62" t="s">
        <v>188</v>
      </c>
      <c r="B29" s="35">
        <f>(COUNTIFS('OP envoyée'!$E:$E,"BUDIVERS",'OP envoyée'!$AE:$AE,1))</f>
        <v>0</v>
      </c>
      <c r="C29" s="36" t="s">
        <v>1029</v>
      </c>
      <c r="D29" s="35">
        <f>COUNTIFS(Navision!$E:$E,"BUDIVERS",Navision!$AD:$AD,"o",Navision!$AE:$AE,1)</f>
        <v>1</v>
      </c>
      <c r="E29" s="46">
        <f t="shared" si="25"/>
        <v>0</v>
      </c>
      <c r="F29" s="35">
        <f>(COUNTIFS('OP envoyée'!$E:$E,"BUDIVERS",'OP envoyée'!$AE:$AE,2))</f>
        <v>0</v>
      </c>
      <c r="G29" s="36" t="s">
        <v>1029</v>
      </c>
      <c r="H29" s="35">
        <f>COUNTIFS(Navision!$E:$E,"BUDIVERS",Navision!$AD:$AD,"o",Navision!$AE:$AE,2)</f>
        <v>1</v>
      </c>
      <c r="I29" s="46">
        <f t="shared" si="26"/>
        <v>0</v>
      </c>
      <c r="J29" s="35">
        <f>(COUNTIFS('OP envoyée'!$E:$E,"BUDIVERS",'OP envoyée'!$AE:$AE,3))</f>
        <v>1</v>
      </c>
      <c r="K29" s="36" t="s">
        <v>1029</v>
      </c>
      <c r="L29" s="35">
        <f>COUNTIFS(Navision!$E:$E,"BUDIVERS",Navision!$AD:$AD,"o",Navision!$AE:$AE,3)</f>
        <v>0</v>
      </c>
      <c r="M29" s="46" t="e">
        <f t="shared" si="27"/>
        <v>#DIV/0!</v>
      </c>
      <c r="N29" s="35">
        <f>(COUNTIFS('OP envoyée'!$E:$E,"BUDIVERS",'OP envoyée'!$AE:$AE,4))</f>
        <v>0</v>
      </c>
      <c r="O29" s="36" t="s">
        <v>1029</v>
      </c>
      <c r="P29" s="35">
        <f>COUNTIFS(Navision!$E:$E,"BUDIVERS",Navision!$AD:$AD,"o",Navision!$AE:$AE,4)</f>
        <v>0</v>
      </c>
      <c r="Q29" s="46" t="e">
        <f t="shared" si="28"/>
        <v>#DIV/0!</v>
      </c>
      <c r="R29" s="35">
        <f>(COUNTIFS('OP envoyée'!$E:$E,"BUDIVERS",'OP envoyée'!$AE:$AE,5))</f>
        <v>0</v>
      </c>
      <c r="S29" s="36" t="s">
        <v>1029</v>
      </c>
      <c r="T29" s="35">
        <f>COUNTIFS(Navision!$E:$E,"BUDIVERS",Navision!$AD:$AD,"o",Navision!$AE:$AE,5)</f>
        <v>0</v>
      </c>
      <c r="U29" s="46" t="e">
        <f t="shared" si="29"/>
        <v>#DIV/0!</v>
      </c>
      <c r="V29" s="35">
        <f>(COUNTIFS('OP envoyée'!$E:$E,"BUDIVERS",'OP envoyée'!$AE:$AE,6))</f>
        <v>0</v>
      </c>
      <c r="W29" s="36" t="s">
        <v>1029</v>
      </c>
      <c r="X29" s="35">
        <f>COUNTIFS(Navision!$E:$E,"BUDIVERS",Navision!$AD:$AD,"o",Navision!$AE:$AE,6)</f>
        <v>0</v>
      </c>
      <c r="Y29" s="46" t="e">
        <f t="shared" si="30"/>
        <v>#DIV/0!</v>
      </c>
      <c r="Z29" s="35">
        <f>(COUNTIFS('OP envoyée'!$E:$E,"BUDIVERS",'OP envoyée'!$AE:$AE,7))</f>
        <v>0</v>
      </c>
      <c r="AA29" s="36" t="s">
        <v>1029</v>
      </c>
      <c r="AB29" s="35">
        <f>COUNTIFS(Navision!$E:$E,"BUDIVERS",Navision!$AD:$AD,"o",Navision!$AE:$AE,7)</f>
        <v>0</v>
      </c>
      <c r="AC29" s="46" t="e">
        <f t="shared" si="31"/>
        <v>#DIV/0!</v>
      </c>
      <c r="AD29" s="35">
        <f>(COUNTIFS('OP envoyée'!$E:$E,"BUDIVERS",'OP envoyée'!$AE:$AE,8))</f>
        <v>0</v>
      </c>
      <c r="AE29" s="36" t="s">
        <v>1029</v>
      </c>
      <c r="AF29" s="35">
        <f>COUNTIFS(Navision!$E:$E,"BUDIVERS",Navision!$AD:$AD,"o",Navision!$AE:$AE,8)</f>
        <v>0</v>
      </c>
      <c r="AG29" s="46" t="e">
        <f t="shared" si="32"/>
        <v>#DIV/0!</v>
      </c>
      <c r="AH29" s="35">
        <f>(COUNTIFS('OP envoyée'!$E:$E,"BUDIVERS",'OP envoyée'!$AE:$AE,9))</f>
        <v>0</v>
      </c>
      <c r="AI29" s="36" t="s">
        <v>1029</v>
      </c>
      <c r="AJ29" s="35">
        <f>COUNTIFS(Navision!$E:$E,"BUDIVERS",Navision!$AD:$AD,"o",Navision!$AE:$AE,9)</f>
        <v>0</v>
      </c>
      <c r="AK29" s="46" t="e">
        <f t="shared" si="33"/>
        <v>#DIV/0!</v>
      </c>
      <c r="AL29" s="35">
        <f>(COUNTIFS('OP envoyée'!$E:$E,"BUDIVERS",'OP envoyée'!$AE:$AE,10))</f>
        <v>0</v>
      </c>
      <c r="AM29" s="36" t="s">
        <v>1029</v>
      </c>
      <c r="AN29" s="35">
        <f>COUNTIFS(Navision!$E:$E,"BUDIVERS",Navision!$AD:$AD,"o",Navision!$AE:$AE,10)</f>
        <v>0</v>
      </c>
      <c r="AO29" s="46" t="e">
        <f t="shared" si="34"/>
        <v>#DIV/0!</v>
      </c>
      <c r="AP29" s="35">
        <f>(COUNTIFS('OP envoyée'!$E:$E,"BUDIVERS",'OP envoyée'!$AE:$AE,11))</f>
        <v>0</v>
      </c>
      <c r="AQ29" s="36" t="s">
        <v>1029</v>
      </c>
      <c r="AR29" s="35">
        <f>COUNTIFS(Navision!$E:$E,"BUDIVERS",Navision!$AD:$AD,"o",Navision!$AE:$AE,11)</f>
        <v>0</v>
      </c>
      <c r="AS29" s="46" t="e">
        <f t="shared" si="35"/>
        <v>#DIV/0!</v>
      </c>
      <c r="AT29" s="35">
        <f>(COUNTIFS('OP envoyée'!$E:$E,"BUDIVERS",'OP envoyée'!$AE:$AE,12))</f>
        <v>0</v>
      </c>
      <c r="AU29" s="36" t="s">
        <v>1029</v>
      </c>
      <c r="AV29" s="35">
        <f>COUNTIFS(Navision!$E:$E,"BUDIVERS",Navision!$AD:$AD,"o",Navision!$AE:$AE,9)</f>
        <v>0</v>
      </c>
      <c r="AW29" s="46" t="e">
        <f t="shared" si="36"/>
        <v>#DIV/0!</v>
      </c>
      <c r="AY29" s="35">
        <f>(COUNTIFS('OP envoyée'!$E:$E,"BUDIVERS"))</f>
        <v>1</v>
      </c>
      <c r="AZ29" s="36" t="s">
        <v>1029</v>
      </c>
      <c r="BA29" s="35">
        <f>COUNTIFS(Navision!$E:$E,"BUDIVERS",Navision!$AD:$AD,"o")</f>
        <v>2</v>
      </c>
      <c r="BB29" s="46">
        <f t="shared" si="37"/>
        <v>0.5</v>
      </c>
    </row>
    <row r="30" spans="1:54" s="64" customFormat="1" ht="16.5" x14ac:dyDescent="0.25">
      <c r="A30" s="27" t="s">
        <v>1027</v>
      </c>
      <c r="B30" s="37">
        <f>SUM(B25:B29)</f>
        <v>41</v>
      </c>
      <c r="C30" s="63" t="s">
        <v>1029</v>
      </c>
      <c r="D30" s="37">
        <f t="shared" ref="D30:AV30" si="38">SUM(D25:D29)</f>
        <v>88</v>
      </c>
      <c r="E30" s="53">
        <f t="shared" si="25"/>
        <v>0.46590909090909088</v>
      </c>
      <c r="F30" s="37">
        <f t="shared" si="38"/>
        <v>79</v>
      </c>
      <c r="G30" s="63" t="s">
        <v>1029</v>
      </c>
      <c r="H30" s="37">
        <f t="shared" si="38"/>
        <v>91</v>
      </c>
      <c r="I30" s="53">
        <f t="shared" si="26"/>
        <v>0.86813186813186816</v>
      </c>
      <c r="J30" s="37">
        <f t="shared" si="38"/>
        <v>84</v>
      </c>
      <c r="K30" s="63" t="s">
        <v>1029</v>
      </c>
      <c r="L30" s="37">
        <f t="shared" si="38"/>
        <v>99</v>
      </c>
      <c r="M30" s="53">
        <f t="shared" si="27"/>
        <v>0.84848484848484851</v>
      </c>
      <c r="N30" s="37">
        <f t="shared" si="38"/>
        <v>46</v>
      </c>
      <c r="O30" s="63" t="s">
        <v>1029</v>
      </c>
      <c r="P30" s="37">
        <f t="shared" si="38"/>
        <v>49</v>
      </c>
      <c r="Q30" s="53">
        <f t="shared" si="28"/>
        <v>0.93877551020408168</v>
      </c>
      <c r="R30" s="37">
        <f t="shared" si="38"/>
        <v>0</v>
      </c>
      <c r="S30" s="63" t="s">
        <v>1029</v>
      </c>
      <c r="T30" s="37">
        <f t="shared" si="38"/>
        <v>0</v>
      </c>
      <c r="U30" s="53" t="e">
        <f t="shared" si="29"/>
        <v>#DIV/0!</v>
      </c>
      <c r="V30" s="37">
        <f t="shared" si="38"/>
        <v>0</v>
      </c>
      <c r="W30" s="63" t="s">
        <v>1029</v>
      </c>
      <c r="X30" s="37">
        <f t="shared" si="38"/>
        <v>0</v>
      </c>
      <c r="Y30" s="53" t="e">
        <f t="shared" si="30"/>
        <v>#DIV/0!</v>
      </c>
      <c r="Z30" s="37">
        <f t="shared" si="38"/>
        <v>0</v>
      </c>
      <c r="AA30" s="63" t="s">
        <v>1029</v>
      </c>
      <c r="AB30" s="37">
        <f t="shared" si="38"/>
        <v>0</v>
      </c>
      <c r="AC30" s="53" t="e">
        <f t="shared" si="31"/>
        <v>#DIV/0!</v>
      </c>
      <c r="AD30" s="37">
        <f t="shared" si="38"/>
        <v>0</v>
      </c>
      <c r="AE30" s="63" t="s">
        <v>1029</v>
      </c>
      <c r="AF30" s="37">
        <f t="shared" si="38"/>
        <v>0</v>
      </c>
      <c r="AG30" s="53" t="e">
        <f t="shared" si="32"/>
        <v>#DIV/0!</v>
      </c>
      <c r="AH30" s="37">
        <f t="shared" si="38"/>
        <v>0</v>
      </c>
      <c r="AI30" s="63" t="s">
        <v>1029</v>
      </c>
      <c r="AJ30" s="37">
        <f t="shared" si="38"/>
        <v>0</v>
      </c>
      <c r="AK30" s="53" t="e">
        <f t="shared" si="33"/>
        <v>#DIV/0!</v>
      </c>
      <c r="AL30" s="37">
        <f t="shared" si="38"/>
        <v>0</v>
      </c>
      <c r="AM30" s="63" t="s">
        <v>1029</v>
      </c>
      <c r="AN30" s="37">
        <f t="shared" si="38"/>
        <v>0</v>
      </c>
      <c r="AO30" s="53" t="e">
        <f t="shared" si="34"/>
        <v>#DIV/0!</v>
      </c>
      <c r="AP30" s="37">
        <f t="shared" si="38"/>
        <v>0</v>
      </c>
      <c r="AQ30" s="63" t="s">
        <v>1029</v>
      </c>
      <c r="AR30" s="37">
        <f t="shared" si="38"/>
        <v>0</v>
      </c>
      <c r="AS30" s="53" t="e">
        <f t="shared" si="35"/>
        <v>#DIV/0!</v>
      </c>
      <c r="AT30" s="37">
        <f t="shared" si="38"/>
        <v>0</v>
      </c>
      <c r="AU30" s="63" t="s">
        <v>1029</v>
      </c>
      <c r="AV30" s="37">
        <f t="shared" si="38"/>
        <v>0</v>
      </c>
      <c r="AW30" s="53" t="e">
        <f t="shared" si="36"/>
        <v>#DIV/0!</v>
      </c>
      <c r="AX30" s="34"/>
      <c r="AY30" s="37">
        <f>SUM(AY25:AY29)</f>
        <v>250</v>
      </c>
      <c r="AZ30" s="39" t="s">
        <v>1029</v>
      </c>
      <c r="BA30" s="38">
        <f>SUM(BA25:BA29)</f>
        <v>327</v>
      </c>
      <c r="BB30" s="47">
        <f t="shared" si="37"/>
        <v>0.76452599388379205</v>
      </c>
    </row>
    <row r="35" spans="1:54" ht="16.5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</row>
  </sheetData>
  <mergeCells count="28">
    <mergeCell ref="A22:BB22"/>
    <mergeCell ref="AP2:AS2"/>
    <mergeCell ref="AT2:AW2"/>
    <mergeCell ref="AY2:BB2"/>
    <mergeCell ref="A1:BB1"/>
    <mergeCell ref="B2:E2"/>
    <mergeCell ref="F2:I2"/>
    <mergeCell ref="J2:M2"/>
    <mergeCell ref="N2:Q2"/>
    <mergeCell ref="R2:U2"/>
    <mergeCell ref="V2:Y2"/>
    <mergeCell ref="Z2:AC2"/>
    <mergeCell ref="AD2:AG2"/>
    <mergeCell ref="AH2:AK2"/>
    <mergeCell ref="AL2:AO2"/>
    <mergeCell ref="AY24:BB24"/>
    <mergeCell ref="V24:Y24"/>
    <mergeCell ref="Z24:AC24"/>
    <mergeCell ref="AD24:AG24"/>
    <mergeCell ref="AH24:AK24"/>
    <mergeCell ref="AL24:AO24"/>
    <mergeCell ref="AP24:AS24"/>
    <mergeCell ref="B24:E24"/>
    <mergeCell ref="F24:I24"/>
    <mergeCell ref="J24:M24"/>
    <mergeCell ref="N24:Q24"/>
    <mergeCell ref="AT24:AW24"/>
    <mergeCell ref="R24:U2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35"/>
  <sheetViews>
    <sheetView topLeftCell="A7" workbookViewId="0">
      <selection activeCell="BA28" sqref="BA28"/>
    </sheetView>
  </sheetViews>
  <sheetFormatPr baseColWidth="10" defaultRowHeight="15" x14ac:dyDescent="0.25"/>
  <cols>
    <col min="1" max="1" width="7.42578125" style="16" bestFit="1" customWidth="1"/>
    <col min="2" max="2" width="3.28515625" style="16" bestFit="1" customWidth="1"/>
    <col min="3" max="3" width="2" style="16" bestFit="1" customWidth="1"/>
    <col min="4" max="4" width="3.28515625" style="16" bestFit="1" customWidth="1"/>
    <col min="5" max="5" width="8.5703125" style="16" bestFit="1" customWidth="1"/>
    <col min="6" max="6" width="3.28515625" style="16" bestFit="1" customWidth="1"/>
    <col min="7" max="7" width="2" style="16" bestFit="1" customWidth="1"/>
    <col min="8" max="8" width="3.28515625" style="16" bestFit="1" customWidth="1"/>
    <col min="9" max="9" width="8.5703125" style="16" bestFit="1" customWidth="1"/>
    <col min="10" max="10" width="3.28515625" style="16" bestFit="1" customWidth="1"/>
    <col min="11" max="11" width="2" style="16" bestFit="1" customWidth="1"/>
    <col min="12" max="12" width="3.28515625" style="16" bestFit="1" customWidth="1"/>
    <col min="13" max="13" width="8.5703125" style="16" bestFit="1" customWidth="1"/>
    <col min="14" max="14" width="3.28515625" style="16" bestFit="1" customWidth="1"/>
    <col min="15" max="15" width="2" style="16" bestFit="1" customWidth="1"/>
    <col min="16" max="16" width="3.28515625" style="16" bestFit="1" customWidth="1"/>
    <col min="17" max="17" width="8.5703125" style="16" bestFit="1" customWidth="1"/>
    <col min="18" max="18" width="2.140625" style="16" bestFit="1" customWidth="1"/>
    <col min="19" max="19" width="2" style="16" bestFit="1" customWidth="1"/>
    <col min="20" max="20" width="2.140625" style="16" bestFit="1" customWidth="1"/>
    <col min="21" max="21" width="8.7109375" style="16" bestFit="1" customWidth="1"/>
    <col min="22" max="22" width="2.140625" style="16" bestFit="1" customWidth="1"/>
    <col min="23" max="23" width="2" style="16" bestFit="1" customWidth="1"/>
    <col min="24" max="24" width="2.140625" style="16" bestFit="1" customWidth="1"/>
    <col min="25" max="25" width="8.7109375" style="16" bestFit="1" customWidth="1"/>
    <col min="26" max="26" width="2.140625" style="16" bestFit="1" customWidth="1"/>
    <col min="27" max="27" width="2" style="16" bestFit="1" customWidth="1"/>
    <col min="28" max="28" width="2.140625" style="16" bestFit="1" customWidth="1"/>
    <col min="29" max="29" width="8.7109375" style="16" bestFit="1" customWidth="1"/>
    <col min="30" max="30" width="2.140625" style="16" bestFit="1" customWidth="1"/>
    <col min="31" max="31" width="2" style="16" bestFit="1" customWidth="1"/>
    <col min="32" max="32" width="2.140625" style="16" bestFit="1" customWidth="1"/>
    <col min="33" max="33" width="8.5703125" style="16" bestFit="1" customWidth="1"/>
    <col min="34" max="34" width="2.140625" style="16" bestFit="1" customWidth="1"/>
    <col min="35" max="35" width="2" style="16" bestFit="1" customWidth="1"/>
    <col min="36" max="36" width="2.140625" style="16" bestFit="1" customWidth="1"/>
    <col min="37" max="37" width="8.7109375" style="16" bestFit="1" customWidth="1"/>
    <col min="38" max="38" width="2.140625" style="16" bestFit="1" customWidth="1"/>
    <col min="39" max="39" width="2" style="16" bestFit="1" customWidth="1"/>
    <col min="40" max="40" width="2.140625" style="16" bestFit="1" customWidth="1"/>
    <col min="41" max="41" width="8.5703125" style="16" bestFit="1" customWidth="1"/>
    <col min="42" max="42" width="2.140625" style="16" bestFit="1" customWidth="1"/>
    <col min="43" max="43" width="2" style="16" bestFit="1" customWidth="1"/>
    <col min="44" max="44" width="3.28515625" style="16" bestFit="1" customWidth="1"/>
    <col min="45" max="45" width="8.5703125" style="16" bestFit="1" customWidth="1"/>
    <col min="46" max="46" width="2.140625" style="16" bestFit="1" customWidth="1"/>
    <col min="47" max="47" width="2" style="16" bestFit="1" customWidth="1"/>
    <col min="48" max="48" width="2.140625" style="16" bestFit="1" customWidth="1"/>
    <col min="49" max="49" width="8.5703125" style="16" bestFit="1" customWidth="1"/>
    <col min="50" max="50" width="7.7109375" style="16" customWidth="1"/>
    <col min="51" max="51" width="4.42578125" style="16" bestFit="1" customWidth="1"/>
    <col min="52" max="52" width="2" style="16" bestFit="1" customWidth="1"/>
    <col min="53" max="53" width="4.42578125" style="16" bestFit="1" customWidth="1"/>
    <col min="54" max="54" width="8.5703125" style="16" bestFit="1" customWidth="1"/>
    <col min="55" max="16384" width="11.42578125" style="16"/>
  </cols>
  <sheetData>
    <row r="1" spans="1:54" ht="19.5" x14ac:dyDescent="0.25">
      <c r="A1" s="104" t="s">
        <v>1032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</row>
    <row r="2" spans="1:54" ht="16.5" x14ac:dyDescent="0.25">
      <c r="A2" s="26" t="s">
        <v>1014</v>
      </c>
      <c r="B2" s="109" t="s">
        <v>1015</v>
      </c>
      <c r="C2" s="110"/>
      <c r="D2" s="110"/>
      <c r="E2" s="111"/>
      <c r="F2" s="109" t="s">
        <v>1016</v>
      </c>
      <c r="G2" s="110"/>
      <c r="H2" s="110"/>
      <c r="I2" s="111"/>
      <c r="J2" s="109" t="s">
        <v>1017</v>
      </c>
      <c r="K2" s="110"/>
      <c r="L2" s="110"/>
      <c r="M2" s="111"/>
      <c r="N2" s="109" t="s">
        <v>1018</v>
      </c>
      <c r="O2" s="110"/>
      <c r="P2" s="110"/>
      <c r="Q2" s="111"/>
      <c r="R2" s="109" t="s">
        <v>1019</v>
      </c>
      <c r="S2" s="110"/>
      <c r="T2" s="110"/>
      <c r="U2" s="111"/>
      <c r="V2" s="109" t="s">
        <v>1020</v>
      </c>
      <c r="W2" s="110"/>
      <c r="X2" s="110"/>
      <c r="Y2" s="111"/>
      <c r="Z2" s="109" t="s">
        <v>1021</v>
      </c>
      <c r="AA2" s="110"/>
      <c r="AB2" s="110"/>
      <c r="AC2" s="111"/>
      <c r="AD2" s="109" t="s">
        <v>1022</v>
      </c>
      <c r="AE2" s="110"/>
      <c r="AF2" s="110"/>
      <c r="AG2" s="111"/>
      <c r="AH2" s="112" t="s">
        <v>1023</v>
      </c>
      <c r="AI2" s="113"/>
      <c r="AJ2" s="113"/>
      <c r="AK2" s="114"/>
      <c r="AL2" s="109" t="s">
        <v>1024</v>
      </c>
      <c r="AM2" s="110"/>
      <c r="AN2" s="110"/>
      <c r="AO2" s="111"/>
      <c r="AP2" s="112" t="s">
        <v>1025</v>
      </c>
      <c r="AQ2" s="113"/>
      <c r="AR2" s="113"/>
      <c r="AS2" s="114"/>
      <c r="AT2" s="112" t="s">
        <v>1026</v>
      </c>
      <c r="AU2" s="113"/>
      <c r="AV2" s="113"/>
      <c r="AW2" s="114"/>
      <c r="AX2" s="20"/>
      <c r="AY2" s="112" t="s">
        <v>1027</v>
      </c>
      <c r="AZ2" s="113"/>
      <c r="BA2" s="113"/>
      <c r="BB2" s="114"/>
    </row>
    <row r="3" spans="1:54" ht="16.5" x14ac:dyDescent="0.25">
      <c r="A3" s="28" t="s">
        <v>1028</v>
      </c>
      <c r="B3" s="35">
        <f>COUNTIFS('OP envoyée'!$F:$F,"DDu",'OP envoyée'!$AE:$AE,1,'OP envoyée'!$AF:$AF,"")</f>
        <v>4</v>
      </c>
      <c r="C3" s="36" t="s">
        <v>1029</v>
      </c>
      <c r="D3" s="35">
        <f>(COUNTIFS('OP envoyée'!$F:$F,"DDu",'OP envoyée'!$AE:$AE,1))</f>
        <v>4</v>
      </c>
      <c r="E3" s="46">
        <f>B3/D3</f>
        <v>1</v>
      </c>
      <c r="F3" s="35">
        <f>COUNTIFS('OP envoyée'!$F:$F,"DDu",'OP envoyée'!$AE:$AE,2,'OP envoyée'!$AF:$AF,"")</f>
        <v>1</v>
      </c>
      <c r="G3" s="36" t="s">
        <v>1029</v>
      </c>
      <c r="H3" s="35">
        <f>(COUNTIFS('OP envoyée'!$F:$F,"DDu",'OP envoyée'!$AE:$AE,2))</f>
        <v>1</v>
      </c>
      <c r="I3" s="46">
        <f>F3/H3</f>
        <v>1</v>
      </c>
      <c r="J3" s="35">
        <f>COUNTIFS('OP envoyée'!$F:$F,"DDu",'OP envoyée'!$AE:$AE,3,'OP envoyée'!$AF:$AF,"")</f>
        <v>2</v>
      </c>
      <c r="K3" s="36" t="s">
        <v>1029</v>
      </c>
      <c r="L3" s="35">
        <f>(COUNTIFS('OP envoyée'!$F:$F,"DDu",'OP envoyée'!$AE:$AE,3))</f>
        <v>2</v>
      </c>
      <c r="M3" s="46">
        <f>J3/L3</f>
        <v>1</v>
      </c>
      <c r="N3" s="35">
        <f>COUNTIFS('OP envoyée'!$F:$F,"DDu",'OP envoyée'!$AE:$AE,4,'OP envoyée'!$AF:$AF,"")</f>
        <v>0</v>
      </c>
      <c r="O3" s="36" t="s">
        <v>1029</v>
      </c>
      <c r="P3" s="35">
        <f>(COUNTIFS('OP envoyée'!$F:$F,"DDu",'OP envoyée'!$AE:$AE,4))</f>
        <v>0</v>
      </c>
      <c r="Q3" s="46" t="e">
        <f>N3/P3</f>
        <v>#DIV/0!</v>
      </c>
      <c r="R3" s="35">
        <f>COUNTIFS('OP envoyée'!$F:$F,"DDu",'OP envoyée'!$AE:$AE,5,'OP envoyée'!$AF:$AF,"")</f>
        <v>0</v>
      </c>
      <c r="S3" s="36" t="s">
        <v>1029</v>
      </c>
      <c r="T3" s="35">
        <f>(COUNTIFS('OP envoyée'!$F:$F,"DDu",'OP envoyée'!$AE:$AE,5))</f>
        <v>0</v>
      </c>
      <c r="U3" s="46" t="e">
        <f>R3/T3</f>
        <v>#DIV/0!</v>
      </c>
      <c r="V3" s="35">
        <f>COUNTIFS('OP envoyée'!$F:$F,"DDu",'OP envoyée'!$AE:$AE,6,'OP envoyée'!$AF:$AF,"")</f>
        <v>0</v>
      </c>
      <c r="W3" s="36" t="s">
        <v>1029</v>
      </c>
      <c r="X3" s="35">
        <f>(COUNTIFS('OP envoyée'!$F:$F,"DDu",'OP envoyée'!$AE:$AE,6))</f>
        <v>0</v>
      </c>
      <c r="Y3" s="46" t="e">
        <f>V3/X3</f>
        <v>#DIV/0!</v>
      </c>
      <c r="Z3" s="35">
        <f>COUNTIFS('OP envoyée'!$F:$F,"DDu",'OP envoyée'!$AE:$AE,7,'OP envoyée'!$AF:$AF,"")</f>
        <v>0</v>
      </c>
      <c r="AA3" s="36" t="s">
        <v>1029</v>
      </c>
      <c r="AB3" s="35">
        <f>(COUNTIFS('OP envoyée'!$F:$F,"DDu",'OP envoyée'!$AE:$AE,7))</f>
        <v>0</v>
      </c>
      <c r="AC3" s="46" t="e">
        <f>Z3/AB3</f>
        <v>#DIV/0!</v>
      </c>
      <c r="AD3" s="35">
        <f>COUNTIFS('OP envoyée'!$F:$F,"DDu",'OP envoyée'!$AE:$AE,8,'OP envoyée'!$AF:$AF,"")</f>
        <v>0</v>
      </c>
      <c r="AE3" s="36" t="s">
        <v>1029</v>
      </c>
      <c r="AF3" s="35">
        <f>(COUNTIFS('OP envoyée'!$F:$F,"DDu",'OP envoyée'!$AE:$AE,8))</f>
        <v>0</v>
      </c>
      <c r="AG3" s="51" t="e">
        <f>AD3/AF3</f>
        <v>#DIV/0!</v>
      </c>
      <c r="AH3" s="35">
        <f>COUNTIFS('OP envoyée'!$F:$F,"DDu",'OP envoyée'!$AE:$AE,9,'OP envoyée'!$AF:$AF,"")</f>
        <v>0</v>
      </c>
      <c r="AI3" s="36" t="s">
        <v>1029</v>
      </c>
      <c r="AJ3" s="35">
        <f>(COUNTIFS('OP envoyée'!$F:$F,"DDu",'OP envoyée'!$AE:$AE,9))</f>
        <v>0</v>
      </c>
      <c r="AK3" s="51" t="e">
        <f>AH3/AJ3</f>
        <v>#DIV/0!</v>
      </c>
      <c r="AL3" s="35">
        <f>COUNTIFS('OP envoyée'!$F:$F,"DDu",'OP envoyée'!$AE:$AE,10,'OP envoyée'!$AF:$AF,"")</f>
        <v>0</v>
      </c>
      <c r="AM3" s="36" t="s">
        <v>1029</v>
      </c>
      <c r="AN3" s="35">
        <f>(COUNTIFS('OP envoyée'!$F:$F,"DDu",'OP envoyée'!$AE:$AE,10))</f>
        <v>0</v>
      </c>
      <c r="AO3" s="46" t="e">
        <f>AL3/AN3</f>
        <v>#DIV/0!</v>
      </c>
      <c r="AP3" s="35">
        <f>COUNTIFS('OP envoyée'!$F:$F,"DDu",'OP envoyée'!$AE:$AE,11,'OP envoyée'!$AF:$AF,"")</f>
        <v>0</v>
      </c>
      <c r="AQ3" s="36" t="s">
        <v>1029</v>
      </c>
      <c r="AR3" s="35">
        <f>(COUNTIFS('OP envoyée'!$F:$F,"DDu",'OP envoyée'!$AE:$AE,11))</f>
        <v>0</v>
      </c>
      <c r="AS3" s="46" t="e">
        <f>AP3/AR3</f>
        <v>#DIV/0!</v>
      </c>
      <c r="AT3" s="35">
        <f>COUNTIFS('OP envoyée'!$F:$F,"DDu",'OP envoyée'!$AE:$AE,12,'OP envoyée'!$AF:$AF,"")</f>
        <v>0</v>
      </c>
      <c r="AU3" s="36" t="s">
        <v>1029</v>
      </c>
      <c r="AV3" s="35">
        <f>(COUNTIFS('OP envoyée'!$F:$F,"DDu",'OP envoyée'!$AE:$AE,12))</f>
        <v>0</v>
      </c>
      <c r="AW3" s="46" t="e">
        <f>AT3/AV3</f>
        <v>#DIV/0!</v>
      </c>
      <c r="AX3" s="22"/>
      <c r="AY3" s="35">
        <f>COUNTIFS('OP envoyée'!$F:$F,"DDu",'OP envoyée'!$AF:$AF,"")</f>
        <v>7</v>
      </c>
      <c r="AZ3" s="43" t="s">
        <v>1029</v>
      </c>
      <c r="BA3" s="35">
        <f>(COUNTIFS('OP envoyée'!$F:$F,"DDu"))</f>
        <v>7</v>
      </c>
      <c r="BB3" s="46">
        <f>AY3/BA3</f>
        <v>1</v>
      </c>
    </row>
    <row r="4" spans="1:54" ht="16.5" x14ac:dyDescent="0.25">
      <c r="A4" s="28" t="s">
        <v>132</v>
      </c>
      <c r="B4" s="35">
        <f>COUNTIFS('OP envoyée'!$F:$F,"GB",'OP envoyée'!$AE:$AE,1,'OP envoyée'!$AF:$AF,"")</f>
        <v>0</v>
      </c>
      <c r="C4" s="36" t="s">
        <v>1029</v>
      </c>
      <c r="D4" s="35">
        <f>(COUNTIFS('OP envoyée'!$F:$F,"GB",'OP envoyée'!$AE:$AE,1))</f>
        <v>0</v>
      </c>
      <c r="E4" s="46" t="e">
        <f t="shared" ref="E4:E16" si="0">B4/D4</f>
        <v>#DIV/0!</v>
      </c>
      <c r="F4" s="35">
        <f>COUNTIFS('OP envoyée'!$F:$F,"GB",'OP envoyée'!$AE:$AE,2,'OP envoyée'!$AF:$AF,"")</f>
        <v>1</v>
      </c>
      <c r="G4" s="36" t="s">
        <v>1029</v>
      </c>
      <c r="H4" s="35">
        <f>(COUNTIFS('OP envoyée'!$F:$F,"GB",'OP envoyée'!$AE:$AE,2))</f>
        <v>1</v>
      </c>
      <c r="I4" s="46">
        <f t="shared" ref="I4:I18" si="1">F4/H4</f>
        <v>1</v>
      </c>
      <c r="J4" s="35">
        <f>COUNTIFS('OP envoyée'!$F:$F,"GB",'OP envoyée'!$AE:$AE,3,'OP envoyée'!$AF:$AF,"")</f>
        <v>1</v>
      </c>
      <c r="K4" s="36" t="s">
        <v>1029</v>
      </c>
      <c r="L4" s="35">
        <f>(COUNTIFS('OP envoyée'!$F:$F,"GB",'OP envoyée'!$AE:$AE,3))</f>
        <v>2</v>
      </c>
      <c r="M4" s="46">
        <f t="shared" ref="M4:M16" si="2">J4/L4</f>
        <v>0.5</v>
      </c>
      <c r="N4" s="35">
        <f>COUNTIFS('OP envoyée'!$F:$F,"GB",'OP envoyée'!$AE:$AE,4,'OP envoyée'!$AF:$AF,"")</f>
        <v>0</v>
      </c>
      <c r="O4" s="36" t="s">
        <v>1029</v>
      </c>
      <c r="P4" s="35">
        <f>(COUNTIFS('OP envoyée'!$F:$F,"GB",'OP envoyée'!$AE:$AE,4))</f>
        <v>0</v>
      </c>
      <c r="Q4" s="46" t="e">
        <f t="shared" ref="Q4:Q16" si="3">N4/P4</f>
        <v>#DIV/0!</v>
      </c>
      <c r="R4" s="35">
        <f>COUNTIFS('OP envoyée'!$F:$F,"GB",'OP envoyée'!$AE:$AE,5,'OP envoyée'!$AF:$AF,"")</f>
        <v>0</v>
      </c>
      <c r="S4" s="36" t="s">
        <v>1029</v>
      </c>
      <c r="T4" s="35">
        <f>(COUNTIFS('OP envoyée'!$F:$F,"GB",'OP envoyée'!$AE:$AE,5))</f>
        <v>0</v>
      </c>
      <c r="U4" s="46" t="e">
        <f t="shared" ref="U4:U18" si="4">R4/T4</f>
        <v>#DIV/0!</v>
      </c>
      <c r="V4" s="35">
        <f>COUNTIFS('OP envoyée'!$F:$F,"GB",'OP envoyée'!$AE:$AE,6,'OP envoyée'!$AF:$AF,"")</f>
        <v>0</v>
      </c>
      <c r="W4" s="36" t="s">
        <v>1029</v>
      </c>
      <c r="X4" s="35">
        <f>(COUNTIFS('OP envoyée'!$F:$F,"GB",'OP envoyée'!$AE:$AE,6))</f>
        <v>0</v>
      </c>
      <c r="Y4" s="46" t="e">
        <f t="shared" ref="Y4:Y18" si="5">V4/X4</f>
        <v>#DIV/0!</v>
      </c>
      <c r="Z4" s="35">
        <f>COUNTIFS('OP envoyée'!$F:$F,"GB",'OP envoyée'!$AE:$AE,7,'OP envoyée'!$AF:$AF,"")</f>
        <v>0</v>
      </c>
      <c r="AA4" s="36" t="s">
        <v>1029</v>
      </c>
      <c r="AB4" s="35">
        <f>(COUNTIFS('OP envoyée'!$F:$F,"GB",'OP envoyée'!$AE:$AE,7))</f>
        <v>0</v>
      </c>
      <c r="AC4" s="46" t="e">
        <f t="shared" ref="AC4:AC18" si="6">Z4/AB4</f>
        <v>#DIV/0!</v>
      </c>
      <c r="AD4" s="35">
        <f>COUNTIFS('OP envoyée'!$F:$F,"GB",'OP envoyée'!$AE:$AE,8,'OP envoyée'!$AF:$AF,"")</f>
        <v>0</v>
      </c>
      <c r="AE4" s="36" t="s">
        <v>1029</v>
      </c>
      <c r="AF4" s="35">
        <f>(COUNTIFS('OP envoyée'!$F:$F,"GB",'OP envoyée'!$AE:$AE,8))</f>
        <v>0</v>
      </c>
      <c r="AG4" s="51" t="e">
        <f t="shared" ref="AG4:AG16" si="7">AD4/AF4</f>
        <v>#DIV/0!</v>
      </c>
      <c r="AH4" s="35">
        <f>COUNTIFS('OP envoyée'!$F:$F,"GB",'OP envoyée'!$AE:$AE,9,'OP envoyée'!$AF:$AF,"")</f>
        <v>0</v>
      </c>
      <c r="AI4" s="36" t="s">
        <v>1029</v>
      </c>
      <c r="AJ4" s="35">
        <f>(COUNTIFS('OP envoyée'!$F:$F,"GB",'OP envoyée'!$AE:$AE,9))</f>
        <v>0</v>
      </c>
      <c r="AK4" s="51" t="e">
        <f t="shared" ref="AK4:AK18" si="8">AH4/AJ4</f>
        <v>#DIV/0!</v>
      </c>
      <c r="AL4" s="35">
        <f>COUNTIFS('OP envoyée'!$F:$F,"GB",'OP envoyée'!$AE:$AE,10,'OP envoyée'!$AF:$AF,"")</f>
        <v>0</v>
      </c>
      <c r="AM4" s="36" t="s">
        <v>1029</v>
      </c>
      <c r="AN4" s="35">
        <f>(COUNTIFS('OP envoyée'!$F:$F,"GB",'OP envoyée'!$AE:$AE,10))</f>
        <v>0</v>
      </c>
      <c r="AO4" s="46" t="e">
        <f t="shared" ref="AO4:AO18" si="9">AL4/AN4</f>
        <v>#DIV/0!</v>
      </c>
      <c r="AP4" s="35">
        <f>COUNTIFS('OP envoyée'!$F:$F,"GB",'OP envoyée'!$AE:$AE,11,'OP envoyée'!$AF:$AF,"")</f>
        <v>0</v>
      </c>
      <c r="AQ4" s="36" t="s">
        <v>1029</v>
      </c>
      <c r="AR4" s="35">
        <f>(COUNTIFS('OP envoyée'!$F:$F,"GB",'OP envoyée'!$AE:$AE,11))</f>
        <v>0</v>
      </c>
      <c r="AS4" s="46" t="e">
        <f t="shared" ref="AS4:AS18" si="10">AP4/AR4</f>
        <v>#DIV/0!</v>
      </c>
      <c r="AT4" s="35">
        <f>COUNTIFS('OP envoyée'!$F:$F,"GB",'OP envoyée'!$AE:$AE,12,'OP envoyée'!$AF:$AF,"")</f>
        <v>0</v>
      </c>
      <c r="AU4" s="36" t="s">
        <v>1029</v>
      </c>
      <c r="AV4" s="35">
        <f>(COUNTIFS('OP envoyée'!$F:$F,"GB",'OP envoyée'!$AE:$AE,12))</f>
        <v>0</v>
      </c>
      <c r="AW4" s="46" t="e">
        <f t="shared" ref="AW4:AW18" si="11">AT4/AV4</f>
        <v>#DIV/0!</v>
      </c>
      <c r="AX4" s="22"/>
      <c r="AY4" s="35">
        <f>COUNTIFS('OP envoyée'!$F:$F,"GB",'OP envoyée'!$AF:$AF,"")</f>
        <v>2</v>
      </c>
      <c r="AZ4" s="43" t="s">
        <v>1029</v>
      </c>
      <c r="BA4" s="35">
        <f>(COUNTIFS('OP envoyée'!$F:$F,"GB"))</f>
        <v>3</v>
      </c>
      <c r="BB4" s="46">
        <f t="shared" ref="BB4:BB18" si="12">AY4/BA4</f>
        <v>0.66666666666666663</v>
      </c>
    </row>
    <row r="5" spans="1:54" ht="16.5" x14ac:dyDescent="0.25">
      <c r="A5" s="28" t="s">
        <v>30</v>
      </c>
      <c r="B5" s="35">
        <f>COUNTIFS('OP envoyée'!$F:$F,"JLB",'OP envoyée'!$AE:$AE,1,'OP envoyée'!$AF:$AF,"")</f>
        <v>7</v>
      </c>
      <c r="C5" s="36" t="s">
        <v>1029</v>
      </c>
      <c r="D5" s="35">
        <f>(COUNTIFS('OP envoyée'!$F:$F,"JLB",'OP envoyée'!$AE:$AE,1))</f>
        <v>8</v>
      </c>
      <c r="E5" s="46">
        <f t="shared" si="0"/>
        <v>0.875</v>
      </c>
      <c r="F5" s="35">
        <f>COUNTIFS('OP envoyée'!$F:$F,"JLB",'OP envoyée'!$AE:$AE,2,'OP envoyée'!$AF:$AF,"")</f>
        <v>13</v>
      </c>
      <c r="G5" s="36" t="s">
        <v>1029</v>
      </c>
      <c r="H5" s="35">
        <f>(COUNTIFS('OP envoyée'!$F:$F,"JLB",'OP envoyée'!$AE:$AE,2))</f>
        <v>17</v>
      </c>
      <c r="I5" s="46">
        <f t="shared" si="1"/>
        <v>0.76470588235294112</v>
      </c>
      <c r="J5" s="35">
        <f>COUNTIFS('OP envoyée'!$F:$F,"JLB",'OP envoyée'!$AE:$AE,3,'OP envoyée'!$AF:$AF,"")</f>
        <v>14</v>
      </c>
      <c r="K5" s="36" t="s">
        <v>1029</v>
      </c>
      <c r="L5" s="35">
        <f>(COUNTIFS('OP envoyée'!$F:$F,"JLB",'OP envoyée'!$AE:$AE,3))</f>
        <v>16</v>
      </c>
      <c r="M5" s="46">
        <f t="shared" si="2"/>
        <v>0.875</v>
      </c>
      <c r="N5" s="35">
        <f>COUNTIFS('OP envoyée'!$F:$F,"JLB",'OP envoyée'!$AE:$AE,4,'OP envoyée'!$AF:$AF,"")</f>
        <v>8</v>
      </c>
      <c r="O5" s="36" t="s">
        <v>1029</v>
      </c>
      <c r="P5" s="35">
        <f>(COUNTIFS('OP envoyée'!$F:$F,"JLB",'OP envoyée'!$AE:$AE,4))</f>
        <v>13</v>
      </c>
      <c r="Q5" s="46">
        <f t="shared" si="3"/>
        <v>0.61538461538461542</v>
      </c>
      <c r="R5" s="35">
        <f>COUNTIFS('OP envoyée'!$F:$F,"JLB",'OP envoyée'!$AE:$AE,5,'OP envoyée'!$AF:$AF,"")</f>
        <v>0</v>
      </c>
      <c r="S5" s="36" t="s">
        <v>1029</v>
      </c>
      <c r="T5" s="35">
        <f>(COUNTIFS('OP envoyée'!$F:$F,"JLB",'OP envoyée'!$AE:$AE,5))</f>
        <v>0</v>
      </c>
      <c r="U5" s="46" t="e">
        <f t="shared" si="4"/>
        <v>#DIV/0!</v>
      </c>
      <c r="V5" s="35">
        <f>COUNTIFS('OP envoyée'!$F:$F,"JLB",'OP envoyée'!$AE:$AE,6,'OP envoyée'!$AF:$AF,"")</f>
        <v>0</v>
      </c>
      <c r="W5" s="36" t="s">
        <v>1029</v>
      </c>
      <c r="X5" s="35">
        <f>(COUNTIFS('OP envoyée'!$F:$F,"JLB",'OP envoyée'!$AE:$AE,6))</f>
        <v>0</v>
      </c>
      <c r="Y5" s="46" t="e">
        <f t="shared" si="5"/>
        <v>#DIV/0!</v>
      </c>
      <c r="Z5" s="35">
        <f>COUNTIFS('OP envoyée'!$F:$F,"JLB",'OP envoyée'!$AE:$AE,7,'OP envoyée'!$AF:$AF,"")</f>
        <v>0</v>
      </c>
      <c r="AA5" s="36" t="s">
        <v>1029</v>
      </c>
      <c r="AB5" s="35">
        <f>(COUNTIFS('OP envoyée'!$F:$F,"JLB",'OP envoyée'!$AE:$AE,7))</f>
        <v>0</v>
      </c>
      <c r="AC5" s="46" t="e">
        <f t="shared" si="6"/>
        <v>#DIV/0!</v>
      </c>
      <c r="AD5" s="35">
        <f>COUNTIFS('OP envoyée'!$F:$F,"JLB",'OP envoyée'!$AE:$AE,8,'OP envoyée'!$AF:$AF,"")</f>
        <v>0</v>
      </c>
      <c r="AE5" s="36" t="s">
        <v>1029</v>
      </c>
      <c r="AF5" s="35">
        <f>(COUNTIFS('OP envoyée'!$F:$F,"JLB",'OP envoyée'!$AE:$AE,8))</f>
        <v>0</v>
      </c>
      <c r="AG5" s="51" t="e">
        <f t="shared" si="7"/>
        <v>#DIV/0!</v>
      </c>
      <c r="AH5" s="35">
        <f>COUNTIFS('OP envoyée'!$F:$F,"JLB",'OP envoyée'!$AE:$AE,9,'OP envoyée'!$AF:$AF,"")</f>
        <v>0</v>
      </c>
      <c r="AI5" s="36" t="s">
        <v>1029</v>
      </c>
      <c r="AJ5" s="35">
        <f>(COUNTIFS('OP envoyée'!$F:$F,"JLB",'OP envoyée'!$AE:$AE,9))</f>
        <v>0</v>
      </c>
      <c r="AK5" s="51" t="e">
        <f t="shared" si="8"/>
        <v>#DIV/0!</v>
      </c>
      <c r="AL5" s="35">
        <f>COUNTIFS('OP envoyée'!$F:$F,"JLB",'OP envoyée'!$AE:$AE,10,'OP envoyée'!$AF:$AF,"")</f>
        <v>0</v>
      </c>
      <c r="AM5" s="36" t="s">
        <v>1029</v>
      </c>
      <c r="AN5" s="35">
        <f>(COUNTIFS('OP envoyée'!$F:$F,"JLB",'OP envoyée'!$AE:$AE,10))</f>
        <v>0</v>
      </c>
      <c r="AO5" s="46" t="e">
        <f t="shared" si="9"/>
        <v>#DIV/0!</v>
      </c>
      <c r="AP5" s="35">
        <f>COUNTIFS('OP envoyée'!$F:$F,"JLB",'OP envoyée'!$AE:$AE,11,'OP envoyée'!$AF:$AF,"")</f>
        <v>0</v>
      </c>
      <c r="AQ5" s="36" t="s">
        <v>1029</v>
      </c>
      <c r="AR5" s="35">
        <f>(COUNTIFS('OP envoyée'!$F:$F,"JLB",'OP envoyée'!$AE:$AE,11))</f>
        <v>0</v>
      </c>
      <c r="AS5" s="46" t="e">
        <f t="shared" si="10"/>
        <v>#DIV/0!</v>
      </c>
      <c r="AT5" s="35">
        <f>COUNTIFS('OP envoyée'!$F:$F,"JLB",'OP envoyée'!$AE:$AE,12,'OP envoyée'!$AF:$AF,"")</f>
        <v>0</v>
      </c>
      <c r="AU5" s="36" t="s">
        <v>1029</v>
      </c>
      <c r="AV5" s="35">
        <f>(COUNTIFS('OP envoyée'!$F:$F,"JLB",'OP envoyée'!$AE:$AE,12))</f>
        <v>0</v>
      </c>
      <c r="AW5" s="46" t="e">
        <f t="shared" si="11"/>
        <v>#DIV/0!</v>
      </c>
      <c r="AX5" s="22"/>
      <c r="AY5" s="35">
        <f>COUNTIFS('OP envoyée'!$F:$F,"JLB",'OP envoyée'!$AF:$AF,"")</f>
        <v>42</v>
      </c>
      <c r="AZ5" s="43" t="s">
        <v>1029</v>
      </c>
      <c r="BA5" s="35">
        <f>(COUNTIFS('OP envoyée'!$F:$F,"JLB"))</f>
        <v>54</v>
      </c>
      <c r="BB5" s="46">
        <f t="shared" si="12"/>
        <v>0.77777777777777779</v>
      </c>
    </row>
    <row r="6" spans="1:54" ht="16.5" x14ac:dyDescent="0.25">
      <c r="A6" s="28" t="s">
        <v>523</v>
      </c>
      <c r="B6" s="35">
        <f>COUNTIFS('OP envoyée'!$F:$F,"LA",'OP envoyée'!$AE:$AE,1,'OP envoyée'!$AF:$AF,"")</f>
        <v>0</v>
      </c>
      <c r="C6" s="36" t="s">
        <v>1029</v>
      </c>
      <c r="D6" s="35">
        <f>(COUNTIFS('OP envoyée'!$F:$F,"LA",'OP envoyée'!$AE:$AE,1))</f>
        <v>0</v>
      </c>
      <c r="E6" s="46" t="e">
        <f t="shared" si="0"/>
        <v>#DIV/0!</v>
      </c>
      <c r="F6" s="35">
        <f>COUNTIFS('OP envoyée'!$F:$F,"LA",'OP envoyée'!$AE:$AE,2,'OP envoyée'!$AF:$AF,"")</f>
        <v>0</v>
      </c>
      <c r="G6" s="36" t="s">
        <v>1029</v>
      </c>
      <c r="H6" s="35">
        <f>(COUNTIFS('OP envoyée'!$F:$F,"LA",'OP envoyée'!$AE:$AE,2))</f>
        <v>0</v>
      </c>
      <c r="I6" s="46" t="e">
        <f t="shared" si="1"/>
        <v>#DIV/0!</v>
      </c>
      <c r="J6" s="35">
        <f>COUNTIFS('OP envoyée'!$F:$F,"LA",'OP envoyée'!$AE:$AE,3,'OP envoyée'!$AF:$AF,"")</f>
        <v>1</v>
      </c>
      <c r="K6" s="36" t="s">
        <v>1029</v>
      </c>
      <c r="L6" s="35">
        <f>(COUNTIFS('OP envoyée'!$F:$F,"LA",'OP envoyée'!$AE:$AE,3))</f>
        <v>1</v>
      </c>
      <c r="M6" s="46">
        <f t="shared" si="2"/>
        <v>1</v>
      </c>
      <c r="N6" s="35">
        <f>COUNTIFS('OP envoyée'!$F:$F,"LA",'OP envoyée'!$AE:$AE,4,'OP envoyée'!$AF:$AF,"")</f>
        <v>0</v>
      </c>
      <c r="O6" s="36" t="s">
        <v>1029</v>
      </c>
      <c r="P6" s="35">
        <f>(COUNTIFS('OP envoyée'!$F:$F,"LA",'OP envoyée'!$AE:$AE,4))</f>
        <v>0</v>
      </c>
      <c r="Q6" s="46" t="e">
        <f t="shared" si="3"/>
        <v>#DIV/0!</v>
      </c>
      <c r="R6" s="35">
        <f>COUNTIFS('OP envoyée'!$F:$F,"LA",'OP envoyée'!$AE:$AE,5,'OP envoyée'!$AF:$AF,"")</f>
        <v>0</v>
      </c>
      <c r="S6" s="36" t="s">
        <v>1029</v>
      </c>
      <c r="T6" s="35">
        <f>(COUNTIFS('OP envoyée'!$F:$F,"LA",'OP envoyée'!$AE:$AE,5))</f>
        <v>0</v>
      </c>
      <c r="U6" s="46" t="e">
        <f t="shared" si="4"/>
        <v>#DIV/0!</v>
      </c>
      <c r="V6" s="35">
        <f>COUNTIFS('OP envoyée'!$F:$F,"LA",'OP envoyée'!$AE:$AE,6,'OP envoyée'!$AF:$AF,"")</f>
        <v>0</v>
      </c>
      <c r="W6" s="36" t="s">
        <v>1029</v>
      </c>
      <c r="X6" s="35">
        <f>(COUNTIFS('OP envoyée'!$F:$F,"LA",'OP envoyée'!$AE:$AE,6))</f>
        <v>0</v>
      </c>
      <c r="Y6" s="46" t="e">
        <f t="shared" si="5"/>
        <v>#DIV/0!</v>
      </c>
      <c r="Z6" s="35">
        <f>COUNTIFS('OP envoyée'!$F:$F,"LA",'OP envoyée'!$AE:$AE,7,'OP envoyée'!$AF:$AF,"")</f>
        <v>0</v>
      </c>
      <c r="AA6" s="36" t="s">
        <v>1029</v>
      </c>
      <c r="AB6" s="35">
        <f>(COUNTIFS('OP envoyée'!$F:$F,"LA",'OP envoyée'!$AE:$AE,7))</f>
        <v>0</v>
      </c>
      <c r="AC6" s="46" t="e">
        <f t="shared" si="6"/>
        <v>#DIV/0!</v>
      </c>
      <c r="AD6" s="35">
        <f>COUNTIFS('OP envoyée'!$F:$F,"LA",'OP envoyée'!$AE:$AE,8,'OP envoyée'!$AF:$AF,"")</f>
        <v>0</v>
      </c>
      <c r="AE6" s="36" t="s">
        <v>1029</v>
      </c>
      <c r="AF6" s="35">
        <f>(COUNTIFS('OP envoyée'!$F:$F,"LA",'OP envoyée'!$AE:$AE,8))</f>
        <v>0</v>
      </c>
      <c r="AG6" s="51" t="e">
        <f t="shared" si="7"/>
        <v>#DIV/0!</v>
      </c>
      <c r="AH6" s="35">
        <f>COUNTIFS('OP envoyée'!$F:$F,"LA",'OP envoyée'!$AE:$AE,9,'OP envoyée'!$AF:$AF,"")</f>
        <v>0</v>
      </c>
      <c r="AI6" s="36" t="s">
        <v>1029</v>
      </c>
      <c r="AJ6" s="35">
        <f>(COUNTIFS('OP envoyée'!$F:$F,"LA",'OP envoyée'!$AE:$AE,9))</f>
        <v>0</v>
      </c>
      <c r="AK6" s="51" t="e">
        <f t="shared" si="8"/>
        <v>#DIV/0!</v>
      </c>
      <c r="AL6" s="35">
        <f>COUNTIFS('OP envoyée'!$F:$F,"LA",'OP envoyée'!$AE:$AE,10,'OP envoyée'!$AF:$AF,"")</f>
        <v>0</v>
      </c>
      <c r="AM6" s="36" t="s">
        <v>1029</v>
      </c>
      <c r="AN6" s="35">
        <f>(COUNTIFS('OP envoyée'!$F:$F,"LA",'OP envoyée'!$AE:$AE,10))</f>
        <v>0</v>
      </c>
      <c r="AO6" s="46" t="e">
        <f t="shared" si="9"/>
        <v>#DIV/0!</v>
      </c>
      <c r="AP6" s="35">
        <f>COUNTIFS('OP envoyée'!$F:$F,"LA",'OP envoyée'!$AE:$AE,11,'OP envoyée'!$AF:$AF,"")</f>
        <v>0</v>
      </c>
      <c r="AQ6" s="36" t="s">
        <v>1029</v>
      </c>
      <c r="AR6" s="35">
        <f>(COUNTIFS('OP envoyée'!$F:$F,"LA",'OP envoyée'!$AE:$AE,11))</f>
        <v>0</v>
      </c>
      <c r="AS6" s="46" t="e">
        <f t="shared" si="10"/>
        <v>#DIV/0!</v>
      </c>
      <c r="AT6" s="35">
        <f>COUNTIFS('OP envoyée'!$F:$F,"LA",'OP envoyée'!$AE:$AE,12,'OP envoyée'!$AF:$AF,"")</f>
        <v>0</v>
      </c>
      <c r="AU6" s="36" t="s">
        <v>1029</v>
      </c>
      <c r="AV6" s="35">
        <f>(COUNTIFS('OP envoyée'!$F:$F,"LA",'OP envoyée'!$AE:$AE,12))</f>
        <v>0</v>
      </c>
      <c r="AW6" s="46" t="e">
        <f t="shared" si="11"/>
        <v>#DIV/0!</v>
      </c>
      <c r="AX6" s="22"/>
      <c r="AY6" s="35">
        <f>COUNTIFS('OP envoyée'!$F:$F,"LA",'OP envoyée'!$AF:$AF,"")</f>
        <v>1</v>
      </c>
      <c r="AZ6" s="43" t="s">
        <v>1029</v>
      </c>
      <c r="BA6" s="35">
        <f>(COUNTIFS('OP envoyée'!$F:$F,"LA"))</f>
        <v>1</v>
      </c>
      <c r="BB6" s="46">
        <f t="shared" si="12"/>
        <v>1</v>
      </c>
    </row>
    <row r="7" spans="1:54" ht="16.5" x14ac:dyDescent="0.25">
      <c r="A7" s="28" t="s">
        <v>66</v>
      </c>
      <c r="B7" s="35">
        <f>COUNTIFS('OP envoyée'!$F:$F,"LV",'OP envoyée'!$AE:$AE,1,'OP envoyée'!$AF:$AF,"")</f>
        <v>1</v>
      </c>
      <c r="C7" s="36" t="s">
        <v>1029</v>
      </c>
      <c r="D7" s="35">
        <f>(COUNTIFS('OP envoyée'!$F:$F,"LV",'OP envoyée'!$AE:$AE,1))</f>
        <v>4</v>
      </c>
      <c r="E7" s="46">
        <f t="shared" si="0"/>
        <v>0.25</v>
      </c>
      <c r="F7" s="35">
        <f>COUNTIFS('OP envoyée'!$F:$F,"LV",'OP envoyée'!$AE:$AE,2,'OP envoyée'!$AF:$AF,"")</f>
        <v>3</v>
      </c>
      <c r="G7" s="36" t="s">
        <v>1029</v>
      </c>
      <c r="H7" s="35">
        <f>(COUNTIFS('OP envoyée'!$F:$F,"LV",'OP envoyée'!$AE:$AE,2))</f>
        <v>3</v>
      </c>
      <c r="I7" s="46">
        <f t="shared" si="1"/>
        <v>1</v>
      </c>
      <c r="J7" s="35">
        <f>COUNTIFS('OP envoyée'!$F:$F,"LV",'OP envoyée'!$AE:$AE,3,'OP envoyée'!$AF:$AF,"")</f>
        <v>5</v>
      </c>
      <c r="K7" s="36" t="s">
        <v>1029</v>
      </c>
      <c r="L7" s="35">
        <f>(COUNTIFS('OP envoyée'!$F:$F,"LV",'OP envoyée'!$AE:$AE,3))</f>
        <v>6</v>
      </c>
      <c r="M7" s="46">
        <f t="shared" si="2"/>
        <v>0.83333333333333337</v>
      </c>
      <c r="N7" s="35">
        <f>COUNTIFS('OP envoyée'!$F:$F,"LV",'OP envoyée'!$AE:$AE,4,'OP envoyée'!$AF:$AF,"")</f>
        <v>0</v>
      </c>
      <c r="O7" s="36" t="s">
        <v>1029</v>
      </c>
      <c r="P7" s="35">
        <f>(COUNTIFS('OP envoyée'!$F:$F,"LV",'OP envoyée'!$AE:$AE,4))</f>
        <v>1</v>
      </c>
      <c r="Q7" s="46">
        <f t="shared" si="3"/>
        <v>0</v>
      </c>
      <c r="R7" s="35">
        <f>COUNTIFS('OP envoyée'!$F:$F,"LV",'OP envoyée'!$AE:$AE,5,'OP envoyée'!$AF:$AF,"")</f>
        <v>0</v>
      </c>
      <c r="S7" s="36" t="s">
        <v>1029</v>
      </c>
      <c r="T7" s="35">
        <f>(COUNTIFS('OP envoyée'!$F:$F,"LV",'OP envoyée'!$AE:$AE,5))</f>
        <v>0</v>
      </c>
      <c r="U7" s="46" t="e">
        <f t="shared" si="4"/>
        <v>#DIV/0!</v>
      </c>
      <c r="V7" s="35">
        <f>COUNTIFS('OP envoyée'!$F:$F,"LV",'OP envoyée'!$AE:$AE,6,'OP envoyée'!$AF:$AF,"")</f>
        <v>0</v>
      </c>
      <c r="W7" s="36" t="s">
        <v>1029</v>
      </c>
      <c r="X7" s="35">
        <f>(COUNTIFS('OP envoyée'!$F:$F,"LV",'OP envoyée'!$AE:$AE,6))</f>
        <v>0</v>
      </c>
      <c r="Y7" s="46" t="e">
        <f t="shared" si="5"/>
        <v>#DIV/0!</v>
      </c>
      <c r="Z7" s="35">
        <f>COUNTIFS('OP envoyée'!$F:$F,"LV",'OP envoyée'!$AE:$AE,7,'OP envoyée'!$AF:$AF,"")</f>
        <v>0</v>
      </c>
      <c r="AA7" s="36" t="s">
        <v>1029</v>
      </c>
      <c r="AB7" s="35">
        <f>(COUNTIFS('OP envoyée'!$F:$F,"LV",'OP envoyée'!$AE:$AE,7))</f>
        <v>0</v>
      </c>
      <c r="AC7" s="46" t="e">
        <f t="shared" si="6"/>
        <v>#DIV/0!</v>
      </c>
      <c r="AD7" s="35">
        <f>COUNTIFS('OP envoyée'!$F:$F,"LV",'OP envoyée'!$AE:$AE,8,'OP envoyée'!$AF:$AF,"")</f>
        <v>0</v>
      </c>
      <c r="AE7" s="36" t="s">
        <v>1029</v>
      </c>
      <c r="AF7" s="35">
        <f>(COUNTIFS('OP envoyée'!$F:$F,"LV",'OP envoyée'!$AE:$AE,8))</f>
        <v>0</v>
      </c>
      <c r="AG7" s="51" t="e">
        <f t="shared" si="7"/>
        <v>#DIV/0!</v>
      </c>
      <c r="AH7" s="35">
        <f>COUNTIFS('OP envoyée'!$F:$F,"LV",'OP envoyée'!$AE:$AE,9,'OP envoyée'!$AF:$AF,"")</f>
        <v>0</v>
      </c>
      <c r="AI7" s="36" t="s">
        <v>1029</v>
      </c>
      <c r="AJ7" s="35">
        <f>(COUNTIFS('OP envoyée'!$F:$F,"LV",'OP envoyée'!$AE:$AE,9))</f>
        <v>0</v>
      </c>
      <c r="AK7" s="51" t="e">
        <f t="shared" si="8"/>
        <v>#DIV/0!</v>
      </c>
      <c r="AL7" s="35">
        <f>COUNTIFS('OP envoyée'!$F:$F,"LV",'OP envoyée'!$AE:$AE,10,'OP envoyée'!$AF:$AF,"")</f>
        <v>0</v>
      </c>
      <c r="AM7" s="36" t="s">
        <v>1029</v>
      </c>
      <c r="AN7" s="35">
        <f>(COUNTIFS('OP envoyée'!$F:$F,"LV",'OP envoyée'!$AE:$AE,10))</f>
        <v>0</v>
      </c>
      <c r="AO7" s="46" t="e">
        <f t="shared" si="9"/>
        <v>#DIV/0!</v>
      </c>
      <c r="AP7" s="35">
        <f>COUNTIFS('OP envoyée'!$F:$F,"LV",'OP envoyée'!$AE:$AE,11,'OP envoyée'!$AF:$AF,"")</f>
        <v>0</v>
      </c>
      <c r="AQ7" s="36" t="s">
        <v>1029</v>
      </c>
      <c r="AR7" s="35">
        <f>(COUNTIFS('OP envoyée'!$F:$F,"LV",'OP envoyée'!$AE:$AE,11))</f>
        <v>0</v>
      </c>
      <c r="AS7" s="46" t="e">
        <f t="shared" si="10"/>
        <v>#DIV/0!</v>
      </c>
      <c r="AT7" s="35">
        <f>COUNTIFS('OP envoyée'!$F:$F,"LV",'OP envoyée'!$AE:$AE,12,'OP envoyée'!$AF:$AF,"")</f>
        <v>0</v>
      </c>
      <c r="AU7" s="36" t="s">
        <v>1029</v>
      </c>
      <c r="AV7" s="35">
        <f>(COUNTIFS('OP envoyée'!$F:$F,"LV",'OP envoyée'!$AE:$AE,12))</f>
        <v>0</v>
      </c>
      <c r="AW7" s="46" t="e">
        <f t="shared" si="11"/>
        <v>#DIV/0!</v>
      </c>
      <c r="AX7" s="22"/>
      <c r="AY7" s="35">
        <f>COUNTIFS('OP envoyée'!$F:$F,"LV",'OP envoyée'!$AF:$AF,"")</f>
        <v>9</v>
      </c>
      <c r="AZ7" s="43" t="s">
        <v>1029</v>
      </c>
      <c r="BA7" s="35">
        <f>(COUNTIFS('OP envoyée'!$F:$F,"LV"))</f>
        <v>14</v>
      </c>
      <c r="BB7" s="46">
        <f t="shared" si="12"/>
        <v>0.6428571428571429</v>
      </c>
    </row>
    <row r="8" spans="1:54" ht="16.5" x14ac:dyDescent="0.25">
      <c r="A8" s="28" t="s">
        <v>80</v>
      </c>
      <c r="B8" s="35">
        <f>COUNTIFS('OP envoyée'!$F:$F,"NB",'OP envoyée'!$AE:$AE,1,'OP envoyée'!$AF:$AF,"")</f>
        <v>0</v>
      </c>
      <c r="C8" s="36" t="s">
        <v>1029</v>
      </c>
      <c r="D8" s="35">
        <f>(COUNTIFS('OP envoyée'!$F:$F,"NB",'OP envoyée'!$AE:$AE,1))</f>
        <v>0</v>
      </c>
      <c r="E8" s="46" t="e">
        <f t="shared" si="0"/>
        <v>#DIV/0!</v>
      </c>
      <c r="F8" s="35">
        <f>COUNTIFS('OP envoyée'!$F:$F,"NB",'OP envoyée'!$AE:$AE,2,'OP envoyée'!$AF:$AF,"")</f>
        <v>0</v>
      </c>
      <c r="G8" s="36" t="s">
        <v>1029</v>
      </c>
      <c r="H8" s="35">
        <f>(COUNTIFS('OP envoyée'!$F:$F,"NB",'OP envoyée'!$AE:$AE,2))</f>
        <v>4</v>
      </c>
      <c r="I8" s="46">
        <f t="shared" si="1"/>
        <v>0</v>
      </c>
      <c r="J8" s="35">
        <f>COUNTIFS('OP envoyée'!$F:$F,"NB",'OP envoyée'!$AE:$AE,3,'OP envoyée'!$AF:$AF,"")</f>
        <v>10</v>
      </c>
      <c r="K8" s="36" t="s">
        <v>1029</v>
      </c>
      <c r="L8" s="35">
        <f>(COUNTIFS('OP envoyée'!$F:$F,"NB",'OP envoyée'!$AE:$AE,3))</f>
        <v>10</v>
      </c>
      <c r="M8" s="46">
        <f t="shared" si="2"/>
        <v>1</v>
      </c>
      <c r="N8" s="35">
        <f>COUNTIFS('OP envoyée'!$F:$F,"NB",'OP envoyée'!$AE:$AE,4,'OP envoyée'!$AF:$AF,"")</f>
        <v>1</v>
      </c>
      <c r="O8" s="36" t="s">
        <v>1029</v>
      </c>
      <c r="P8" s="35">
        <f>(COUNTIFS('OP envoyée'!$F:$F,"NB",'OP envoyée'!$AE:$AE,4))</f>
        <v>2</v>
      </c>
      <c r="Q8" s="46">
        <f t="shared" si="3"/>
        <v>0.5</v>
      </c>
      <c r="R8" s="35">
        <f>COUNTIFS('OP envoyée'!$F:$F,"NB",'OP envoyée'!$AE:$AE,5,'OP envoyée'!$AF:$AF,"")</f>
        <v>0</v>
      </c>
      <c r="S8" s="36" t="s">
        <v>1029</v>
      </c>
      <c r="T8" s="35">
        <f>(COUNTIFS('OP envoyée'!$F:$F,"NB",'OP envoyée'!$AE:$AE,5))</f>
        <v>0</v>
      </c>
      <c r="U8" s="46" t="e">
        <f t="shared" si="4"/>
        <v>#DIV/0!</v>
      </c>
      <c r="V8" s="35">
        <f>COUNTIFS('OP envoyée'!$F:$F,"NB",'OP envoyée'!$AE:$AE,6,'OP envoyée'!$AF:$AF,"")</f>
        <v>0</v>
      </c>
      <c r="W8" s="36" t="s">
        <v>1029</v>
      </c>
      <c r="X8" s="35">
        <f>(COUNTIFS('OP envoyée'!$F:$F,"NB",'OP envoyée'!$AE:$AE,6))</f>
        <v>0</v>
      </c>
      <c r="Y8" s="46" t="e">
        <f t="shared" si="5"/>
        <v>#DIV/0!</v>
      </c>
      <c r="Z8" s="35">
        <f>COUNTIFS('OP envoyée'!$F:$F,"NB",'OP envoyée'!$AE:$AE,7,'OP envoyée'!$AF:$AF,"")</f>
        <v>0</v>
      </c>
      <c r="AA8" s="36" t="s">
        <v>1029</v>
      </c>
      <c r="AB8" s="35">
        <f>(COUNTIFS('OP envoyée'!$F:$F,"NB",'OP envoyée'!$AE:$AE,7))</f>
        <v>0</v>
      </c>
      <c r="AC8" s="46" t="e">
        <f t="shared" si="6"/>
        <v>#DIV/0!</v>
      </c>
      <c r="AD8" s="35">
        <f>COUNTIFS('OP envoyée'!$F:$F,"NB",'OP envoyée'!$AE:$AE,8,'OP envoyée'!$AF:$AF,"")</f>
        <v>0</v>
      </c>
      <c r="AE8" s="36" t="s">
        <v>1029</v>
      </c>
      <c r="AF8" s="35">
        <f>(COUNTIFS('OP envoyée'!$F:$F,"NB",'OP envoyée'!$AE:$AE,8))</f>
        <v>0</v>
      </c>
      <c r="AG8" s="51" t="e">
        <f t="shared" si="7"/>
        <v>#DIV/0!</v>
      </c>
      <c r="AH8" s="35">
        <f>COUNTIFS('OP envoyée'!$F:$F,"NB",'OP envoyée'!$AE:$AE,9,'OP envoyée'!$AF:$AF,"")</f>
        <v>0</v>
      </c>
      <c r="AI8" s="36" t="s">
        <v>1029</v>
      </c>
      <c r="AJ8" s="35">
        <f>(COUNTIFS('OP envoyée'!$F:$F,"NB",'OP envoyée'!$AE:$AE,9))</f>
        <v>0</v>
      </c>
      <c r="AK8" s="51" t="e">
        <f t="shared" si="8"/>
        <v>#DIV/0!</v>
      </c>
      <c r="AL8" s="35">
        <f>COUNTIFS('OP envoyée'!$F:$F,"NB",'OP envoyée'!$AE:$AE,10,'OP envoyée'!$AF:$AF,"")</f>
        <v>0</v>
      </c>
      <c r="AM8" s="36" t="s">
        <v>1029</v>
      </c>
      <c r="AN8" s="35">
        <f>(COUNTIFS('OP envoyée'!$F:$F,"NB",'OP envoyée'!$AE:$AE,10))</f>
        <v>0</v>
      </c>
      <c r="AO8" s="46" t="e">
        <f t="shared" si="9"/>
        <v>#DIV/0!</v>
      </c>
      <c r="AP8" s="35">
        <f>COUNTIFS('OP envoyée'!$F:$F,"NB",'OP envoyée'!$AE:$AE,11,'OP envoyée'!$AF:$AF,"")</f>
        <v>0</v>
      </c>
      <c r="AQ8" s="36" t="s">
        <v>1029</v>
      </c>
      <c r="AR8" s="35">
        <f>(COUNTIFS('OP envoyée'!$F:$F,"NB",'OP envoyée'!$AE:$AE,11))</f>
        <v>0</v>
      </c>
      <c r="AS8" s="46" t="e">
        <f t="shared" si="10"/>
        <v>#DIV/0!</v>
      </c>
      <c r="AT8" s="35">
        <f>COUNTIFS('OP envoyée'!$F:$F,"NB",'OP envoyée'!$AE:$AE,12,'OP envoyée'!$AF:$AF,"")</f>
        <v>0</v>
      </c>
      <c r="AU8" s="36" t="s">
        <v>1029</v>
      </c>
      <c r="AV8" s="35">
        <f>(COUNTIFS('OP envoyée'!$F:$F,"NB",'OP envoyée'!$AE:$AE,12))</f>
        <v>0</v>
      </c>
      <c r="AW8" s="46" t="e">
        <f t="shared" si="11"/>
        <v>#DIV/0!</v>
      </c>
      <c r="AX8" s="22"/>
      <c r="AY8" s="35">
        <f>COUNTIFS('OP envoyée'!$F:$F,"NB",'OP envoyée'!$AF:$AF,"")</f>
        <v>11</v>
      </c>
      <c r="AZ8" s="43" t="s">
        <v>1029</v>
      </c>
      <c r="BA8" s="35">
        <f>(COUNTIFS('OP envoyée'!$F:$F,"NB"))</f>
        <v>16</v>
      </c>
      <c r="BB8" s="46">
        <f t="shared" si="12"/>
        <v>0.6875</v>
      </c>
    </row>
    <row r="9" spans="1:54" ht="16.5" x14ac:dyDescent="0.25">
      <c r="A9" s="28" t="s">
        <v>138</v>
      </c>
      <c r="B9" s="35">
        <f>COUNTIFS('OP envoyée'!$F:$F,"NG",'OP envoyée'!$AE:$AE,1,'OP envoyée'!$AF:$AF,"")</f>
        <v>6</v>
      </c>
      <c r="C9" s="36" t="s">
        <v>1029</v>
      </c>
      <c r="D9" s="35">
        <f>(COUNTIFS('OP envoyée'!$F:$F,"NG",'OP envoyée'!$AE:$AE,1))</f>
        <v>6</v>
      </c>
      <c r="E9" s="46">
        <f t="shared" si="0"/>
        <v>1</v>
      </c>
      <c r="F9" s="35">
        <f>COUNTIFS('OP envoyée'!$F:$F,"NG",'OP envoyée'!$AE:$AE,2,'OP envoyée'!$AF:$AF,"")</f>
        <v>22</v>
      </c>
      <c r="G9" s="36" t="s">
        <v>1029</v>
      </c>
      <c r="H9" s="35">
        <f>(COUNTIFS('OP envoyée'!$F:$F,"NG",'OP envoyée'!$AE:$AE,2))</f>
        <v>22</v>
      </c>
      <c r="I9" s="46">
        <f t="shared" si="1"/>
        <v>1</v>
      </c>
      <c r="J9" s="35">
        <f>COUNTIFS('OP envoyée'!$F:$F,"NG",'OP envoyée'!$AE:$AE,3,'OP envoyée'!$AF:$AF,"")</f>
        <v>16</v>
      </c>
      <c r="K9" s="36" t="s">
        <v>1029</v>
      </c>
      <c r="L9" s="35">
        <f>(COUNTIFS('OP envoyée'!$F:$F,"NG",'OP envoyée'!$AE:$AE,3))</f>
        <v>16</v>
      </c>
      <c r="M9" s="46">
        <f t="shared" si="2"/>
        <v>1</v>
      </c>
      <c r="N9" s="35">
        <f>COUNTIFS('OP envoyée'!$F:$F,"NG",'OP envoyée'!$AE:$AE,4,'OP envoyée'!$AF:$AF,"")</f>
        <v>8</v>
      </c>
      <c r="O9" s="36" t="s">
        <v>1029</v>
      </c>
      <c r="P9" s="35">
        <f>(COUNTIFS('OP envoyée'!$F:$F,"NG",'OP envoyée'!$AE:$AE,4))</f>
        <v>9</v>
      </c>
      <c r="Q9" s="46">
        <f t="shared" si="3"/>
        <v>0.88888888888888884</v>
      </c>
      <c r="R9" s="35">
        <f>COUNTIFS('OP envoyée'!$F:$F,"NG",'OP envoyée'!$AE:$AE,5,'OP envoyée'!$AF:$AF,"")</f>
        <v>0</v>
      </c>
      <c r="S9" s="36" t="s">
        <v>1029</v>
      </c>
      <c r="T9" s="35">
        <f>(COUNTIFS('OP envoyée'!$F:$F,"NG",'OP envoyée'!$AE:$AE,5))</f>
        <v>0</v>
      </c>
      <c r="U9" s="46" t="e">
        <f t="shared" si="4"/>
        <v>#DIV/0!</v>
      </c>
      <c r="V9" s="35">
        <f>COUNTIFS('OP envoyée'!$F:$F,"NG",'OP envoyée'!$AE:$AE,6,'OP envoyée'!$AF:$AF,"")</f>
        <v>0</v>
      </c>
      <c r="W9" s="36" t="s">
        <v>1029</v>
      </c>
      <c r="X9" s="35">
        <f>(COUNTIFS('OP envoyée'!$F:$F,"NG",'OP envoyée'!$AE:$AE,6))</f>
        <v>0</v>
      </c>
      <c r="Y9" s="46" t="e">
        <f t="shared" si="5"/>
        <v>#DIV/0!</v>
      </c>
      <c r="Z9" s="35">
        <f>COUNTIFS('OP envoyée'!$F:$F,"NG",'OP envoyée'!$AE:$AE,7,'OP envoyée'!$AF:$AF,"")</f>
        <v>0</v>
      </c>
      <c r="AA9" s="36" t="s">
        <v>1029</v>
      </c>
      <c r="AB9" s="35">
        <f>(COUNTIFS('OP envoyée'!$F:$F,"NG",'OP envoyée'!$AE:$AE,7))</f>
        <v>0</v>
      </c>
      <c r="AC9" s="46" t="e">
        <f t="shared" si="6"/>
        <v>#DIV/0!</v>
      </c>
      <c r="AD9" s="35">
        <f>COUNTIFS('OP envoyée'!$F:$F,"NG",'OP envoyée'!$AE:$AE,8,'OP envoyée'!$AF:$AF,"")</f>
        <v>0</v>
      </c>
      <c r="AE9" s="36" t="s">
        <v>1029</v>
      </c>
      <c r="AF9" s="35">
        <f>(COUNTIFS('OP envoyée'!$F:$F,"NG",'OP envoyée'!$AE:$AE,8))</f>
        <v>0</v>
      </c>
      <c r="AG9" s="51" t="e">
        <f t="shared" si="7"/>
        <v>#DIV/0!</v>
      </c>
      <c r="AH9" s="35">
        <f>COUNTIFS('OP envoyée'!$F:$F,"NG",'OP envoyée'!$AE:$AE,9,'OP envoyée'!$AF:$AF,"")</f>
        <v>0</v>
      </c>
      <c r="AI9" s="36" t="s">
        <v>1029</v>
      </c>
      <c r="AJ9" s="35">
        <f>(COUNTIFS('OP envoyée'!$F:$F,"NG",'OP envoyée'!$AE:$AE,9))</f>
        <v>0</v>
      </c>
      <c r="AK9" s="51" t="e">
        <f t="shared" si="8"/>
        <v>#DIV/0!</v>
      </c>
      <c r="AL9" s="35">
        <f>COUNTIFS('OP envoyée'!$F:$F,"NG",'OP envoyée'!$AE:$AE,10,'OP envoyée'!$AF:$AF,"")</f>
        <v>0</v>
      </c>
      <c r="AM9" s="36" t="s">
        <v>1029</v>
      </c>
      <c r="AN9" s="35">
        <f>(COUNTIFS('OP envoyée'!$F:$F,"NG",'OP envoyée'!$AE:$AE,10))</f>
        <v>0</v>
      </c>
      <c r="AO9" s="46" t="e">
        <f t="shared" si="9"/>
        <v>#DIV/0!</v>
      </c>
      <c r="AP9" s="35">
        <f>COUNTIFS('OP envoyée'!$F:$F,"NG",'OP envoyée'!$AE:$AE,11,'OP envoyée'!$AF:$AF,"")</f>
        <v>0</v>
      </c>
      <c r="AQ9" s="36" t="s">
        <v>1029</v>
      </c>
      <c r="AR9" s="35">
        <f>(COUNTIFS('OP envoyée'!$F:$F,"NG",'OP envoyée'!$AE:$AE,11))</f>
        <v>0</v>
      </c>
      <c r="AS9" s="46" t="e">
        <f t="shared" si="10"/>
        <v>#DIV/0!</v>
      </c>
      <c r="AT9" s="35">
        <f>COUNTIFS('OP envoyée'!$F:$F,"NG",'OP envoyée'!$AE:$AE,12,'OP envoyée'!$AF:$AF,"")</f>
        <v>0</v>
      </c>
      <c r="AU9" s="36" t="s">
        <v>1029</v>
      </c>
      <c r="AV9" s="35">
        <f>(COUNTIFS('OP envoyée'!$F:$F,"NG",'OP envoyée'!$AE:$AE,12))</f>
        <v>0</v>
      </c>
      <c r="AW9" s="46" t="e">
        <f t="shared" si="11"/>
        <v>#DIV/0!</v>
      </c>
      <c r="AX9" s="22"/>
      <c r="AY9" s="35">
        <f>COUNTIFS('OP envoyée'!$F:$F,"NG",'OP envoyée'!$AF:$AF,"")</f>
        <v>52</v>
      </c>
      <c r="AZ9" s="43" t="s">
        <v>1029</v>
      </c>
      <c r="BA9" s="35">
        <f>(COUNTIFS('OP envoyée'!$F:$F,"NG"))</f>
        <v>53</v>
      </c>
      <c r="BB9" s="46">
        <f t="shared" si="12"/>
        <v>0.98113207547169812</v>
      </c>
    </row>
    <row r="10" spans="1:54" ht="16.5" x14ac:dyDescent="0.25">
      <c r="A10" s="28" t="s">
        <v>740</v>
      </c>
      <c r="B10" s="35">
        <f>COUNTIFS('OP envoyée'!$F:$F,"PB",'OP envoyée'!$AE:$AE,1,'OP envoyée'!$AF:$AF,"")</f>
        <v>0</v>
      </c>
      <c r="C10" s="36"/>
      <c r="D10" s="35">
        <f>(COUNTIFS('OP envoyée'!$F:$F,"PB",'OP envoyée'!$AE:$AE,1))</f>
        <v>0</v>
      </c>
      <c r="E10" s="46" t="e">
        <f>B10/D10</f>
        <v>#DIV/0!</v>
      </c>
      <c r="F10" s="35">
        <f>COUNTIFS('OP envoyée'!$F:$F,"PB",'OP envoyée'!$AE:$AE,2,'OP envoyée'!$AF:$AF,"")</f>
        <v>0</v>
      </c>
      <c r="G10" s="36"/>
      <c r="H10" s="35">
        <f>(COUNTIFS('OP envoyée'!$F:$F,"PB",'OP envoyée'!$AE:$AE,2))</f>
        <v>0</v>
      </c>
      <c r="I10" s="46" t="e">
        <f t="shared" si="1"/>
        <v>#DIV/0!</v>
      </c>
      <c r="J10" s="35">
        <f>COUNTIFS('OP envoyée'!$F:$F,"PB",'OP envoyée'!$AE:$AE,3,'OP envoyée'!$AF:$AF,"")</f>
        <v>0</v>
      </c>
      <c r="K10" s="36" t="s">
        <v>1029</v>
      </c>
      <c r="L10" s="35">
        <f>(COUNTIFS('OP envoyée'!$F:$F,"PB",'OP envoyée'!$AE:$AE,3))</f>
        <v>0</v>
      </c>
      <c r="M10" s="46" t="e">
        <f t="shared" si="2"/>
        <v>#DIV/0!</v>
      </c>
      <c r="N10" s="35">
        <f>COUNTIFS('OP envoyée'!$F:$F,"PB",'OP envoyée'!$AE:$AE,4,'OP envoyée'!$AF:$AF,"")</f>
        <v>0</v>
      </c>
      <c r="O10" s="36" t="s">
        <v>1029</v>
      </c>
      <c r="P10" s="35">
        <f>(COUNTIFS('OP envoyée'!$F:$F,"PB",'OP envoyée'!$AE:$AE,4))</f>
        <v>0</v>
      </c>
      <c r="Q10" s="46" t="e">
        <f t="shared" si="3"/>
        <v>#DIV/0!</v>
      </c>
      <c r="R10" s="35">
        <f>COUNTIFS('OP envoyée'!$F:$F,"PB",'OP envoyée'!$AE:$AE,5,'OP envoyée'!$AF:$AF,"")</f>
        <v>0</v>
      </c>
      <c r="S10" s="36" t="s">
        <v>1029</v>
      </c>
      <c r="T10" s="35">
        <f>(COUNTIFS('OP envoyée'!$F:$F,"PB",'OP envoyée'!$AE:$AE,5))</f>
        <v>0</v>
      </c>
      <c r="U10" s="46" t="e">
        <f t="shared" si="4"/>
        <v>#DIV/0!</v>
      </c>
      <c r="V10" s="35">
        <f>COUNTIFS('OP envoyée'!$F:$F,"PB",'OP envoyée'!$AE:$AE,6,'OP envoyée'!$AF:$AF,"")</f>
        <v>0</v>
      </c>
      <c r="W10" s="36" t="s">
        <v>1029</v>
      </c>
      <c r="X10" s="35">
        <f>(COUNTIFS('OP envoyée'!$F:$F,"PB",'OP envoyée'!$AE:$AE,6))</f>
        <v>0</v>
      </c>
      <c r="Y10" s="46" t="e">
        <f t="shared" si="5"/>
        <v>#DIV/0!</v>
      </c>
      <c r="Z10" s="35">
        <f>COUNTIFS('OP envoyée'!$F:$F,"PB",'OP envoyée'!$AE:$AE,7,'OP envoyée'!$AF:$AF,"")</f>
        <v>0</v>
      </c>
      <c r="AA10" s="36" t="s">
        <v>1029</v>
      </c>
      <c r="AB10" s="35">
        <f>(COUNTIFS('OP envoyée'!$F:$F,"PB",'OP envoyée'!$AE:$AE,7))</f>
        <v>0</v>
      </c>
      <c r="AC10" s="46" t="e">
        <f t="shared" si="6"/>
        <v>#DIV/0!</v>
      </c>
      <c r="AD10" s="35">
        <f>COUNTIFS('OP envoyée'!$F:$F,"PB",'OP envoyée'!$AE:$AE,8,'OP envoyée'!$AF:$AF,"")</f>
        <v>0</v>
      </c>
      <c r="AE10" s="36" t="s">
        <v>1029</v>
      </c>
      <c r="AF10" s="35">
        <f>(COUNTIFS('OP envoyée'!$F:$F,"PB",'OP envoyée'!$AE:$AE,8))</f>
        <v>0</v>
      </c>
      <c r="AG10" s="51" t="e">
        <f t="shared" si="7"/>
        <v>#DIV/0!</v>
      </c>
      <c r="AH10" s="35">
        <f>COUNTIFS('OP envoyée'!$F:$F,"PB",'OP envoyée'!$AE:$AE,9,'OP envoyée'!$AF:$AF,"")</f>
        <v>0</v>
      </c>
      <c r="AI10" s="36" t="s">
        <v>1029</v>
      </c>
      <c r="AJ10" s="35">
        <f>(COUNTIFS('OP envoyée'!$F:$F,"PB",'OP envoyée'!$AE:$AE,9))</f>
        <v>0</v>
      </c>
      <c r="AK10" s="51" t="e">
        <f t="shared" si="8"/>
        <v>#DIV/0!</v>
      </c>
      <c r="AL10" s="35">
        <f>COUNTIFS('OP envoyée'!$F:$F,"PB",'OP envoyée'!$AE:$AE,10,'OP envoyée'!$AF:$AF,"")</f>
        <v>0</v>
      </c>
      <c r="AM10" s="36" t="s">
        <v>1029</v>
      </c>
      <c r="AN10" s="35">
        <f>(COUNTIFS('OP envoyée'!$F:$F,"PB",'OP envoyée'!$AE:$AE,10))</f>
        <v>0</v>
      </c>
      <c r="AO10" s="46" t="e">
        <f t="shared" si="9"/>
        <v>#DIV/0!</v>
      </c>
      <c r="AP10" s="35">
        <f>COUNTIFS('OP envoyée'!$F:$F,"PB",'OP envoyée'!$AE:$AE,11,'OP envoyée'!$AF:$AF,"")</f>
        <v>0</v>
      </c>
      <c r="AQ10" s="36" t="s">
        <v>1029</v>
      </c>
      <c r="AR10" s="35">
        <f>(COUNTIFS('OP envoyée'!$F:$F,"PB",'OP envoyée'!$AE:$AE,11))</f>
        <v>0</v>
      </c>
      <c r="AS10" s="46" t="e">
        <f t="shared" si="10"/>
        <v>#DIV/0!</v>
      </c>
      <c r="AT10" s="35">
        <f>COUNTIFS('OP envoyée'!$F:$F,"PB",'OP envoyée'!$AE:$AE,12,'OP envoyée'!$AF:$AF,"")</f>
        <v>0</v>
      </c>
      <c r="AU10" s="36" t="s">
        <v>1029</v>
      </c>
      <c r="AV10" s="35">
        <f>(COUNTIFS('OP envoyée'!$F:$F,"PB",'OP envoyée'!$AE:$AE,12))</f>
        <v>0</v>
      </c>
      <c r="AW10" s="46" t="e">
        <f t="shared" si="11"/>
        <v>#DIV/0!</v>
      </c>
      <c r="AX10" s="22"/>
      <c r="AY10" s="35">
        <f>COUNTIFS('OP envoyée'!$F:$F,"PB",'OP envoyée'!$AF:$AF,"")</f>
        <v>0</v>
      </c>
      <c r="AZ10" s="43" t="s">
        <v>1029</v>
      </c>
      <c r="BA10" s="35">
        <f>(COUNTIFS('OP envoyée'!$F:$F,"PB"))</f>
        <v>0</v>
      </c>
      <c r="BB10" s="46" t="e">
        <f t="shared" si="12"/>
        <v>#DIV/0!</v>
      </c>
    </row>
    <row r="11" spans="1:54" ht="16.5" x14ac:dyDescent="0.25">
      <c r="A11" s="28" t="s">
        <v>308</v>
      </c>
      <c r="B11" s="35">
        <f>COUNTIFS('OP envoyée'!$F:$F,"RM",'OP envoyée'!$AE:$AE,1,'OP envoyée'!$AF:$AF,"")</f>
        <v>0</v>
      </c>
      <c r="C11" s="36" t="s">
        <v>1029</v>
      </c>
      <c r="D11" s="35">
        <f>(COUNTIFS('OP envoyée'!$F:$F,"RM",'OP envoyée'!AG:AG,1))</f>
        <v>0</v>
      </c>
      <c r="E11" s="46" t="e">
        <f t="shared" si="0"/>
        <v>#DIV/0!</v>
      </c>
      <c r="F11" s="35">
        <f>COUNTIFS('OP envoyée'!$F:$F,"RM",'OP envoyée'!$AE:$AE,2,'OP envoyée'!$AF:$AF,"")</f>
        <v>2</v>
      </c>
      <c r="G11" s="36" t="s">
        <v>1029</v>
      </c>
      <c r="H11" s="35">
        <f>(COUNTIFS('OP envoyée'!$F:$F,"RM",'OP envoyée'!$AE:$AE,2))</f>
        <v>2</v>
      </c>
      <c r="I11" s="46">
        <f t="shared" si="1"/>
        <v>1</v>
      </c>
      <c r="J11" s="35">
        <f>COUNTIFS('OP envoyée'!$F:$F,"RM",'OP envoyée'!$AE:$AE,3,'OP envoyée'!$AF:$AF,"")</f>
        <v>2</v>
      </c>
      <c r="K11" s="36" t="s">
        <v>1029</v>
      </c>
      <c r="L11" s="35">
        <f>(COUNTIFS('OP envoyée'!$F:$F,"RM",'OP envoyée'!$AE:$AE,3))</f>
        <v>2</v>
      </c>
      <c r="M11" s="46">
        <f t="shared" si="2"/>
        <v>1</v>
      </c>
      <c r="N11" s="35">
        <f>COUNTIFS('OP envoyée'!$F:$F,"RM",'OP envoyée'!$AE:$AE,4,'OP envoyée'!$AF:$AF,"")</f>
        <v>0</v>
      </c>
      <c r="O11" s="36" t="s">
        <v>1029</v>
      </c>
      <c r="P11" s="35">
        <f>(COUNTIFS('OP envoyée'!$F:$F,"RM",'OP envoyée'!$AE:$AE,4))</f>
        <v>0</v>
      </c>
      <c r="Q11" s="46" t="e">
        <f t="shared" si="3"/>
        <v>#DIV/0!</v>
      </c>
      <c r="R11" s="35">
        <f>COUNTIFS('OP envoyée'!$F:$F,"RM",'OP envoyée'!$AE:$AE,5,'OP envoyée'!$AF:$AF,"")</f>
        <v>0</v>
      </c>
      <c r="S11" s="36" t="s">
        <v>1029</v>
      </c>
      <c r="T11" s="35">
        <f>(COUNTIFS('OP envoyée'!$F:$F,"RM",'OP envoyée'!$AE:$AE,5))</f>
        <v>0</v>
      </c>
      <c r="U11" s="46" t="e">
        <f t="shared" si="4"/>
        <v>#DIV/0!</v>
      </c>
      <c r="V11" s="35">
        <f>COUNTIFS('OP envoyée'!$F:$F,"RM",'OP envoyée'!$AE:$AE,6,'OP envoyée'!$AF:$AF,"")</f>
        <v>0</v>
      </c>
      <c r="W11" s="36" t="s">
        <v>1029</v>
      </c>
      <c r="X11" s="35">
        <f>(COUNTIFS('OP envoyée'!$F:$F,"RM",'OP envoyée'!$AE:$AE,6))</f>
        <v>0</v>
      </c>
      <c r="Y11" s="46" t="e">
        <f t="shared" si="5"/>
        <v>#DIV/0!</v>
      </c>
      <c r="Z11" s="35">
        <f>COUNTIFS('OP envoyée'!$F:$F,"RM",'OP envoyée'!$AE:$AE,7,'OP envoyée'!$AF:$AF,"")</f>
        <v>0</v>
      </c>
      <c r="AA11" s="36" t="s">
        <v>1029</v>
      </c>
      <c r="AB11" s="35">
        <f>(COUNTIFS('OP envoyée'!$F:$F,"RM",'OP envoyée'!$AE:$AE,7))</f>
        <v>0</v>
      </c>
      <c r="AC11" s="46" t="e">
        <f t="shared" si="6"/>
        <v>#DIV/0!</v>
      </c>
      <c r="AD11" s="35">
        <f>COUNTIFS('OP envoyée'!$F:$F,"RM",'OP envoyée'!$AE:$AE,8,'OP envoyée'!$AF:$AF,"")</f>
        <v>0</v>
      </c>
      <c r="AE11" s="36" t="s">
        <v>1029</v>
      </c>
      <c r="AF11" s="35">
        <f>(COUNTIFS('OP envoyée'!$F:$F,"RM",'OP envoyée'!$AE:$AE,8))</f>
        <v>0</v>
      </c>
      <c r="AG11" s="51" t="e">
        <f t="shared" si="7"/>
        <v>#DIV/0!</v>
      </c>
      <c r="AH11" s="35">
        <f>COUNTIFS('OP envoyée'!$F:$F,"RM",'OP envoyée'!$AE:$AE,9,'OP envoyée'!$AF:$AF,"")</f>
        <v>0</v>
      </c>
      <c r="AI11" s="36" t="s">
        <v>1029</v>
      </c>
      <c r="AJ11" s="35">
        <f>(COUNTIFS('OP envoyée'!$F:$F,"RM",'OP envoyée'!$AE:$AE,9))</f>
        <v>0</v>
      </c>
      <c r="AK11" s="51" t="e">
        <f t="shared" si="8"/>
        <v>#DIV/0!</v>
      </c>
      <c r="AL11" s="35">
        <f>COUNTIFS('OP envoyée'!$F:$F,"RM",'OP envoyée'!$AE:$AE,10,'OP envoyée'!$AF:$AF,"")</f>
        <v>0</v>
      </c>
      <c r="AM11" s="36" t="s">
        <v>1029</v>
      </c>
      <c r="AN11" s="35">
        <f>(COUNTIFS('OP envoyée'!$F:$F,"RM",'OP envoyée'!$AE:$AE,10))</f>
        <v>0</v>
      </c>
      <c r="AO11" s="46" t="e">
        <f t="shared" si="9"/>
        <v>#DIV/0!</v>
      </c>
      <c r="AP11" s="35">
        <f>COUNTIFS('OP envoyée'!$F:$F,"RM",'OP envoyée'!$AE:$AE,11,'OP envoyée'!$AF:$AF,"")</f>
        <v>0</v>
      </c>
      <c r="AQ11" s="36" t="s">
        <v>1029</v>
      </c>
      <c r="AR11" s="35">
        <f>(COUNTIFS('OP envoyée'!$F:$F,"RM",'OP envoyée'!$AE:$AE,11))</f>
        <v>0</v>
      </c>
      <c r="AS11" s="46" t="e">
        <f t="shared" si="10"/>
        <v>#DIV/0!</v>
      </c>
      <c r="AT11" s="35">
        <f>COUNTIFS('OP envoyée'!$F:$F,"RM",'OP envoyée'!$AE:$AE,12,'OP envoyée'!$AF:$AF,"")</f>
        <v>0</v>
      </c>
      <c r="AU11" s="36" t="s">
        <v>1029</v>
      </c>
      <c r="AV11" s="35">
        <f>(COUNTIFS('OP envoyée'!$F:$F,"RM",'OP envoyée'!$AE:$AE,12))</f>
        <v>0</v>
      </c>
      <c r="AW11" s="46" t="e">
        <f t="shared" si="11"/>
        <v>#DIV/0!</v>
      </c>
      <c r="AX11" s="48"/>
      <c r="AY11" s="35">
        <f>COUNTIFS('OP envoyée'!$F:$F,"RM",'OP envoyée'!$AF:$AF,"")</f>
        <v>4</v>
      </c>
      <c r="AZ11" s="43" t="s">
        <v>1029</v>
      </c>
      <c r="BA11" s="35">
        <f>(COUNTIFS('OP envoyée'!$F:$F,"RM",'OP envoyée'!$AE:$AE,12))</f>
        <v>0</v>
      </c>
      <c r="BB11" s="46" t="e">
        <f t="shared" si="12"/>
        <v>#DIV/0!</v>
      </c>
    </row>
    <row r="12" spans="1:54" ht="16.5" x14ac:dyDescent="0.25">
      <c r="A12" s="28" t="s">
        <v>364</v>
      </c>
      <c r="B12" s="35">
        <f>COUNTIFS('OP envoyée'!$F:$F,"RT",'OP envoyée'!$AE:$AE,1,'OP envoyée'!$AF:$AF,"")</f>
        <v>0</v>
      </c>
      <c r="C12" s="36" t="s">
        <v>1029</v>
      </c>
      <c r="D12" s="35">
        <f>(COUNTIFS('OP envoyée'!$F:$F,"RT",'OP envoyée'!$AE:$AE,1))</f>
        <v>0</v>
      </c>
      <c r="E12" s="46" t="e">
        <f t="shared" si="0"/>
        <v>#DIV/0!</v>
      </c>
      <c r="F12" s="35">
        <f>COUNTIFS('OP envoyée'!$F:$F,"RT",'OP envoyée'!$AE:$AE,2,'OP envoyée'!$AF:$AF,"")</f>
        <v>1</v>
      </c>
      <c r="G12" s="36" t="s">
        <v>1029</v>
      </c>
      <c r="H12" s="35">
        <f>(COUNTIFS('OP envoyée'!$F:$F,"RT",'OP envoyée'!$AE:$AE,2))</f>
        <v>2</v>
      </c>
      <c r="I12" s="46">
        <f t="shared" si="1"/>
        <v>0.5</v>
      </c>
      <c r="J12" s="35">
        <f>COUNTIFS('OP envoyée'!$F:$F,"RT",'OP envoyée'!$AE:$AE,3,'OP envoyée'!$AF:$AF,"")</f>
        <v>4</v>
      </c>
      <c r="K12" s="36" t="s">
        <v>1029</v>
      </c>
      <c r="L12" s="35">
        <f>(COUNTIFS('OP envoyée'!$F:$F,"RT",'OP envoyée'!$AE:$AE,3))</f>
        <v>4</v>
      </c>
      <c r="M12" s="46">
        <f t="shared" si="2"/>
        <v>1</v>
      </c>
      <c r="N12" s="35">
        <f>COUNTIFS('OP envoyée'!$F:$F,"RT",'OP envoyée'!$AE:$AE,4,'OP envoyée'!$AF:$AF,"")</f>
        <v>0</v>
      </c>
      <c r="O12" s="36" t="s">
        <v>1029</v>
      </c>
      <c r="P12" s="35">
        <f>(COUNTIFS('OP envoyée'!$F:$F,"RT",'OP envoyée'!$AE:$AE,4))</f>
        <v>0</v>
      </c>
      <c r="Q12" s="46" t="e">
        <f t="shared" si="3"/>
        <v>#DIV/0!</v>
      </c>
      <c r="R12" s="35">
        <f>COUNTIFS('OP envoyée'!$F:$F,"RT",'OP envoyée'!$AE:$AE,5,'OP envoyée'!$AF:$AF,"")</f>
        <v>0</v>
      </c>
      <c r="S12" s="36" t="s">
        <v>1029</v>
      </c>
      <c r="T12" s="35">
        <f>(COUNTIFS('OP envoyée'!$F:$F,"RT",'OP envoyée'!$AE:$AE,5))</f>
        <v>0</v>
      </c>
      <c r="U12" s="46" t="e">
        <f t="shared" si="4"/>
        <v>#DIV/0!</v>
      </c>
      <c r="V12" s="35">
        <f>COUNTIFS('OP envoyée'!$F:$F,"RT",'OP envoyée'!$AE:$AE,6,'OP envoyée'!$AF:$AF,"")</f>
        <v>0</v>
      </c>
      <c r="W12" s="36" t="s">
        <v>1029</v>
      </c>
      <c r="X12" s="35">
        <f>(COUNTIFS('OP envoyée'!$F:$F,"RT",'OP envoyée'!$AE:$AE,6))</f>
        <v>0</v>
      </c>
      <c r="Y12" s="46" t="e">
        <f t="shared" si="5"/>
        <v>#DIV/0!</v>
      </c>
      <c r="Z12" s="35">
        <f>COUNTIFS('OP envoyée'!$F:$F,"RT",'OP envoyée'!$AE:$AE,7,'OP envoyée'!$AF:$AF,"")</f>
        <v>0</v>
      </c>
      <c r="AA12" s="36" t="s">
        <v>1029</v>
      </c>
      <c r="AB12" s="35">
        <f>(COUNTIFS('OP envoyée'!$F:$F,"RT",'OP envoyée'!$AE:$AE,7))</f>
        <v>0</v>
      </c>
      <c r="AC12" s="46" t="e">
        <f t="shared" si="6"/>
        <v>#DIV/0!</v>
      </c>
      <c r="AD12" s="35">
        <f>COUNTIFS('OP envoyée'!$F:$F,"RT",'OP envoyée'!$AE:$AE,8,'OP envoyée'!$AF:$AF,"")</f>
        <v>0</v>
      </c>
      <c r="AE12" s="36" t="s">
        <v>1029</v>
      </c>
      <c r="AF12" s="35">
        <f>(COUNTIFS('OP envoyée'!$F:$F,"RT",'OP envoyée'!$AE:$AE,8))</f>
        <v>0</v>
      </c>
      <c r="AG12" s="51" t="e">
        <f t="shared" si="7"/>
        <v>#DIV/0!</v>
      </c>
      <c r="AH12" s="35">
        <f>COUNTIFS('OP envoyée'!$F:$F,"RT",'OP envoyée'!$AE:$AE,9,'OP envoyée'!$AF:$AF,"")</f>
        <v>0</v>
      </c>
      <c r="AI12" s="36" t="s">
        <v>1029</v>
      </c>
      <c r="AJ12" s="35">
        <f>(COUNTIFS('OP envoyée'!$F:$F,"RT",'OP envoyée'!$AE:$AE,9))</f>
        <v>0</v>
      </c>
      <c r="AK12" s="51" t="e">
        <f t="shared" si="8"/>
        <v>#DIV/0!</v>
      </c>
      <c r="AL12" s="35">
        <f>COUNTIFS('OP envoyée'!$F:$F,"RT",'OP envoyée'!$AE:$AE,10,'OP envoyée'!$AF:$AF,"")</f>
        <v>0</v>
      </c>
      <c r="AM12" s="36" t="s">
        <v>1029</v>
      </c>
      <c r="AN12" s="35">
        <f>(COUNTIFS('OP envoyée'!$F:$F,"RT",'OP envoyée'!$AE:$AE,10))</f>
        <v>0</v>
      </c>
      <c r="AO12" s="46" t="e">
        <f t="shared" si="9"/>
        <v>#DIV/0!</v>
      </c>
      <c r="AP12" s="35">
        <f>COUNTIFS('OP envoyée'!$F:$F,"RT",'OP envoyée'!$AE:$AE,11,'OP envoyée'!$AF:$AF,"")</f>
        <v>0</v>
      </c>
      <c r="AQ12" s="36" t="s">
        <v>1029</v>
      </c>
      <c r="AR12" s="35">
        <f>(COUNTIFS('OP envoyée'!$F:$F,"RT",'OP envoyée'!$AE:$AE,11))</f>
        <v>0</v>
      </c>
      <c r="AS12" s="46" t="e">
        <f t="shared" si="10"/>
        <v>#DIV/0!</v>
      </c>
      <c r="AT12" s="35">
        <f>COUNTIFS('OP envoyée'!$F:$F,"RT",'OP envoyée'!$AE:$AE,12,'OP envoyée'!$AF:$AF,"")</f>
        <v>0</v>
      </c>
      <c r="AU12" s="36" t="s">
        <v>1029</v>
      </c>
      <c r="AV12" s="35">
        <f>(COUNTIFS('OP envoyée'!$F:$F,"RT",'OP envoyée'!$AE:$AE,12))</f>
        <v>0</v>
      </c>
      <c r="AW12" s="46" t="e">
        <f t="shared" si="11"/>
        <v>#DIV/0!</v>
      </c>
      <c r="AX12" s="22"/>
      <c r="AY12" s="35">
        <f>COUNTIFS('OP envoyée'!$F:$F,"RT",'OP envoyée'!$AF:$AF,"")</f>
        <v>5</v>
      </c>
      <c r="AZ12" s="43" t="s">
        <v>1029</v>
      </c>
      <c r="BA12" s="35">
        <f>(COUNTIFS('OP envoyée'!$F:$F,"RT"))</f>
        <v>6</v>
      </c>
      <c r="BB12" s="46">
        <f t="shared" si="12"/>
        <v>0.83333333333333337</v>
      </c>
    </row>
    <row r="13" spans="1:54" ht="16.5" x14ac:dyDescent="0.25">
      <c r="A13" s="28" t="s">
        <v>38</v>
      </c>
      <c r="B13" s="35">
        <f>COUNTIFS('OP envoyée'!$F:$F,"RV",'OP envoyée'!$AE:$AE,1,'OP envoyée'!$AF:$AF,"")</f>
        <v>14</v>
      </c>
      <c r="C13" s="36" t="s">
        <v>1029</v>
      </c>
      <c r="D13" s="35">
        <f>(COUNTIFS('OP envoyée'!$F:$F,"RV",'OP envoyée'!$AE:$AE,1))</f>
        <v>14</v>
      </c>
      <c r="E13" s="46">
        <f t="shared" si="0"/>
        <v>1</v>
      </c>
      <c r="F13" s="35">
        <f>COUNTIFS('OP envoyée'!$F:$F,"RV",'OP envoyée'!$AE:$AE,2,'OP envoyée'!$AF:$AF,"")</f>
        <v>13</v>
      </c>
      <c r="G13" s="36" t="s">
        <v>1029</v>
      </c>
      <c r="H13" s="35">
        <f>(COUNTIFS('OP envoyée'!$F:$F,"RV",'OP envoyée'!$AE:$AE,2))</f>
        <v>13</v>
      </c>
      <c r="I13" s="46">
        <f t="shared" si="1"/>
        <v>1</v>
      </c>
      <c r="J13" s="35">
        <f>COUNTIFS('OP envoyée'!$F:$F,"RV",'OP envoyée'!$AE:$AE,3,'OP envoyée'!$AF:$AF,"")</f>
        <v>14</v>
      </c>
      <c r="K13" s="36" t="s">
        <v>1029</v>
      </c>
      <c r="L13" s="35">
        <f>(COUNTIFS('OP envoyée'!$F:$F,"RV",'OP envoyée'!$AE:$AE,3))</f>
        <v>14</v>
      </c>
      <c r="M13" s="46">
        <f t="shared" si="2"/>
        <v>1</v>
      </c>
      <c r="N13" s="35">
        <f>COUNTIFS('OP envoyée'!$F:$F,"RV",'OP envoyée'!$AE:$AE,4,'OP envoyée'!$AF:$AF,"")</f>
        <v>8</v>
      </c>
      <c r="O13" s="36" t="s">
        <v>1029</v>
      </c>
      <c r="P13" s="35">
        <f>(COUNTIFS('OP envoyée'!$F:$F,"RV",'OP envoyée'!$AE:$AE,4))</f>
        <v>8</v>
      </c>
      <c r="Q13" s="46">
        <f t="shared" si="3"/>
        <v>1</v>
      </c>
      <c r="R13" s="35">
        <f>COUNTIFS('OP envoyée'!$F:$F,"RV",'OP envoyée'!$AE:$AE,5,'OP envoyée'!$AF:$AF,"")</f>
        <v>0</v>
      </c>
      <c r="S13" s="36" t="s">
        <v>1029</v>
      </c>
      <c r="T13" s="35">
        <f>(COUNTIFS('OP envoyée'!$F:$F,"RV",'OP envoyée'!$AE:$AE,5))</f>
        <v>0</v>
      </c>
      <c r="U13" s="46" t="e">
        <f t="shared" si="4"/>
        <v>#DIV/0!</v>
      </c>
      <c r="V13" s="35">
        <f>COUNTIFS('OP envoyée'!$F:$F,"RV",'OP envoyée'!$AE:$AE,6,'OP envoyée'!$AF:$AF,"")</f>
        <v>0</v>
      </c>
      <c r="W13" s="36" t="s">
        <v>1029</v>
      </c>
      <c r="X13" s="35">
        <f>(COUNTIFS('OP envoyée'!$F:$F,"RV",'OP envoyée'!$AE:$AE,6))</f>
        <v>0</v>
      </c>
      <c r="Y13" s="46" t="e">
        <f t="shared" si="5"/>
        <v>#DIV/0!</v>
      </c>
      <c r="Z13" s="35">
        <f>COUNTIFS('OP envoyée'!$F:$F,"RV",'OP envoyée'!$AE:$AE,7,'OP envoyée'!$AF:$AF,"")</f>
        <v>0</v>
      </c>
      <c r="AA13" s="36" t="s">
        <v>1029</v>
      </c>
      <c r="AB13" s="35">
        <f>(COUNTIFS('OP envoyée'!$F:$F,"RV",'OP envoyée'!$AE:$AE,7))</f>
        <v>0</v>
      </c>
      <c r="AC13" s="46" t="e">
        <f t="shared" si="6"/>
        <v>#DIV/0!</v>
      </c>
      <c r="AD13" s="35">
        <f>COUNTIFS('OP envoyée'!$F:$F,"RV",'OP envoyée'!$AE:$AE,8,'OP envoyée'!$AF:$AF,"")</f>
        <v>0</v>
      </c>
      <c r="AE13" s="36" t="s">
        <v>1029</v>
      </c>
      <c r="AF13" s="35">
        <f>(COUNTIFS('OP envoyée'!$F:$F,"RV",'OP envoyée'!$AE:$AE,8))</f>
        <v>0</v>
      </c>
      <c r="AG13" s="51" t="e">
        <f t="shared" si="7"/>
        <v>#DIV/0!</v>
      </c>
      <c r="AH13" s="35">
        <f>COUNTIFS('OP envoyée'!$F:$F,"RV",'OP envoyée'!$AE:$AE,9,'OP envoyée'!$AF:$AF,"")</f>
        <v>0</v>
      </c>
      <c r="AI13" s="36" t="s">
        <v>1029</v>
      </c>
      <c r="AJ13" s="35">
        <f>(COUNTIFS('OP envoyée'!$F:$F,"RV",'OP envoyée'!$AE:$AE,9))</f>
        <v>0</v>
      </c>
      <c r="AK13" s="51" t="e">
        <f t="shared" si="8"/>
        <v>#DIV/0!</v>
      </c>
      <c r="AL13" s="35">
        <f>COUNTIFS('OP envoyée'!$F:$F,"RV",'OP envoyée'!$AE:$AE,10,'OP envoyée'!$AF:$AF,"")</f>
        <v>0</v>
      </c>
      <c r="AM13" s="36" t="s">
        <v>1029</v>
      </c>
      <c r="AN13" s="35">
        <f>(COUNTIFS('OP envoyée'!$F:$F,"RV",'OP envoyée'!$AE:$AE,10))</f>
        <v>0</v>
      </c>
      <c r="AO13" s="46" t="e">
        <f t="shared" si="9"/>
        <v>#DIV/0!</v>
      </c>
      <c r="AP13" s="35">
        <f>COUNTIFS('OP envoyée'!$F:$F,"RV",'OP envoyée'!$AE:$AE,11,'OP envoyée'!$AF:$AF,"")</f>
        <v>0</v>
      </c>
      <c r="AQ13" s="36" t="s">
        <v>1029</v>
      </c>
      <c r="AR13" s="35">
        <f>(COUNTIFS('OP envoyée'!$F:$F,"RV",'OP envoyée'!$AE:$AE,11))</f>
        <v>0</v>
      </c>
      <c r="AS13" s="46" t="e">
        <f t="shared" si="10"/>
        <v>#DIV/0!</v>
      </c>
      <c r="AT13" s="35">
        <f>COUNTIFS('OP envoyée'!$F:$F,"RV",'OP envoyée'!$AE:$AE,12,'OP envoyée'!$AF:$AF,"")</f>
        <v>0</v>
      </c>
      <c r="AU13" s="36" t="s">
        <v>1029</v>
      </c>
      <c r="AV13" s="35">
        <f>(COUNTIFS('OP envoyée'!$F:$F,"RV",'OP envoyée'!$AE:$AE,12))</f>
        <v>0</v>
      </c>
      <c r="AW13" s="46" t="e">
        <f t="shared" si="11"/>
        <v>#DIV/0!</v>
      </c>
      <c r="AX13" s="22"/>
      <c r="AY13" s="35">
        <f>COUNTIFS('OP envoyée'!$F:$F,"RV",'OP envoyée'!$AF:$AF,"")</f>
        <v>49</v>
      </c>
      <c r="AZ13" s="43" t="s">
        <v>1029</v>
      </c>
      <c r="BA13" s="35">
        <f>(COUNTIFS('OP envoyée'!$F:$F,"RV"))</f>
        <v>49</v>
      </c>
      <c r="BB13" s="46">
        <f t="shared" si="12"/>
        <v>1</v>
      </c>
    </row>
    <row r="14" spans="1:54" ht="16.5" x14ac:dyDescent="0.25">
      <c r="A14" s="28" t="s">
        <v>59</v>
      </c>
      <c r="B14" s="35">
        <f>COUNTIFS('OP envoyée'!$F:$F,"STB",'OP envoyée'!$AE:$AE,1,'OP envoyée'!$AF:$AF,"")</f>
        <v>2</v>
      </c>
      <c r="C14" s="36" t="s">
        <v>1029</v>
      </c>
      <c r="D14" s="35">
        <f>(COUNTIFS('OP envoyée'!$F:$F,"STB",'OP envoyée'!$AE:$AE,1))</f>
        <v>4</v>
      </c>
      <c r="E14" s="46">
        <f t="shared" si="0"/>
        <v>0.5</v>
      </c>
      <c r="F14" s="35">
        <f>COUNTIFS('OP envoyée'!$F:$F,"STB",'OP envoyée'!$AE:$AE,2,'OP envoyée'!$AF:$AF,"")</f>
        <v>8</v>
      </c>
      <c r="G14" s="36" t="s">
        <v>1029</v>
      </c>
      <c r="H14" s="35">
        <f>(COUNTIFS('OP envoyée'!$F:$F,"STB",'OP envoyée'!$AE:$AE,2))</f>
        <v>12</v>
      </c>
      <c r="I14" s="46">
        <f t="shared" si="1"/>
        <v>0.66666666666666663</v>
      </c>
      <c r="J14" s="35">
        <f>COUNTIFS('OP envoyée'!$F:$F,"STB",'OP envoyée'!$AE:$AE,3,'OP envoyée'!$AF:$AF,"")</f>
        <v>4</v>
      </c>
      <c r="K14" s="36" t="s">
        <v>1029</v>
      </c>
      <c r="L14" s="35">
        <f>(COUNTIFS('OP envoyée'!$F:$F,"STB",'OP envoyée'!$AE:$AE,3))</f>
        <v>7</v>
      </c>
      <c r="M14" s="46">
        <f t="shared" si="2"/>
        <v>0.5714285714285714</v>
      </c>
      <c r="N14" s="35">
        <f>COUNTIFS('OP envoyée'!$F:$F,"STB",'OP envoyée'!$AE:$AE,4,'OP envoyée'!$AF:$AF,"")</f>
        <v>9</v>
      </c>
      <c r="O14" s="36" t="s">
        <v>1029</v>
      </c>
      <c r="P14" s="35">
        <f>(COUNTIFS('OP envoyée'!$F:$F,"STB",'OP envoyée'!$AE:$AE,4))</f>
        <v>10</v>
      </c>
      <c r="Q14" s="46">
        <f t="shared" si="3"/>
        <v>0.9</v>
      </c>
      <c r="R14" s="35">
        <f>COUNTIFS('OP envoyée'!$F:$F,"STB",'OP envoyée'!$AE:$AE,5,'OP envoyée'!$AF:$AF,"")</f>
        <v>0</v>
      </c>
      <c r="S14" s="36" t="s">
        <v>1029</v>
      </c>
      <c r="T14" s="35">
        <f>(COUNTIFS('OP envoyée'!$F:$F,"STB",'OP envoyée'!$AE:$AE,5))</f>
        <v>0</v>
      </c>
      <c r="U14" s="46" t="e">
        <f t="shared" si="4"/>
        <v>#DIV/0!</v>
      </c>
      <c r="V14" s="35">
        <f>COUNTIFS('OP envoyée'!$F:$F,"STB",'OP envoyée'!$AE:$AE,6,'OP envoyée'!$AF:$AF,"")</f>
        <v>0</v>
      </c>
      <c r="W14" s="36" t="s">
        <v>1029</v>
      </c>
      <c r="X14" s="35">
        <f>(COUNTIFS('OP envoyée'!$F:$F,"STB",'OP envoyée'!$AE:$AE,6))</f>
        <v>0</v>
      </c>
      <c r="Y14" s="46" t="e">
        <f t="shared" si="5"/>
        <v>#DIV/0!</v>
      </c>
      <c r="Z14" s="35">
        <f>COUNTIFS('OP envoyée'!$F:$F,"STB",'OP envoyée'!$AE:$AE,7,'OP envoyée'!$AF:$AF,"")</f>
        <v>0</v>
      </c>
      <c r="AA14" s="36" t="s">
        <v>1029</v>
      </c>
      <c r="AB14" s="35">
        <f>(COUNTIFS('OP envoyée'!$F:$F,"STB",'OP envoyée'!$AE:$AE,7))</f>
        <v>0</v>
      </c>
      <c r="AC14" s="46" t="e">
        <f t="shared" si="6"/>
        <v>#DIV/0!</v>
      </c>
      <c r="AD14" s="35">
        <f>COUNTIFS('OP envoyée'!$F:$F,"STB",'OP envoyée'!$AE:$AE,8,'OP envoyée'!$AF:$AF,"")</f>
        <v>0</v>
      </c>
      <c r="AE14" s="36" t="s">
        <v>1029</v>
      </c>
      <c r="AF14" s="35">
        <f>(COUNTIFS('OP envoyée'!$F:$F,"STB",'OP envoyée'!$AE:$AE,8))</f>
        <v>0</v>
      </c>
      <c r="AG14" s="51" t="e">
        <f t="shared" si="7"/>
        <v>#DIV/0!</v>
      </c>
      <c r="AH14" s="35">
        <f>COUNTIFS('OP envoyée'!$F:$F,"STB",'OP envoyée'!$AE:$AE,9,'OP envoyée'!$AF:$AF,"")</f>
        <v>0</v>
      </c>
      <c r="AI14" s="36" t="s">
        <v>1029</v>
      </c>
      <c r="AJ14" s="35">
        <f>(COUNTIFS('OP envoyée'!$F:$F,"STB",'OP envoyée'!$AE:$AE,9))</f>
        <v>0</v>
      </c>
      <c r="AK14" s="51" t="e">
        <f t="shared" si="8"/>
        <v>#DIV/0!</v>
      </c>
      <c r="AL14" s="35">
        <f>COUNTIFS('OP envoyée'!$F:$F,"STB",'OP envoyée'!$AE:$AE,10,'OP envoyée'!$AF:$AF,"")</f>
        <v>0</v>
      </c>
      <c r="AM14" s="36" t="s">
        <v>1029</v>
      </c>
      <c r="AN14" s="35">
        <f>(COUNTIFS('OP envoyée'!$F:$F,"STB",'OP envoyée'!$AE:$AE,10))</f>
        <v>0</v>
      </c>
      <c r="AO14" s="46" t="e">
        <f t="shared" si="9"/>
        <v>#DIV/0!</v>
      </c>
      <c r="AP14" s="35">
        <f>COUNTIFS('OP envoyée'!$F:$F,"STB",'OP envoyée'!$AE:$AE,11,'OP envoyée'!$AF:$AF,"")</f>
        <v>0</v>
      </c>
      <c r="AQ14" s="36" t="s">
        <v>1029</v>
      </c>
      <c r="AR14" s="35">
        <f>(COUNTIFS('OP envoyée'!$F:$F,"STB",'OP envoyée'!$AE:$AE,11))</f>
        <v>0</v>
      </c>
      <c r="AS14" s="46" t="e">
        <f t="shared" si="10"/>
        <v>#DIV/0!</v>
      </c>
      <c r="AT14" s="35">
        <f>COUNTIFS('OP envoyée'!$F:$F,"STB",'OP envoyée'!$AE:$AE,12,'OP envoyée'!$AF:$AF,"")</f>
        <v>0</v>
      </c>
      <c r="AU14" s="36" t="s">
        <v>1029</v>
      </c>
      <c r="AV14" s="35">
        <f>(COUNTIFS('OP envoyée'!$F:$F,"STB",'OP envoyée'!$AE:$AE,12))</f>
        <v>0</v>
      </c>
      <c r="AW14" s="46" t="e">
        <f t="shared" si="11"/>
        <v>#DIV/0!</v>
      </c>
      <c r="AX14" s="22"/>
      <c r="AY14" s="35">
        <f>COUNTIFS('OP envoyée'!$F:$F,"STB",'OP envoyée'!$AF:$AF,"")</f>
        <v>23</v>
      </c>
      <c r="AZ14" s="43" t="s">
        <v>1029</v>
      </c>
      <c r="BA14" s="35">
        <f>(COUNTIFS('OP envoyée'!$F:$F,"STB"))</f>
        <v>33</v>
      </c>
      <c r="BB14" s="46">
        <f t="shared" si="12"/>
        <v>0.69696969696969702</v>
      </c>
    </row>
    <row r="15" spans="1:54" ht="16.5" x14ac:dyDescent="0.25">
      <c r="A15" s="28" t="s">
        <v>87</v>
      </c>
      <c r="B15" s="35">
        <f>COUNTIFS('OP envoyée'!$F:$F,"VDP",'OP envoyée'!$AE:$AE,1,'OP envoyée'!$AF:$AF,"")</f>
        <v>1</v>
      </c>
      <c r="C15" s="36" t="s">
        <v>1029</v>
      </c>
      <c r="D15" s="35">
        <f>(COUNTIFS('OP envoyée'!$F:$F,"VDP",'OP envoyée'!$AE:$AE,1))</f>
        <v>1</v>
      </c>
      <c r="E15" s="46">
        <f t="shared" si="0"/>
        <v>1</v>
      </c>
      <c r="F15" s="35">
        <f>COUNTIFS('OP envoyée'!$F:$F,"VDP",'OP envoyée'!$AE:$AE,2,'OP envoyée'!$AF:$AF,"")</f>
        <v>1</v>
      </c>
      <c r="G15" s="36" t="s">
        <v>1029</v>
      </c>
      <c r="H15" s="35">
        <f>(COUNTIFS('OP envoyée'!$F:$F,"VDP",'OP envoyée'!$AE:$AE,2))</f>
        <v>2</v>
      </c>
      <c r="I15" s="46">
        <f t="shared" si="1"/>
        <v>0.5</v>
      </c>
      <c r="J15" s="35">
        <f>COUNTIFS('OP envoyée'!$F:$F,"VDP",'OP envoyée'!$AE:$AE,3,'OP envoyée'!$AF:$AF,"")</f>
        <v>4</v>
      </c>
      <c r="K15" s="36" t="s">
        <v>1029</v>
      </c>
      <c r="L15" s="35">
        <f>(COUNTIFS('OP envoyée'!$F:$F,"VDP",'OP envoyée'!$AE:$AE,3))</f>
        <v>4</v>
      </c>
      <c r="M15" s="46">
        <f t="shared" si="2"/>
        <v>1</v>
      </c>
      <c r="N15" s="35">
        <f>COUNTIFS('OP envoyée'!$F:$F,"VDP",'OP envoyée'!$AE:$AE,4,'OP envoyée'!$AF:$AF,"")</f>
        <v>3</v>
      </c>
      <c r="O15" s="36" t="s">
        <v>1029</v>
      </c>
      <c r="P15" s="35">
        <f>(COUNTIFS('OP envoyée'!$F:$F,"VDP",'OP envoyée'!$AE:$AE,4))</f>
        <v>3</v>
      </c>
      <c r="Q15" s="46">
        <f t="shared" si="3"/>
        <v>1</v>
      </c>
      <c r="R15" s="35">
        <f>COUNTIFS('OP envoyée'!$F:$F,"VDP",'OP envoyée'!$AE:$AE,5,'OP envoyée'!$AF:$AF,"")</f>
        <v>0</v>
      </c>
      <c r="S15" s="36" t="s">
        <v>1029</v>
      </c>
      <c r="T15" s="35">
        <f>(COUNTIFS('OP envoyée'!$F:$F,"VDP",'OP envoyée'!$AE:$AE,5))</f>
        <v>0</v>
      </c>
      <c r="U15" s="46" t="e">
        <f t="shared" si="4"/>
        <v>#DIV/0!</v>
      </c>
      <c r="V15" s="35">
        <f>COUNTIFS('OP envoyée'!$F:$F,"VDP",'OP envoyée'!$AE:$AE,6,'OP envoyée'!$AF:$AF,"")</f>
        <v>0</v>
      </c>
      <c r="W15" s="36" t="s">
        <v>1029</v>
      </c>
      <c r="X15" s="35">
        <f>(COUNTIFS('OP envoyée'!$F:$F,"VDP",'OP envoyée'!$AE:$AE,6))</f>
        <v>0</v>
      </c>
      <c r="Y15" s="46" t="e">
        <f t="shared" si="5"/>
        <v>#DIV/0!</v>
      </c>
      <c r="Z15" s="35">
        <f>COUNTIFS('OP envoyée'!$F:$F,"VDP",'OP envoyée'!$AE:$AE,7,'OP envoyée'!$AF:$AF,"")</f>
        <v>0</v>
      </c>
      <c r="AA15" s="36" t="s">
        <v>1029</v>
      </c>
      <c r="AB15" s="35">
        <f>(COUNTIFS('OP envoyée'!$F:$F,"VDP",'OP envoyée'!$AE:$AE,7))</f>
        <v>0</v>
      </c>
      <c r="AC15" s="46" t="e">
        <f t="shared" si="6"/>
        <v>#DIV/0!</v>
      </c>
      <c r="AD15" s="35">
        <f>COUNTIFS('OP envoyée'!$F:$F,"VDP",'OP envoyée'!$AE:$AE,8,'OP envoyée'!$AF:$AF,"")</f>
        <v>0</v>
      </c>
      <c r="AE15" s="36" t="s">
        <v>1029</v>
      </c>
      <c r="AF15" s="35">
        <f>(COUNTIFS('OP envoyée'!$F:$F,"VDP",'OP envoyée'!$AE:$AE,8))</f>
        <v>0</v>
      </c>
      <c r="AG15" s="51" t="e">
        <f t="shared" si="7"/>
        <v>#DIV/0!</v>
      </c>
      <c r="AH15" s="35">
        <f>COUNTIFS('OP envoyée'!$F:$F,"VDP",'OP envoyée'!$AE:$AE,9,'OP envoyée'!$AF:$AF,"")</f>
        <v>0</v>
      </c>
      <c r="AI15" s="36" t="s">
        <v>1029</v>
      </c>
      <c r="AJ15" s="35">
        <f>(COUNTIFS('OP envoyée'!$F:$F,"VDP",'OP envoyée'!$AE:$AE,9))</f>
        <v>0</v>
      </c>
      <c r="AK15" s="51" t="e">
        <f t="shared" si="8"/>
        <v>#DIV/0!</v>
      </c>
      <c r="AL15" s="35">
        <f>COUNTIFS('OP envoyée'!$F:$F,"VDP",'OP envoyée'!$AE:$AE,10,'OP envoyée'!$AF:$AF,"")</f>
        <v>0</v>
      </c>
      <c r="AM15" s="36" t="s">
        <v>1029</v>
      </c>
      <c r="AN15" s="35">
        <f>(COUNTIFS('OP envoyée'!$F:$F,"VDP",'OP envoyée'!$AE:$AE,10))</f>
        <v>0</v>
      </c>
      <c r="AO15" s="46" t="e">
        <f t="shared" si="9"/>
        <v>#DIV/0!</v>
      </c>
      <c r="AP15" s="35">
        <f>COUNTIFS('OP envoyée'!$F:$F,"VDP",'OP envoyée'!$AE:$AE,11,'OP envoyée'!$AF:$AF,"")</f>
        <v>0</v>
      </c>
      <c r="AQ15" s="36" t="s">
        <v>1029</v>
      </c>
      <c r="AR15" s="35">
        <f>(COUNTIFS('OP envoyée'!$F:$F,"VDP",'OP envoyée'!$AE:$AE,11))</f>
        <v>0</v>
      </c>
      <c r="AS15" s="46" t="e">
        <f t="shared" si="10"/>
        <v>#DIV/0!</v>
      </c>
      <c r="AT15" s="35">
        <f>COUNTIFS('OP envoyée'!$F:$F,"VDP",'OP envoyée'!$AE:$AE,12,'OP envoyée'!$AF:$AF,"")</f>
        <v>0</v>
      </c>
      <c r="AU15" s="36" t="s">
        <v>1029</v>
      </c>
      <c r="AV15" s="35">
        <f>(COUNTIFS('OP envoyée'!$F:$F,"VDP",'OP envoyée'!$AE:$AE,12))</f>
        <v>0</v>
      </c>
      <c r="AW15" s="46" t="e">
        <f t="shared" si="11"/>
        <v>#DIV/0!</v>
      </c>
      <c r="AX15" s="22"/>
      <c r="AY15" s="35">
        <f>COUNTIFS('OP envoyée'!$F:$F,"VDP",'OP envoyée'!$AF:$AF,"")</f>
        <v>9</v>
      </c>
      <c r="AZ15" s="43" t="s">
        <v>1029</v>
      </c>
      <c r="BA15" s="35">
        <f>(COUNTIFS('OP envoyée'!$F:$F,"VDP"))</f>
        <v>10</v>
      </c>
      <c r="BB15" s="46">
        <f t="shared" si="12"/>
        <v>0.9</v>
      </c>
    </row>
    <row r="16" spans="1:54" ht="16.5" x14ac:dyDescent="0.25">
      <c r="A16" s="29" t="s">
        <v>1030</v>
      </c>
      <c r="B16" s="35">
        <f>COUNTIFS('OP envoyée'!$F:$F,"YS",'OP envoyée'!$AE:$AE,1,'OP envoyée'!$AF:$AF,"")</f>
        <v>0</v>
      </c>
      <c r="C16" s="36" t="s">
        <v>1029</v>
      </c>
      <c r="D16" s="35">
        <f>(COUNTIFS('OP envoyée'!$F:$F,"YS",'OP envoyée'!$AE:$AE,1))</f>
        <v>0</v>
      </c>
      <c r="E16" s="46" t="e">
        <f t="shared" si="0"/>
        <v>#DIV/0!</v>
      </c>
      <c r="F16" s="35">
        <f>COUNTIFS('OP envoyée'!$F:$F,"YS",'OP envoyée'!$AE:$AE,2,'OP envoyée'!$AF:$AF,"")</f>
        <v>0</v>
      </c>
      <c r="G16" s="36" t="s">
        <v>1029</v>
      </c>
      <c r="H16" s="35">
        <f>(COUNTIFS('OP envoyée'!$F:$F,"YS",'OP envoyée'!$AE:$AE,2))</f>
        <v>0</v>
      </c>
      <c r="I16" s="46" t="e">
        <f t="shared" si="1"/>
        <v>#DIV/0!</v>
      </c>
      <c r="J16" s="35">
        <f>COUNTIFS('OP envoyée'!$F:$F,"YS",'OP envoyée'!$AE:$AE,3,'OP envoyée'!$AF:$AF,"")</f>
        <v>0</v>
      </c>
      <c r="K16" s="36" t="s">
        <v>1029</v>
      </c>
      <c r="L16" s="35">
        <f>(COUNTIFS('OP envoyée'!$F:$F,"YS",'OP envoyée'!$AE:$AE,3))</f>
        <v>0</v>
      </c>
      <c r="M16" s="46" t="e">
        <f t="shared" si="2"/>
        <v>#DIV/0!</v>
      </c>
      <c r="N16" s="35">
        <f>COUNTIFS('OP envoyée'!$F:$F,"YS",'OP envoyée'!$AE:$AE,4,'OP envoyée'!$AF:$AF,"")</f>
        <v>0</v>
      </c>
      <c r="O16" s="36" t="s">
        <v>1029</v>
      </c>
      <c r="P16" s="35">
        <f>(COUNTIFS('OP envoyée'!$F:$F,"YS",'OP envoyée'!$AE:$AE,4))</f>
        <v>0</v>
      </c>
      <c r="Q16" s="46" t="e">
        <f t="shared" si="3"/>
        <v>#DIV/0!</v>
      </c>
      <c r="R16" s="35">
        <f>COUNTIFS('OP envoyée'!$F:$F,"YS",'OP envoyée'!$AE:$AE,5,'OP envoyée'!$AF:$AF,"")</f>
        <v>0</v>
      </c>
      <c r="S16" s="36" t="s">
        <v>1029</v>
      </c>
      <c r="T16" s="35">
        <f>(COUNTIFS('OP envoyée'!$F:$F,"YS",'OP envoyée'!$AE:$AE,5))</f>
        <v>0</v>
      </c>
      <c r="U16" s="46" t="e">
        <f t="shared" si="4"/>
        <v>#DIV/0!</v>
      </c>
      <c r="V16" s="35">
        <f>COUNTIFS('OP envoyée'!$F:$F,"YS",'OP envoyée'!$AE:$AE,6,'OP envoyée'!$AF:$AF,"")</f>
        <v>0</v>
      </c>
      <c r="W16" s="36" t="s">
        <v>1029</v>
      </c>
      <c r="X16" s="35">
        <f>(COUNTIFS('OP envoyée'!$F:$F,"YS",'OP envoyée'!$AE:$AE,6))</f>
        <v>0</v>
      </c>
      <c r="Y16" s="46" t="e">
        <f t="shared" si="5"/>
        <v>#DIV/0!</v>
      </c>
      <c r="Z16" s="35">
        <f>COUNTIFS('OP envoyée'!$F:$F,"YS",'OP envoyée'!$AE:$AE,7,'OP envoyée'!$AF:$AF,"")</f>
        <v>0</v>
      </c>
      <c r="AA16" s="36" t="s">
        <v>1029</v>
      </c>
      <c r="AB16" s="35">
        <f>(COUNTIFS('OP envoyée'!$F:$F,"YS",'OP envoyée'!$AE:$AE,7))</f>
        <v>0</v>
      </c>
      <c r="AC16" s="46" t="e">
        <f t="shared" si="6"/>
        <v>#DIV/0!</v>
      </c>
      <c r="AD16" s="35">
        <f>COUNTIFS('OP envoyée'!$F:$F,"YS",'OP envoyée'!$AE:$AE,8,'OP envoyée'!$AF:$AF,"")</f>
        <v>0</v>
      </c>
      <c r="AE16" s="36" t="s">
        <v>1029</v>
      </c>
      <c r="AF16" s="35">
        <f>(COUNTIFS('OP envoyée'!$F:$F,"YS",'OP envoyée'!$AE:$AE,8))</f>
        <v>0</v>
      </c>
      <c r="AG16" s="51" t="e">
        <f t="shared" si="7"/>
        <v>#DIV/0!</v>
      </c>
      <c r="AH16" s="35">
        <f>COUNTIFS('OP envoyée'!$F:$F,"YS",'OP envoyée'!$AE:$AE,9,'OP envoyée'!$AF:$AF,"")</f>
        <v>0</v>
      </c>
      <c r="AI16" s="36" t="s">
        <v>1029</v>
      </c>
      <c r="AJ16" s="35">
        <f>(COUNTIFS('OP envoyée'!$F:$F,"YS",'OP envoyée'!$AE:$AE,9))</f>
        <v>0</v>
      </c>
      <c r="AK16" s="51" t="e">
        <f t="shared" si="8"/>
        <v>#DIV/0!</v>
      </c>
      <c r="AL16" s="35">
        <f>COUNTIFS('OP envoyée'!$F:$F,"YS",'OP envoyée'!$AE:$AE,10,'OP envoyée'!$AF:$AF,"")</f>
        <v>0</v>
      </c>
      <c r="AM16" s="36" t="s">
        <v>1029</v>
      </c>
      <c r="AN16" s="35">
        <f>(COUNTIFS('OP envoyée'!$F:$F,"YS",'OP envoyée'!$AE:$AE,10))</f>
        <v>0</v>
      </c>
      <c r="AO16" s="46" t="e">
        <f t="shared" si="9"/>
        <v>#DIV/0!</v>
      </c>
      <c r="AP16" s="35">
        <f>COUNTIFS('OP envoyée'!$F:$F,"YS",'OP envoyée'!$AE:$AE,11,'OP envoyée'!$AF:$AF,"")</f>
        <v>0</v>
      </c>
      <c r="AQ16" s="36" t="s">
        <v>1029</v>
      </c>
      <c r="AR16" s="35">
        <f>(COUNTIFS('OP envoyée'!$F:$F,"YS",'OP envoyée'!$AE:$AE,11))</f>
        <v>0</v>
      </c>
      <c r="AS16" s="46" t="e">
        <f t="shared" si="10"/>
        <v>#DIV/0!</v>
      </c>
      <c r="AT16" s="35">
        <f>COUNTIFS('OP envoyée'!$F:$F,"YS",'OP envoyée'!$AE:$AE,12,'OP envoyée'!$AF:$AF,"")</f>
        <v>0</v>
      </c>
      <c r="AU16" s="36" t="s">
        <v>1029</v>
      </c>
      <c r="AV16" s="35">
        <f>(COUNTIFS('OP envoyée'!$F:$F,"YS",'OP envoyée'!$AE:$AE,12))</f>
        <v>0</v>
      </c>
      <c r="AW16" s="46" t="e">
        <f t="shared" si="11"/>
        <v>#DIV/0!</v>
      </c>
      <c r="AX16" s="22"/>
      <c r="AY16" s="35">
        <f>COUNTIFS('OP envoyée'!$F:$F,"YS",'OP envoyée'!$AF:$AF,"")</f>
        <v>0</v>
      </c>
      <c r="AZ16" s="43" t="s">
        <v>1029</v>
      </c>
      <c r="BA16" s="35">
        <f>(COUNTIFS('OP envoyée'!$F:$F,"YS"))</f>
        <v>0</v>
      </c>
      <c r="BB16" s="46" t="e">
        <f t="shared" si="12"/>
        <v>#DIV/0!</v>
      </c>
    </row>
    <row r="17" spans="1:54" ht="16.5" x14ac:dyDescent="0.25">
      <c r="A17" s="24"/>
      <c r="B17" s="31"/>
      <c r="C17" s="25"/>
      <c r="D17" s="25"/>
      <c r="E17" s="21"/>
      <c r="F17" s="32"/>
      <c r="G17" s="25"/>
      <c r="H17" s="32"/>
      <c r="I17" s="46"/>
      <c r="J17" s="32"/>
      <c r="K17" s="25"/>
      <c r="L17" s="32"/>
      <c r="M17" s="46"/>
      <c r="N17" s="32"/>
      <c r="O17" s="25"/>
      <c r="P17" s="32"/>
      <c r="Q17" s="46"/>
      <c r="R17" s="33"/>
      <c r="S17" s="25"/>
      <c r="T17" s="33"/>
      <c r="U17" s="46"/>
      <c r="V17" s="33"/>
      <c r="W17" s="25"/>
      <c r="X17" s="35"/>
      <c r="Y17" s="46"/>
      <c r="Z17" s="33"/>
      <c r="AA17" s="25"/>
      <c r="AB17" s="33"/>
      <c r="AC17" s="46"/>
      <c r="AD17" s="33"/>
      <c r="AE17" s="25"/>
      <c r="AF17" s="33"/>
      <c r="AG17" s="51"/>
      <c r="AH17" s="33"/>
      <c r="AI17" s="25"/>
      <c r="AJ17" s="33"/>
      <c r="AK17" s="51"/>
      <c r="AL17" s="33"/>
      <c r="AM17" s="19"/>
      <c r="AN17" s="33"/>
      <c r="AO17" s="46"/>
      <c r="AP17" s="33"/>
      <c r="AQ17" s="19"/>
      <c r="AR17" s="33"/>
      <c r="AS17" s="46"/>
      <c r="AT17" s="33"/>
      <c r="AU17" s="19"/>
      <c r="AV17" s="33"/>
      <c r="AW17" s="46"/>
      <c r="AX17" s="22"/>
      <c r="AY17" s="33"/>
      <c r="AZ17" s="19"/>
      <c r="BA17" s="33"/>
      <c r="BB17" s="46"/>
    </row>
    <row r="18" spans="1:54" ht="16.5" x14ac:dyDescent="0.25">
      <c r="A18" s="27" t="s">
        <v>1027</v>
      </c>
      <c r="B18" s="37">
        <f>SUM(B3:B17)</f>
        <v>35</v>
      </c>
      <c r="C18" s="39" t="s">
        <v>1029</v>
      </c>
      <c r="D18" s="38">
        <f>SUM(D3:D17)</f>
        <v>41</v>
      </c>
      <c r="E18" s="47">
        <f>B18/D18</f>
        <v>0.85365853658536583</v>
      </c>
      <c r="F18" s="40">
        <f>SUM(F3:F16)</f>
        <v>65</v>
      </c>
      <c r="G18" s="39" t="s">
        <v>1029</v>
      </c>
      <c r="H18" s="45">
        <f>SUM(H3:H17)</f>
        <v>79</v>
      </c>
      <c r="I18" s="47">
        <f t="shared" si="1"/>
        <v>0.82278481012658233</v>
      </c>
      <c r="J18" s="40">
        <f>SUM(J3:J16)</f>
        <v>77</v>
      </c>
      <c r="K18" s="39" t="s">
        <v>1029</v>
      </c>
      <c r="L18" s="45">
        <f>SUM(L3:L17)</f>
        <v>84</v>
      </c>
      <c r="M18" s="47">
        <f>J18/L18</f>
        <v>0.91666666666666663</v>
      </c>
      <c r="N18" s="40">
        <f>SUM(N3:N16)</f>
        <v>37</v>
      </c>
      <c r="O18" s="39" t="s">
        <v>1029</v>
      </c>
      <c r="P18" s="45">
        <f>SUM(P3:P17)</f>
        <v>46</v>
      </c>
      <c r="Q18" s="47">
        <f>N18/P18</f>
        <v>0.80434782608695654</v>
      </c>
      <c r="R18" s="41">
        <f>SUM(R3:R16)</f>
        <v>0</v>
      </c>
      <c r="S18" s="39" t="s">
        <v>1029</v>
      </c>
      <c r="T18" s="42">
        <f>SUM(T3:T17)</f>
        <v>0</v>
      </c>
      <c r="U18" s="47" t="e">
        <f t="shared" si="4"/>
        <v>#DIV/0!</v>
      </c>
      <c r="V18" s="41">
        <f>SUM(V3:V17)</f>
        <v>0</v>
      </c>
      <c r="W18" s="39" t="s">
        <v>1029</v>
      </c>
      <c r="X18" s="42">
        <f>SUM(X3:X17)</f>
        <v>0</v>
      </c>
      <c r="Y18" s="47" t="e">
        <f t="shared" si="5"/>
        <v>#DIV/0!</v>
      </c>
      <c r="Z18" s="41">
        <f>SUM(Z3:Z17)</f>
        <v>0</v>
      </c>
      <c r="AA18" s="39" t="s">
        <v>1029</v>
      </c>
      <c r="AB18" s="42">
        <f>SUM(AB3:AB17)</f>
        <v>0</v>
      </c>
      <c r="AC18" s="47" t="e">
        <f t="shared" si="6"/>
        <v>#DIV/0!</v>
      </c>
      <c r="AD18" s="41">
        <f>SUM(AD3:AD17)</f>
        <v>0</v>
      </c>
      <c r="AE18" s="39" t="s">
        <v>1029</v>
      </c>
      <c r="AF18" s="42">
        <f>SUM(AF3:AF17)</f>
        <v>0</v>
      </c>
      <c r="AG18" s="47" t="e">
        <f>AD18/AF18</f>
        <v>#DIV/0!</v>
      </c>
      <c r="AH18" s="41">
        <f>SUM(AH3:AH17)</f>
        <v>0</v>
      </c>
      <c r="AI18" s="39" t="s">
        <v>1029</v>
      </c>
      <c r="AJ18" s="42">
        <f>SUM(AJ3:AJ16)</f>
        <v>0</v>
      </c>
      <c r="AK18" s="47" t="e">
        <f t="shared" si="8"/>
        <v>#DIV/0!</v>
      </c>
      <c r="AL18" s="41">
        <f>SUM(AL3:AL17)</f>
        <v>0</v>
      </c>
      <c r="AM18" s="44" t="s">
        <v>1029</v>
      </c>
      <c r="AN18" s="42">
        <f>SUM(AN3:AN17)</f>
        <v>0</v>
      </c>
      <c r="AO18" s="47" t="e">
        <f t="shared" si="9"/>
        <v>#DIV/0!</v>
      </c>
      <c r="AP18" s="41">
        <f>SUM(AP3:AP17)</f>
        <v>0</v>
      </c>
      <c r="AQ18" s="44" t="s">
        <v>1029</v>
      </c>
      <c r="AR18" s="42">
        <f>SUM(AR3:AR17)</f>
        <v>0</v>
      </c>
      <c r="AS18" s="47" t="e">
        <f t="shared" si="10"/>
        <v>#DIV/0!</v>
      </c>
      <c r="AT18" s="41">
        <f>SUM(AT3:AT16)</f>
        <v>0</v>
      </c>
      <c r="AU18" s="44" t="s">
        <v>1029</v>
      </c>
      <c r="AV18" s="42">
        <f>SUM(AV3:AV17)</f>
        <v>0</v>
      </c>
      <c r="AW18" s="47" t="e">
        <f t="shared" si="11"/>
        <v>#DIV/0!</v>
      </c>
      <c r="AX18" s="34"/>
      <c r="AY18" s="41">
        <f>SUM(AY3:AY17)</f>
        <v>214</v>
      </c>
      <c r="AZ18" s="44" t="s">
        <v>1029</v>
      </c>
      <c r="BA18" s="42">
        <f>SUM(BA3:BA17)</f>
        <v>246</v>
      </c>
      <c r="BB18" s="53">
        <f t="shared" si="12"/>
        <v>0.86991869918699183</v>
      </c>
    </row>
    <row r="19" spans="1:54" x14ac:dyDescent="0.25">
      <c r="A19" s="18"/>
      <c r="B19" s="18"/>
      <c r="C19" s="18"/>
      <c r="D19" s="18"/>
      <c r="E19" s="49"/>
      <c r="F19" s="18"/>
      <c r="G19" s="18"/>
      <c r="H19" s="18"/>
      <c r="I19" s="49"/>
      <c r="J19" s="18"/>
      <c r="K19" s="18"/>
      <c r="L19" s="18"/>
      <c r="M19" s="49"/>
      <c r="N19" s="18"/>
      <c r="O19" s="18"/>
      <c r="P19" s="18"/>
      <c r="Q19" s="49"/>
      <c r="R19" s="18"/>
      <c r="S19" s="18"/>
      <c r="T19" s="18"/>
      <c r="U19" s="49"/>
      <c r="V19" s="18"/>
      <c r="W19" s="18"/>
      <c r="X19" s="18"/>
      <c r="Y19" s="49"/>
      <c r="Z19" s="18"/>
      <c r="AA19" s="18"/>
      <c r="AB19" s="18"/>
      <c r="AC19" s="49"/>
      <c r="AD19" s="18"/>
      <c r="AE19" s="18"/>
      <c r="AF19" s="18"/>
      <c r="AG19" s="49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49"/>
    </row>
    <row r="20" spans="1:54" ht="19.5" x14ac:dyDescent="0.25">
      <c r="A20" s="30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</row>
    <row r="21" spans="1:54" ht="19.5" x14ac:dyDescent="0.25">
      <c r="A21" s="104" t="s">
        <v>1037</v>
      </c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  <c r="AJ21" s="104"/>
      <c r="AK21" s="104"/>
      <c r="AL21" s="104"/>
      <c r="AM21" s="104"/>
      <c r="AN21" s="104"/>
      <c r="AO21" s="104"/>
      <c r="AP21" s="104"/>
      <c r="AQ21" s="104"/>
      <c r="AR21" s="104"/>
      <c r="AS21" s="104"/>
      <c r="AT21" s="104"/>
      <c r="AU21" s="104"/>
      <c r="AV21" s="104"/>
      <c r="AW21" s="104"/>
      <c r="AX21" s="104"/>
      <c r="AY21" s="104"/>
      <c r="AZ21" s="104"/>
      <c r="BA21" s="104"/>
      <c r="BB21" s="104"/>
    </row>
    <row r="23" spans="1:54" ht="16.5" x14ac:dyDescent="0.25">
      <c r="A23" s="26" t="s">
        <v>905</v>
      </c>
      <c r="B23" s="109" t="s">
        <v>1015</v>
      </c>
      <c r="C23" s="110"/>
      <c r="D23" s="110"/>
      <c r="E23" s="111"/>
      <c r="F23" s="109" t="s">
        <v>1016</v>
      </c>
      <c r="G23" s="110"/>
      <c r="H23" s="110"/>
      <c r="I23" s="111"/>
      <c r="J23" s="109" t="s">
        <v>1017</v>
      </c>
      <c r="K23" s="110"/>
      <c r="L23" s="110"/>
      <c r="M23" s="111"/>
      <c r="N23" s="109" t="s">
        <v>1018</v>
      </c>
      <c r="O23" s="110"/>
      <c r="P23" s="110"/>
      <c r="Q23" s="111"/>
      <c r="R23" s="109" t="s">
        <v>1019</v>
      </c>
      <c r="S23" s="110"/>
      <c r="T23" s="110"/>
      <c r="U23" s="111"/>
      <c r="V23" s="109" t="s">
        <v>1020</v>
      </c>
      <c r="W23" s="110"/>
      <c r="X23" s="110"/>
      <c r="Y23" s="111"/>
      <c r="Z23" s="109" t="s">
        <v>1021</v>
      </c>
      <c r="AA23" s="110"/>
      <c r="AB23" s="110"/>
      <c r="AC23" s="111"/>
      <c r="AD23" s="109" t="s">
        <v>1022</v>
      </c>
      <c r="AE23" s="110"/>
      <c r="AF23" s="110"/>
      <c r="AG23" s="111"/>
      <c r="AH23" s="112" t="s">
        <v>1023</v>
      </c>
      <c r="AI23" s="113"/>
      <c r="AJ23" s="113"/>
      <c r="AK23" s="114"/>
      <c r="AL23" s="109" t="s">
        <v>1024</v>
      </c>
      <c r="AM23" s="110"/>
      <c r="AN23" s="110"/>
      <c r="AO23" s="111"/>
      <c r="AP23" s="112" t="s">
        <v>1025</v>
      </c>
      <c r="AQ23" s="113"/>
      <c r="AR23" s="113"/>
      <c r="AS23" s="114"/>
      <c r="AT23" s="112" t="s">
        <v>1026</v>
      </c>
      <c r="AU23" s="113"/>
      <c r="AV23" s="113"/>
      <c r="AW23" s="114"/>
      <c r="AX23" s="20"/>
      <c r="AY23" s="112" t="s">
        <v>1027</v>
      </c>
      <c r="AZ23" s="113"/>
      <c r="BA23" s="113"/>
      <c r="BB23" s="114"/>
    </row>
    <row r="24" spans="1:54" ht="16.5" x14ac:dyDescent="0.25">
      <c r="A24" s="28" t="s">
        <v>1034</v>
      </c>
      <c r="B24" s="35">
        <f>COUNTIFS('OP envoyée'!$E:$E,"BUEN-OEM",'OP envoyée'!$AE:$AE,1,'OP envoyée'!$AF:$AF,"")</f>
        <v>4</v>
      </c>
      <c r="C24" s="36" t="s">
        <v>1029</v>
      </c>
      <c r="D24" s="35">
        <f>(COUNTIFS('OP envoyée'!$E:$E,"BUEN-OEM",'OP envoyée'!$AE:$AE,1))</f>
        <v>7</v>
      </c>
      <c r="E24" s="46">
        <f>B24/D24</f>
        <v>0.5714285714285714</v>
      </c>
      <c r="F24" s="35">
        <f>COUNTIFS('OP envoyée'!$E:$E,"BUEN-OEM",'OP envoyée'!$AE:$AE,2,'OP envoyée'!$AF:$AF,"")</f>
        <v>14</v>
      </c>
      <c r="G24" s="36" t="s">
        <v>1029</v>
      </c>
      <c r="H24" s="35">
        <f>(COUNTIFS('OP envoyée'!$E:$E,"BUEN-OEM",'OP envoyée'!$AE:$AE,2))</f>
        <v>22</v>
      </c>
      <c r="I24" s="46">
        <f>F24/H24</f>
        <v>0.63636363636363635</v>
      </c>
      <c r="J24" s="35">
        <f>COUNTIFS('OP envoyée'!$E:$E,"BUEN-OEM",'OP envoyée'!$AE:$AE,3,'OP envoyée'!$AF:$AF,"")</f>
        <v>14</v>
      </c>
      <c r="K24" s="36" t="s">
        <v>1029</v>
      </c>
      <c r="L24" s="35">
        <f>(COUNTIFS('OP envoyée'!$E:$E,"BUEN-OEM",'OP envoyée'!$AE:$AE,3))</f>
        <v>19</v>
      </c>
      <c r="M24" s="46">
        <f>J24/L24</f>
        <v>0.73684210526315785</v>
      </c>
      <c r="N24" s="35">
        <f>COUNTIFS('OP envoyée'!$E:$E,"BUEN-OEM",'OP envoyée'!$AE:$AE,4,'OP envoyée'!$AF:$AF,"")</f>
        <v>16</v>
      </c>
      <c r="O24" s="36" t="s">
        <v>1029</v>
      </c>
      <c r="P24" s="35">
        <f>(COUNTIFS('OP envoyée'!$E:$E,"BUEN-OEM",'OP envoyée'!$AE:$AE,4))</f>
        <v>19</v>
      </c>
      <c r="Q24" s="46">
        <f>N24/P24</f>
        <v>0.84210526315789469</v>
      </c>
      <c r="R24" s="35">
        <f>COUNTIFS('OP envoyée'!$E:$E,"BUEN-OEM",'OP envoyée'!$AE:$AE,5,'OP envoyée'!$AF:$AF,"")</f>
        <v>0</v>
      </c>
      <c r="S24" s="36" t="s">
        <v>1029</v>
      </c>
      <c r="T24" s="35">
        <f>(COUNTIFS('OP envoyée'!$E:$E,"BUEN-OEM",'OP envoyée'!$AE:$AE,5))</f>
        <v>0</v>
      </c>
      <c r="U24" s="46" t="e">
        <f>R24/T24</f>
        <v>#DIV/0!</v>
      </c>
      <c r="V24" s="35">
        <f>COUNTIFS('OP envoyée'!$E:$E,"BUEN-OEM",'OP envoyée'!$AE:$AE,6,'OP envoyée'!$AF:$AF,"")</f>
        <v>0</v>
      </c>
      <c r="W24" s="36" t="s">
        <v>1029</v>
      </c>
      <c r="X24" s="35">
        <f>(COUNTIFS('OP envoyée'!$E:$E,"BUEN-OEM",'OP envoyée'!$AE:$AE,6))</f>
        <v>0</v>
      </c>
      <c r="Y24" s="46" t="e">
        <f>V24/X24</f>
        <v>#DIV/0!</v>
      </c>
      <c r="Z24" s="35">
        <f>COUNTIFS('OP envoyée'!$E:$E,"BUEN-OEM",'OP envoyée'!$AE:$AE,7,'OP envoyée'!$AF:$AF,"")</f>
        <v>0</v>
      </c>
      <c r="AA24" s="36" t="s">
        <v>1029</v>
      </c>
      <c r="AB24" s="35">
        <f>(COUNTIFS('OP envoyée'!$E:$E,"BUEN-OEM",'OP envoyée'!$AE:$AE,7))</f>
        <v>0</v>
      </c>
      <c r="AC24" s="46" t="e">
        <f>Z24/AB24</f>
        <v>#DIV/0!</v>
      </c>
      <c r="AD24" s="35">
        <f>COUNTIFS('OP envoyée'!$E:$E,"BUEN-OEM",'OP envoyée'!$AE:$AE,8,'OP envoyée'!$AF:$AF,"")</f>
        <v>0</v>
      </c>
      <c r="AE24" s="36" t="s">
        <v>1029</v>
      </c>
      <c r="AF24" s="35">
        <f>(COUNTIFS('OP envoyée'!$E:$E,"BUEN-OEM",'OP envoyée'!$AE:$AE,8))</f>
        <v>0</v>
      </c>
      <c r="AG24" s="46" t="e">
        <f>AD24/AF24</f>
        <v>#DIV/0!</v>
      </c>
      <c r="AH24" s="35">
        <f>COUNTIFS('OP envoyée'!$E:$E,"BUEN-OEM",'OP envoyée'!$AE:$AE,9,'OP envoyée'!$AF:$AF,"")</f>
        <v>0</v>
      </c>
      <c r="AI24" s="36" t="s">
        <v>1029</v>
      </c>
      <c r="AJ24" s="35">
        <f>(COUNTIFS('OP envoyée'!$E:$E,"BUEN-OEM",'OP envoyée'!$AE:$AE,9))</f>
        <v>0</v>
      </c>
      <c r="AK24" s="46" t="e">
        <f>AH24/AJ24</f>
        <v>#DIV/0!</v>
      </c>
      <c r="AL24" s="35">
        <f>COUNTIFS('OP envoyée'!$E:$E,"BUEN-OEM",'OP envoyée'!$AE:$AE,10,'OP envoyée'!$AF:$AF,"")</f>
        <v>0</v>
      </c>
      <c r="AM24" s="36" t="s">
        <v>1029</v>
      </c>
      <c r="AN24" s="35">
        <f>(COUNTIFS('OP envoyée'!$E:$E,"BUEN-OEM",'OP envoyée'!$AE:$AE,10))</f>
        <v>0</v>
      </c>
      <c r="AO24" s="46" t="e">
        <f>AL24/AN24</f>
        <v>#DIV/0!</v>
      </c>
      <c r="AP24" s="35">
        <f>COUNTIFS('OP envoyée'!$E:$E,"BUEN-OEM",'OP envoyée'!$AE:$AE,11,'OP envoyée'!$AF:$AF,"")</f>
        <v>0</v>
      </c>
      <c r="AQ24" s="36" t="s">
        <v>1029</v>
      </c>
      <c r="AR24" s="35">
        <f>(COUNTIFS('OP envoyée'!$E:$E,"BUEN-OEM",'OP envoyée'!$AE:$AE,11))</f>
        <v>0</v>
      </c>
      <c r="AS24" s="46" t="e">
        <f>AP24/AR24</f>
        <v>#DIV/0!</v>
      </c>
      <c r="AT24" s="35">
        <f>COUNTIFS('OP envoyée'!$E:$E,"BUEN-OEM",'OP envoyée'!$AE:$AE,12,'OP envoyée'!$AF:$AF,"")</f>
        <v>0</v>
      </c>
      <c r="AU24" s="36" t="s">
        <v>1029</v>
      </c>
      <c r="AV24" s="35">
        <f>(COUNTIFS('OP envoyée'!$E:$E,"BUEN-OEM",'OP envoyée'!$AE:$AE,12))</f>
        <v>0</v>
      </c>
      <c r="AW24" s="46" t="e">
        <f>AT24/AV24</f>
        <v>#DIV/0!</v>
      </c>
      <c r="AX24" s="22"/>
      <c r="AY24" s="35">
        <f>COUNTIFS('OP envoyée'!$E:$E,"BUEN-OEM",'OP envoyée'!$AF:$AF,"")</f>
        <v>48</v>
      </c>
      <c r="AZ24" s="36" t="s">
        <v>1029</v>
      </c>
      <c r="BA24" s="35">
        <f>(COUNTIFS('OP envoyée'!$E:$E,"BUEN-OEM"))</f>
        <v>67</v>
      </c>
      <c r="BB24" s="46">
        <f>AY24/BA24</f>
        <v>0.71641791044776115</v>
      </c>
    </row>
    <row r="25" spans="1:54" ht="16.5" x14ac:dyDescent="0.25">
      <c r="A25" s="28" t="s">
        <v>1035</v>
      </c>
      <c r="B25" s="35">
        <f>COUNTIFS('OP envoyée'!$E:$E,"BUPH-CH-AL",'OP envoyée'!$AE:$AE,1,'OP envoyée'!$AF:$AF,"")</f>
        <v>3</v>
      </c>
      <c r="C25" s="36" t="s">
        <v>1029</v>
      </c>
      <c r="D25" s="35">
        <f>(COUNTIFS('OP envoyée'!$E:$E,"BUPH-CH-AL",'OP envoyée'!$AE:$AE,1))</f>
        <v>6</v>
      </c>
      <c r="E25" s="46">
        <f>B25/D25</f>
        <v>0.5</v>
      </c>
      <c r="F25" s="35">
        <f>COUNTIFS('OP envoyée'!$E:$E,"BUPH-CH-AL",'OP envoyée'!$AE:$AE,2,'OP envoyée'!$AF:$AF,"")</f>
        <v>3</v>
      </c>
      <c r="G25" s="36" t="s">
        <v>1029</v>
      </c>
      <c r="H25" s="35">
        <f>(COUNTIFS('OP envoyée'!$E:$E,"BUPH-CH-AL",'OP envoyée'!$AE:$AE,2))</f>
        <v>7</v>
      </c>
      <c r="I25" s="46">
        <f>F25/H25</f>
        <v>0.42857142857142855</v>
      </c>
      <c r="J25" s="35">
        <f>COUNTIFS('OP envoyée'!$E:$E,"BUPH-CH-AL",'OP envoyée'!$AE:$AE,3,'OP envoyée'!$AF:$AF,"")</f>
        <v>19</v>
      </c>
      <c r="K25" s="36" t="s">
        <v>1029</v>
      </c>
      <c r="L25" s="35">
        <f>(COUNTIFS('OP envoyée'!$E:$E,"BUPH-CH-AL",'OP envoyée'!$AE:$AE,3))</f>
        <v>20</v>
      </c>
      <c r="M25" s="46">
        <f>J25/L25</f>
        <v>0.95</v>
      </c>
      <c r="N25" s="35">
        <f>COUNTIFS('OP envoyée'!$E:$E,"BUPH-CH-AL",'OP envoyée'!$AE:$AE,4,'OP envoyée'!$AF:$AF,"")</f>
        <v>2</v>
      </c>
      <c r="O25" s="36" t="s">
        <v>1029</v>
      </c>
      <c r="P25" s="35">
        <f>(COUNTIFS('OP envoyée'!$E:$E,"BUPH-CH-AL",'OP envoyée'!$AE:$AE,4))</f>
        <v>5</v>
      </c>
      <c r="Q25" s="46">
        <f>N25/P25</f>
        <v>0.4</v>
      </c>
      <c r="R25" s="35">
        <f>COUNTIFS('OP envoyée'!$E:$E,"BUPH-CH-AL",'OP envoyée'!$AE:$AE,5,'OP envoyée'!$AF:$AF,"")</f>
        <v>0</v>
      </c>
      <c r="S25" s="36" t="s">
        <v>1029</v>
      </c>
      <c r="T25" s="35">
        <f>(COUNTIFS('OP envoyée'!$E:$E,"BUPH-CH-AL",'OP envoyée'!$AE:$AE,5))</f>
        <v>0</v>
      </c>
      <c r="U25" s="46" t="e">
        <f>R25/T25</f>
        <v>#DIV/0!</v>
      </c>
      <c r="V25" s="35">
        <f>COUNTIFS('OP envoyée'!$E:$E,"BUPH-CH-AL",'OP envoyée'!$AE:$AE,6,'OP envoyée'!$AF:$AF,"")</f>
        <v>0</v>
      </c>
      <c r="W25" s="36" t="s">
        <v>1029</v>
      </c>
      <c r="X25" s="35">
        <f>(COUNTIFS('OP envoyée'!$E:$E,"BUPH-CH-AL",'OP envoyée'!$AE:$AE,6))</f>
        <v>0</v>
      </c>
      <c r="Y25" s="46" t="e">
        <f>V25/X25</f>
        <v>#DIV/0!</v>
      </c>
      <c r="Z25" s="35">
        <f>COUNTIFS('OP envoyée'!$E:$E,"BUPH-CH-AL",'OP envoyée'!$AE:$AE,7,'OP envoyée'!$AF:$AF,"")</f>
        <v>0</v>
      </c>
      <c r="AA25" s="36" t="s">
        <v>1029</v>
      </c>
      <c r="AB25" s="35">
        <f>(COUNTIFS('OP envoyée'!$E:$E,"BUPH-CH-AL",'OP envoyée'!$AE:$AE,7))</f>
        <v>0</v>
      </c>
      <c r="AC25" s="46" t="e">
        <f>Z25/AB25</f>
        <v>#DIV/0!</v>
      </c>
      <c r="AD25" s="35">
        <f>COUNTIFS('OP envoyée'!$E:$E,"BUPH-CH-AL",'OP envoyée'!$AE:$AE,8,'OP envoyée'!$AF:$AF,"")</f>
        <v>0</v>
      </c>
      <c r="AE25" s="36" t="s">
        <v>1029</v>
      </c>
      <c r="AF25" s="35">
        <f>(COUNTIFS('OP envoyée'!$E:$E,"BUPH-CH-AL",'OP envoyée'!$AE:$AE,8))</f>
        <v>0</v>
      </c>
      <c r="AG25" s="46" t="e">
        <f>AD25/AF25</f>
        <v>#DIV/0!</v>
      </c>
      <c r="AH25" s="35">
        <f>COUNTIFS('OP envoyée'!$E:$E,"BUPH-CH-AL",'OP envoyée'!$AE:$AE,9,'OP envoyée'!$AF:$AF,"")</f>
        <v>0</v>
      </c>
      <c r="AI25" s="36" t="s">
        <v>1029</v>
      </c>
      <c r="AJ25" s="35">
        <f>(COUNTIFS('OP envoyée'!$E:$E,"BUPH-CH-AL",'OP envoyée'!$AE:$AE,9))</f>
        <v>0</v>
      </c>
      <c r="AK25" s="46" t="e">
        <f>AH25/AJ25</f>
        <v>#DIV/0!</v>
      </c>
      <c r="AL25" s="35">
        <f>COUNTIFS('OP envoyée'!$E:$E,"BUPH-CH-AL",'OP envoyée'!$AE:$AE,10,'OP envoyée'!$AF:$AF,"")</f>
        <v>0</v>
      </c>
      <c r="AM25" s="36" t="s">
        <v>1029</v>
      </c>
      <c r="AN25" s="35">
        <f>(COUNTIFS('OP envoyée'!$E:$E,"BUPH-CH-AL",'OP envoyée'!$AE:$AE,10))</f>
        <v>0</v>
      </c>
      <c r="AO25" s="46" t="e">
        <f>AL25/AN25</f>
        <v>#DIV/0!</v>
      </c>
      <c r="AP25" s="35">
        <f>COUNTIFS('OP envoyée'!$E:$E,"BUPH-CH-AL",'OP envoyée'!$AE:$AE,11,'OP envoyée'!$AF:$AF,"")</f>
        <v>0</v>
      </c>
      <c r="AQ25" s="36" t="s">
        <v>1029</v>
      </c>
      <c r="AR25" s="35">
        <f>(COUNTIFS('OP envoyée'!$E:$E,"BUPH-CH-AL",'OP envoyée'!$AE:$AE,11))</f>
        <v>0</v>
      </c>
      <c r="AS25" s="46" t="e">
        <f>AP25/AR25</f>
        <v>#DIV/0!</v>
      </c>
      <c r="AT25" s="35">
        <f>COUNTIFS('OP envoyée'!$E:$E,"BUPH-CH-AL",'OP envoyée'!$AE:$AE,12,'OP envoyée'!$AF:$AF,"")</f>
        <v>0</v>
      </c>
      <c r="AU25" s="36" t="s">
        <v>1029</v>
      </c>
      <c r="AV25" s="35">
        <f>(COUNTIFS('OP envoyée'!$E:$E,"BUPH-CH-AL",'OP envoyée'!$AE:$AE,12))</f>
        <v>0</v>
      </c>
      <c r="AW25" s="46" t="e">
        <f>AT25/AV25</f>
        <v>#DIV/0!</v>
      </c>
      <c r="AX25" s="22"/>
      <c r="AY25" s="35">
        <f>COUNTIFS('OP envoyée'!$E:$E,"BUPH-CH-AL",'OP envoyée'!$AF:$AF,"")</f>
        <v>27</v>
      </c>
      <c r="AZ25" s="36" t="s">
        <v>1029</v>
      </c>
      <c r="BA25" s="35">
        <f>(COUNTIFS('OP envoyée'!$E:$E,"BUPH-CH-AL"))</f>
        <v>38</v>
      </c>
      <c r="BB25" s="46">
        <f>AY25/BA25</f>
        <v>0.71052631578947367</v>
      </c>
    </row>
    <row r="26" spans="1:54" ht="16.5" x14ac:dyDescent="0.25">
      <c r="A26" s="28" t="s">
        <v>51</v>
      </c>
      <c r="B26" s="35">
        <f>COUNTIFS('OP envoyée'!$E:$E,"BUNUC",'OP envoyée'!$AE:$AE,1,'OP envoyée'!$AF:$AF,"")</f>
        <v>4</v>
      </c>
      <c r="C26" s="36" t="s">
        <v>1029</v>
      </c>
      <c r="D26" s="35">
        <f>(COUNTIFS('OP envoyée'!$E:$E,"BUNUC",'OP envoyée'!$AE:$AE,1))</f>
        <v>4</v>
      </c>
      <c r="E26" s="46">
        <f>B26/D26</f>
        <v>1</v>
      </c>
      <c r="F26" s="35">
        <f>COUNTIFS('OP envoyée'!$E:$E,"BUNUC",'OP envoyée'!$AE:$AE,2,'OP envoyée'!$AF:$AF,"")</f>
        <v>2</v>
      </c>
      <c r="G26" s="36" t="s">
        <v>1029</v>
      </c>
      <c r="H26" s="35">
        <f>(COUNTIFS('OP envoyée'!$E:$E,"BUNUC",'OP envoyée'!$AE:$AE,2))</f>
        <v>2</v>
      </c>
      <c r="I26" s="46">
        <f>F26/H26</f>
        <v>1</v>
      </c>
      <c r="J26" s="35">
        <f>COUNTIFS('OP envoyée'!$E:$E,"BUNUC",'OP envoyée'!$AE:$AE,3,'OP envoyée'!$AF:$AF,"")</f>
        <v>3</v>
      </c>
      <c r="K26" s="36" t="s">
        <v>1029</v>
      </c>
      <c r="L26" s="35">
        <f>(COUNTIFS('OP envoyée'!$E:$E,"BUNUC",'OP envoyée'!$AE:$AE,3))</f>
        <v>4</v>
      </c>
      <c r="M26" s="46">
        <f>J26/L26</f>
        <v>0.75</v>
      </c>
      <c r="N26" s="35">
        <f>COUNTIFS('OP envoyée'!$E:$E,"BUNUC",'OP envoyée'!$AE:$AE,4,'OP envoyée'!$AF:$AF,"")</f>
        <v>0</v>
      </c>
      <c r="O26" s="36" t="s">
        <v>1029</v>
      </c>
      <c r="P26" s="35">
        <f>(COUNTIFS('OP envoyée'!$E:$E,"BUNUC",'OP envoyée'!$AE:$AE,4))</f>
        <v>0</v>
      </c>
      <c r="Q26" s="46" t="e">
        <f>N26/P26</f>
        <v>#DIV/0!</v>
      </c>
      <c r="R26" s="35">
        <f>COUNTIFS('OP envoyée'!$E:$E,"BUNUC",'OP envoyée'!$AE:$AE,5,'OP envoyée'!$AF:$AF,"")</f>
        <v>0</v>
      </c>
      <c r="S26" s="36" t="s">
        <v>1029</v>
      </c>
      <c r="T26" s="35">
        <f>(COUNTIFS('OP envoyée'!$E:$E,"BUNUC",'OP envoyée'!$AE:$AE,5))</f>
        <v>0</v>
      </c>
      <c r="U26" s="46" t="e">
        <f>R26/T26</f>
        <v>#DIV/0!</v>
      </c>
      <c r="V26" s="35">
        <f>COUNTIFS('OP envoyée'!$E:$E,"BUNUC",'OP envoyée'!$AE:$AE,6,'OP envoyée'!$AF:$AF,"")</f>
        <v>0</v>
      </c>
      <c r="W26" s="36" t="s">
        <v>1029</v>
      </c>
      <c r="X26" s="35">
        <f>(COUNTIFS('OP envoyée'!$E:$E,"BUNUC",'OP envoyée'!$AE:$AE,6))</f>
        <v>0</v>
      </c>
      <c r="Y26" s="46" t="e">
        <f>V26/X26</f>
        <v>#DIV/0!</v>
      </c>
      <c r="Z26" s="35">
        <f>COUNTIFS('OP envoyée'!$E:$E,"BUNUC",'OP envoyée'!$AE:$AE,7,'OP envoyée'!$AF:$AF,"")</f>
        <v>0</v>
      </c>
      <c r="AA26" s="36" t="s">
        <v>1029</v>
      </c>
      <c r="AB26" s="35">
        <f>(COUNTIFS('OP envoyée'!$E:$E,"BUNUC",'OP envoyée'!$AE:$AE,7))</f>
        <v>0</v>
      </c>
      <c r="AC26" s="46" t="e">
        <f>Z26/AB26</f>
        <v>#DIV/0!</v>
      </c>
      <c r="AD26" s="35">
        <f>COUNTIFS('OP envoyée'!$E:$E,"BUNUC",'OP envoyée'!$AE:$AE,8,'OP envoyée'!$AF:$AF,"")</f>
        <v>0</v>
      </c>
      <c r="AE26" s="36" t="s">
        <v>1029</v>
      </c>
      <c r="AF26" s="35">
        <f>(COUNTIFS('OP envoyée'!$E:$E,"BUNUC",'OP envoyée'!$AE:$AE,8))</f>
        <v>0</v>
      </c>
      <c r="AG26" s="46" t="e">
        <f>AD26/AF26</f>
        <v>#DIV/0!</v>
      </c>
      <c r="AH26" s="35">
        <f>COUNTIFS('OP envoyée'!$E:$E,"BUNUC",'OP envoyée'!$AE:$AE,9,'OP envoyée'!$AF:$AF,"")</f>
        <v>0</v>
      </c>
      <c r="AI26" s="36" t="s">
        <v>1029</v>
      </c>
      <c r="AJ26" s="35">
        <f>(COUNTIFS('OP envoyée'!$E:$E,"BUNUC",'OP envoyée'!$AE:$AE,9))</f>
        <v>0</v>
      </c>
      <c r="AK26" s="46" t="e">
        <f>AH26/AJ26</f>
        <v>#DIV/0!</v>
      </c>
      <c r="AL26" s="35">
        <f>COUNTIFS('OP envoyée'!$E:$E,"BUNUC",'OP envoyée'!$AE:$AE,10,'OP envoyée'!$AF:$AF,"")</f>
        <v>0</v>
      </c>
      <c r="AM26" s="36" t="s">
        <v>1029</v>
      </c>
      <c r="AN26" s="35">
        <f>(COUNTIFS('OP envoyée'!$E:$E,"BUNUC",'OP envoyée'!$AE:$AE,10))</f>
        <v>0</v>
      </c>
      <c r="AO26" s="46" t="e">
        <f>AL26/AN26</f>
        <v>#DIV/0!</v>
      </c>
      <c r="AP26" s="35">
        <f>COUNTIFS('OP envoyée'!$E:$E,"BUNUC",'OP envoyée'!$AE:$AE,11,'OP envoyée'!$AF:$AF,"")</f>
        <v>0</v>
      </c>
      <c r="AQ26" s="36" t="s">
        <v>1029</v>
      </c>
      <c r="AR26" s="35">
        <f>(COUNTIFS('OP envoyée'!$E:$E,"BUNUC",'OP envoyée'!$AE:$AE,11))</f>
        <v>0</v>
      </c>
      <c r="AS26" s="46" t="e">
        <f>AP26/AR26</f>
        <v>#DIV/0!</v>
      </c>
      <c r="AT26" s="35">
        <f>COUNTIFS('OP envoyée'!$E:$E,"BUNUC",'OP envoyée'!$AE:$AE,12,'OP envoyée'!$AF:$AF,"")</f>
        <v>0</v>
      </c>
      <c r="AU26" s="36" t="s">
        <v>1029</v>
      </c>
      <c r="AV26" s="35">
        <f>(COUNTIFS('OP envoyée'!$E:$E,"BUNUC",'OP envoyée'!$AE:$AE,12))</f>
        <v>0</v>
      </c>
      <c r="AW26" s="46" t="e">
        <f>AT26/AV26</f>
        <v>#DIV/0!</v>
      </c>
      <c r="AX26" s="22"/>
      <c r="AY26" s="35">
        <f>COUNTIFS('OP envoyée'!$E:$E,"BUNUC",'OP envoyée'!$AF:$AF,"")</f>
        <v>9</v>
      </c>
      <c r="AZ26" s="36" t="s">
        <v>1029</v>
      </c>
      <c r="BA26" s="35">
        <f>(COUNTIFS('OP envoyée'!$E:$E,"BUNUC"))</f>
        <v>10</v>
      </c>
      <c r="BB26" s="46">
        <f>AY26/BA26</f>
        <v>0.9</v>
      </c>
    </row>
    <row r="27" spans="1:54" ht="16.5" x14ac:dyDescent="0.25">
      <c r="A27" s="28" t="s">
        <v>1036</v>
      </c>
      <c r="B27" s="35">
        <f>COUNTIFS('OP envoyée'!$E:$E,"BUSID-IL",'OP envoyée'!$AE:$AE,1,'OP envoyée'!$AF:$AF,"")</f>
        <v>24</v>
      </c>
      <c r="C27" s="36" t="s">
        <v>1029</v>
      </c>
      <c r="D27" s="35">
        <f>(COUNTIFS('OP envoyée'!$E:$E,"BUSID-IL",'OP envoyée'!$AE:$AE,1))</f>
        <v>24</v>
      </c>
      <c r="E27" s="46">
        <f>B27/D27</f>
        <v>1</v>
      </c>
      <c r="F27" s="35">
        <f>COUNTIFS('OP envoyée'!$E:$E,"BUSID-IL",'OP envoyée'!$AE:$AE,2,'OP envoyée'!$AF:$AF,"")</f>
        <v>46</v>
      </c>
      <c r="G27" s="36" t="s">
        <v>1029</v>
      </c>
      <c r="H27" s="35">
        <f>(COUNTIFS('OP envoyée'!$E:$E,"BUSID-IL",'OP envoyée'!$AE:$AE,2))</f>
        <v>48</v>
      </c>
      <c r="I27" s="46">
        <f>F27/H27</f>
        <v>0.95833333333333337</v>
      </c>
      <c r="J27" s="35">
        <f>COUNTIFS('OP envoyée'!$E:$E,"BUSID-IL",'OP envoyée'!$AE:$AE,3,'OP envoyée'!$AF:$AF,"")</f>
        <v>40</v>
      </c>
      <c r="K27" s="36" t="s">
        <v>1029</v>
      </c>
      <c r="L27" s="35">
        <f>(COUNTIFS('OP envoyée'!$E:$E,"BUSID-IL",'OP envoyée'!$AE:$AE,3))</f>
        <v>40</v>
      </c>
      <c r="M27" s="46">
        <f>J27/L27</f>
        <v>1</v>
      </c>
      <c r="N27" s="35">
        <f>COUNTIFS('OP envoyée'!$E:$E,"BUSID-IL",'OP envoyée'!$AE:$AE,4,'OP envoyée'!$AF:$AF,"")</f>
        <v>19</v>
      </c>
      <c r="O27" s="36" t="s">
        <v>1029</v>
      </c>
      <c r="P27" s="35">
        <f>(COUNTIFS('OP envoyée'!$E:$E,"BUSID-IL",'OP envoyée'!$AE:$AE,4))</f>
        <v>22</v>
      </c>
      <c r="Q27" s="46">
        <f>N27/P27</f>
        <v>0.86363636363636365</v>
      </c>
      <c r="R27" s="35">
        <f>COUNTIFS('OP envoyée'!$E:$E,"BUSID-IL",'OP envoyée'!$AE:$AE,5,'OP envoyée'!$AF:$AF,"")</f>
        <v>0</v>
      </c>
      <c r="S27" s="36" t="s">
        <v>1029</v>
      </c>
      <c r="T27" s="35">
        <f>(COUNTIFS('OP envoyée'!$E:$E,"BUSID-IL",'OP envoyée'!$AE:$AE,5))</f>
        <v>0</v>
      </c>
      <c r="U27" s="46" t="e">
        <f>R27/T27</f>
        <v>#DIV/0!</v>
      </c>
      <c r="V27" s="35">
        <f>COUNTIFS('OP envoyée'!$E:$E,"BUSID-IL",'OP envoyée'!$AE:$AE,6,'OP envoyée'!$AF:$AF,"")</f>
        <v>0</v>
      </c>
      <c r="W27" s="36" t="s">
        <v>1029</v>
      </c>
      <c r="X27" s="35">
        <f>(COUNTIFS('OP envoyée'!$E:$E,"BUSID-IL",'OP envoyée'!$AE:$AE,6))</f>
        <v>0</v>
      </c>
      <c r="Y27" s="46" t="e">
        <f>V27/X27</f>
        <v>#DIV/0!</v>
      </c>
      <c r="Z27" s="35">
        <f>COUNTIFS('OP envoyée'!$E:$E,"BUSID-IL",'OP envoyée'!$AE:$AE,7,'OP envoyée'!$AF:$AF,"")</f>
        <v>0</v>
      </c>
      <c r="AA27" s="36" t="s">
        <v>1029</v>
      </c>
      <c r="AB27" s="35">
        <f>(COUNTIFS('OP envoyée'!$E:$E,"BUSID-IL",'OP envoyée'!$AE:$AE,7))</f>
        <v>0</v>
      </c>
      <c r="AC27" s="46" t="e">
        <f>Z27/AB27</f>
        <v>#DIV/0!</v>
      </c>
      <c r="AD27" s="35">
        <f>COUNTIFS('OP envoyée'!$E:$E,"BUSID-IL",'OP envoyée'!$AE:$AE,8,'OP envoyée'!$AF:$AF,"")</f>
        <v>0</v>
      </c>
      <c r="AE27" s="36" t="s">
        <v>1029</v>
      </c>
      <c r="AF27" s="35">
        <f>(COUNTIFS('OP envoyée'!$E:$E,"BUSID-IL",'OP envoyée'!$AE:$AE,8))</f>
        <v>0</v>
      </c>
      <c r="AG27" s="46" t="e">
        <f>AD27/AF27</f>
        <v>#DIV/0!</v>
      </c>
      <c r="AH27" s="35">
        <f>COUNTIFS('OP envoyée'!$E:$E,"BUSID-IL",'OP envoyée'!$AE:$AE,9,'OP envoyée'!$AF:$AF,"")</f>
        <v>0</v>
      </c>
      <c r="AI27" s="36" t="s">
        <v>1029</v>
      </c>
      <c r="AJ27" s="35">
        <f>(COUNTIFS('OP envoyée'!$E:$E,"BUSID-IL",'OP envoyée'!$AE:$AE,9))</f>
        <v>0</v>
      </c>
      <c r="AK27" s="46" t="e">
        <f>AH27/AJ27</f>
        <v>#DIV/0!</v>
      </c>
      <c r="AL27" s="35">
        <f>COUNTIFS('OP envoyée'!$E:$E,"BUSID-IL",'OP envoyée'!$AE:$AE,10,'OP envoyée'!$AF:$AF,"")</f>
        <v>0</v>
      </c>
      <c r="AM27" s="36" t="s">
        <v>1029</v>
      </c>
      <c r="AN27" s="35">
        <f>(COUNTIFS('OP envoyée'!$E:$E,"BUSID-IL",'OP envoyée'!$AE:$AE,10))</f>
        <v>0</v>
      </c>
      <c r="AO27" s="46" t="e">
        <f>AL27/AN27</f>
        <v>#DIV/0!</v>
      </c>
      <c r="AP27" s="35">
        <f>COUNTIFS('OP envoyée'!$E:$E,"BUSID-IL",'OP envoyée'!$AE:$AE,11,'OP envoyée'!$AF:$AF,"")</f>
        <v>0</v>
      </c>
      <c r="AQ27" s="36" t="s">
        <v>1029</v>
      </c>
      <c r="AR27" s="35">
        <f>(COUNTIFS('OP envoyée'!$E:$E,"BUSID-IL",'OP envoyée'!$AE:$AE,11))</f>
        <v>0</v>
      </c>
      <c r="AS27" s="46" t="e">
        <f>AP27/AR27</f>
        <v>#DIV/0!</v>
      </c>
      <c r="AT27" s="35">
        <f>COUNTIFS('OP envoyée'!$E:$E,"BUSID-IL",'OP envoyée'!$AE:$AE,12,'OP envoyée'!$AF:$AF,"")</f>
        <v>0</v>
      </c>
      <c r="AU27" s="36" t="s">
        <v>1029</v>
      </c>
      <c r="AV27" s="35">
        <f>(COUNTIFS('OP envoyée'!$E:$E,"BUSID-IL",'OP envoyée'!$AE:$AE,12))</f>
        <v>0</v>
      </c>
      <c r="AW27" s="46" t="e">
        <f>AT27/AV27</f>
        <v>#DIV/0!</v>
      </c>
      <c r="AX27" s="22"/>
      <c r="AY27" s="35">
        <f>COUNTIFS('OP envoyée'!$E:$E,"BUSID-IL",'OP envoyée'!$AF:$AF,"")</f>
        <v>129</v>
      </c>
      <c r="AZ27" s="36" t="s">
        <v>1029</v>
      </c>
      <c r="BA27" s="35">
        <f>(COUNTIFS('OP envoyée'!$E:$E,"BUSID-IL"))</f>
        <v>134</v>
      </c>
      <c r="BB27" s="46">
        <f>AY27/BA27</f>
        <v>0.96268656716417911</v>
      </c>
    </row>
    <row r="28" spans="1:54" s="91" customFormat="1" ht="16.5" x14ac:dyDescent="0.25">
      <c r="A28" s="28" t="s">
        <v>1036</v>
      </c>
      <c r="B28" s="35">
        <f>COUNTIFS('OP envoyée'!$E:$E,"BUDIVERS",'OP envoyée'!$AE:$AE,1,'OP envoyée'!$AF:$AF,"")</f>
        <v>0</v>
      </c>
      <c r="C28" s="36" t="s">
        <v>1029</v>
      </c>
      <c r="D28" s="35">
        <f>(COUNTIFS('OP envoyée'!$E:$E,"BUDIVERS",'OP envoyée'!$AE:$AE,1))</f>
        <v>0</v>
      </c>
      <c r="E28" s="46" t="e">
        <f>B28/D28</f>
        <v>#DIV/0!</v>
      </c>
      <c r="F28" s="35">
        <f>COUNTIFS('OP envoyée'!$E:$E,"BUDIVERS",'OP envoyée'!$AE:$AE,2,'OP envoyée'!$AF:$AF,"")</f>
        <v>0</v>
      </c>
      <c r="G28" s="36" t="s">
        <v>1029</v>
      </c>
      <c r="H28" s="35">
        <f>(COUNTIFS('OP envoyée'!$E:$E,"BUDIVERS",'OP envoyée'!$AE:$AE,2))</f>
        <v>0</v>
      </c>
      <c r="I28" s="46" t="e">
        <f>F28/H28</f>
        <v>#DIV/0!</v>
      </c>
      <c r="J28" s="35">
        <f>COUNTIFS('OP envoyée'!$E:$E,"BUDIVERS",'OP envoyée'!$AE:$AE,3,'OP envoyée'!$AF:$AF,"")</f>
        <v>1</v>
      </c>
      <c r="K28" s="36" t="s">
        <v>1029</v>
      </c>
      <c r="L28" s="35">
        <f>(COUNTIFS('OP envoyée'!$E:$E,"BUDIVERS",'OP envoyée'!$AE:$AE,3))</f>
        <v>1</v>
      </c>
      <c r="M28" s="46">
        <f>J28/L28</f>
        <v>1</v>
      </c>
      <c r="N28" s="35">
        <f>COUNTIFS('OP envoyée'!$E:$E,"BUDIVERS",'OP envoyée'!$AE:$AE,4,'OP envoyée'!$AF:$AF,"")</f>
        <v>0</v>
      </c>
      <c r="O28" s="36" t="s">
        <v>1029</v>
      </c>
      <c r="P28" s="35">
        <f>(COUNTIFS('OP envoyée'!$E:$E,"BUDIVERS",'OP envoyée'!$AE:$AE,4))</f>
        <v>0</v>
      </c>
      <c r="Q28" s="46" t="e">
        <f>N28/P28</f>
        <v>#DIV/0!</v>
      </c>
      <c r="R28" s="35">
        <f>COUNTIFS('OP envoyée'!$E:$E,"BUDIVERS",'OP envoyée'!$AE:$AE,5,'OP envoyée'!$AF:$AF,"")</f>
        <v>0</v>
      </c>
      <c r="S28" s="36" t="s">
        <v>1029</v>
      </c>
      <c r="T28" s="35">
        <f>(COUNTIFS('OP envoyée'!$E:$E,"BUDIVERS",'OP envoyée'!$AE:$AE,5))</f>
        <v>0</v>
      </c>
      <c r="U28" s="46" t="e">
        <f>R28/T28</f>
        <v>#DIV/0!</v>
      </c>
      <c r="V28" s="35">
        <f>COUNTIFS('OP envoyée'!$E:$E,"BUDIVERS",'OP envoyée'!$AE:$AE,6,'OP envoyée'!$AF:$AF,"")</f>
        <v>0</v>
      </c>
      <c r="W28" s="36" t="s">
        <v>1029</v>
      </c>
      <c r="X28" s="35">
        <f>(COUNTIFS('OP envoyée'!$E:$E,"BUDIVERS",'OP envoyée'!$AE:$AE,6))</f>
        <v>0</v>
      </c>
      <c r="Y28" s="46" t="e">
        <f>V28/X28</f>
        <v>#DIV/0!</v>
      </c>
      <c r="Z28" s="35">
        <f>COUNTIFS('OP envoyée'!$E:$E,"BUDIVERS",'OP envoyée'!$AE:$AE,7,'OP envoyée'!$AF:$AF,"")</f>
        <v>0</v>
      </c>
      <c r="AA28" s="36" t="s">
        <v>1029</v>
      </c>
      <c r="AB28" s="35">
        <f>(COUNTIFS('OP envoyée'!$E:$E,"BUDIVERS",'OP envoyée'!$AE:$AE,7))</f>
        <v>0</v>
      </c>
      <c r="AC28" s="46" t="e">
        <f>Z28/AB28</f>
        <v>#DIV/0!</v>
      </c>
      <c r="AD28" s="35">
        <f>COUNTIFS('OP envoyée'!$E:$E,"BUDIVERS",'OP envoyée'!$AE:$AE,8,'OP envoyée'!$AF:$AF,"")</f>
        <v>0</v>
      </c>
      <c r="AE28" s="36" t="s">
        <v>1029</v>
      </c>
      <c r="AF28" s="35">
        <f>(COUNTIFS('OP envoyée'!$E:$E,"BUDIVERS",'OP envoyée'!$AE:$AE,8))</f>
        <v>0</v>
      </c>
      <c r="AG28" s="46" t="e">
        <f>AD28/AF28</f>
        <v>#DIV/0!</v>
      </c>
      <c r="AH28" s="35">
        <f>COUNTIFS('OP envoyée'!$E:$E,"BUDIVERS",'OP envoyée'!$AE:$AE,9,'OP envoyée'!$AF:$AF,"")</f>
        <v>0</v>
      </c>
      <c r="AI28" s="36" t="s">
        <v>1029</v>
      </c>
      <c r="AJ28" s="35">
        <f>(COUNTIFS('OP envoyée'!$E:$E,"BUDIVERS",'OP envoyée'!$AE:$AE,9))</f>
        <v>0</v>
      </c>
      <c r="AK28" s="46" t="e">
        <f>AH28/AJ28</f>
        <v>#DIV/0!</v>
      </c>
      <c r="AL28" s="35">
        <f>COUNTIFS('OP envoyée'!$E:$E,"BUDIVERS",'OP envoyée'!$AE:$AE,10,'OP envoyée'!$AF:$AF,"")</f>
        <v>0</v>
      </c>
      <c r="AM28" s="36" t="s">
        <v>1029</v>
      </c>
      <c r="AN28" s="35">
        <f>(COUNTIFS('OP envoyée'!$E:$E,"BUDIVERS",'OP envoyée'!$AE:$AE,10))</f>
        <v>0</v>
      </c>
      <c r="AO28" s="46" t="e">
        <f>AL28/AN28</f>
        <v>#DIV/0!</v>
      </c>
      <c r="AP28" s="35">
        <f>COUNTIFS('OP envoyée'!$E:$E,"BUDIVERS",'OP envoyée'!$AE:$AE,11,'OP envoyée'!$AF:$AF,"")</f>
        <v>0</v>
      </c>
      <c r="AQ28" s="36" t="s">
        <v>1029</v>
      </c>
      <c r="AR28" s="35">
        <f>(COUNTIFS('OP envoyée'!$E:$E,"BUDIVERS",'OP envoyée'!$AE:$AE,11))</f>
        <v>0</v>
      </c>
      <c r="AS28" s="46" t="e">
        <f>AP28/AR28</f>
        <v>#DIV/0!</v>
      </c>
      <c r="AT28" s="35">
        <f>COUNTIFS('OP envoyée'!$E:$E,"BUDIVERS",'OP envoyée'!$AE:$AE,12,'OP envoyée'!$AF:$AF,"")</f>
        <v>0</v>
      </c>
      <c r="AU28" s="36" t="s">
        <v>1029</v>
      </c>
      <c r="AV28" s="35">
        <f>(COUNTIFS('OP envoyée'!$E:$E,"BUDIVERS",'OP envoyée'!$AE:$AE,12))</f>
        <v>0</v>
      </c>
      <c r="AW28" s="46" t="e">
        <f>AT28/AV28</f>
        <v>#DIV/0!</v>
      </c>
      <c r="AX28" s="22"/>
      <c r="AY28" s="35">
        <f>COUNTIFS('OP envoyée'!$E:$E,"BUDIVERS",'OP envoyée'!$AF:$AF,"")</f>
        <v>1</v>
      </c>
      <c r="AZ28" s="36" t="s">
        <v>1029</v>
      </c>
      <c r="BA28" s="35">
        <f>(COUNTIFS('OP envoyée'!$E:$E,"BUDIVERS"))</f>
        <v>1</v>
      </c>
      <c r="BB28" s="46">
        <f>AY28/BA28</f>
        <v>1</v>
      </c>
    </row>
    <row r="30" spans="1:54" ht="16.5" x14ac:dyDescent="0.25">
      <c r="A30" s="27" t="s">
        <v>1027</v>
      </c>
      <c r="B30" s="37">
        <f>SUM(B24:B27)</f>
        <v>35</v>
      </c>
      <c r="C30" s="39" t="s">
        <v>1029</v>
      </c>
      <c r="D30" s="38">
        <f>SUM(D24:D27)</f>
        <v>41</v>
      </c>
      <c r="E30" s="47">
        <f>B30/D30</f>
        <v>0.85365853658536583</v>
      </c>
      <c r="F30" s="37">
        <f>SUM(F24:F27)</f>
        <v>65</v>
      </c>
      <c r="G30" s="39" t="s">
        <v>1029</v>
      </c>
      <c r="H30" s="38">
        <f>SUM(H24:H27)</f>
        <v>79</v>
      </c>
      <c r="I30" s="47">
        <f>F30/H30</f>
        <v>0.82278481012658233</v>
      </c>
      <c r="J30" s="37">
        <f>SUM(J24:J27)</f>
        <v>76</v>
      </c>
      <c r="K30" s="39" t="s">
        <v>1029</v>
      </c>
      <c r="L30" s="38">
        <f>SUM(L24:L27)</f>
        <v>83</v>
      </c>
      <c r="M30" s="47">
        <f>J30/L30</f>
        <v>0.91566265060240959</v>
      </c>
      <c r="N30" s="37">
        <f>SUM(N24:N27)</f>
        <v>37</v>
      </c>
      <c r="O30" s="39" t="s">
        <v>1029</v>
      </c>
      <c r="P30" s="38">
        <f>SUM(P24:P27)</f>
        <v>46</v>
      </c>
      <c r="Q30" s="47">
        <f>N30/P30</f>
        <v>0.80434782608695654</v>
      </c>
      <c r="R30" s="37">
        <f>SUM(R24:R27)</f>
        <v>0</v>
      </c>
      <c r="S30" s="39" t="s">
        <v>1029</v>
      </c>
      <c r="T30" s="38">
        <f>SUM(T24:T27)</f>
        <v>0</v>
      </c>
      <c r="U30" s="47" t="e">
        <f>R30/T30</f>
        <v>#DIV/0!</v>
      </c>
      <c r="V30" s="37">
        <f>SUM(V24:V27)</f>
        <v>0</v>
      </c>
      <c r="W30" s="39" t="s">
        <v>1029</v>
      </c>
      <c r="X30" s="38">
        <f>SUM(X24:X27)</f>
        <v>0</v>
      </c>
      <c r="Y30" s="47" t="e">
        <f>V30/X30</f>
        <v>#DIV/0!</v>
      </c>
      <c r="Z30" s="37">
        <f>SUM(Z24:Z27)</f>
        <v>0</v>
      </c>
      <c r="AA30" s="39" t="s">
        <v>1029</v>
      </c>
      <c r="AB30" s="38">
        <f>SUM(AB24:AB27)</f>
        <v>0</v>
      </c>
      <c r="AC30" s="47" t="e">
        <f>Z30/AB30</f>
        <v>#DIV/0!</v>
      </c>
      <c r="AD30" s="37">
        <f>SUM(AD24:AD27)</f>
        <v>0</v>
      </c>
      <c r="AE30" s="39" t="s">
        <v>1029</v>
      </c>
      <c r="AF30" s="38">
        <f>SUM(AF24:AF27)</f>
        <v>0</v>
      </c>
      <c r="AG30" s="47" t="e">
        <f>AD30/AF30</f>
        <v>#DIV/0!</v>
      </c>
      <c r="AH30" s="37">
        <f>SUM(AH24:AH27)</f>
        <v>0</v>
      </c>
      <c r="AI30" s="39" t="s">
        <v>1029</v>
      </c>
      <c r="AJ30" s="38">
        <f>SUM(AJ24:AJ27)</f>
        <v>0</v>
      </c>
      <c r="AK30" s="47" t="e">
        <f>AH30/AJ30</f>
        <v>#DIV/0!</v>
      </c>
      <c r="AL30" s="37">
        <f>SUM(AL24:AL27)</f>
        <v>0</v>
      </c>
      <c r="AM30" s="39" t="s">
        <v>1029</v>
      </c>
      <c r="AN30" s="38">
        <f>SUM(AN24:AN27)</f>
        <v>0</v>
      </c>
      <c r="AO30" s="47" t="e">
        <f>AL30/AN30</f>
        <v>#DIV/0!</v>
      </c>
      <c r="AP30" s="37">
        <f>SUM(AP24:AP27)</f>
        <v>0</v>
      </c>
      <c r="AQ30" s="39" t="s">
        <v>1029</v>
      </c>
      <c r="AR30" s="38">
        <f>SUM(AR24:AR27)</f>
        <v>0</v>
      </c>
      <c r="AS30" s="47" t="e">
        <f>AP30/AR30</f>
        <v>#DIV/0!</v>
      </c>
      <c r="AT30" s="37">
        <f>SUM(AT24:AT27)</f>
        <v>0</v>
      </c>
      <c r="AU30" s="39" t="s">
        <v>1029</v>
      </c>
      <c r="AV30" s="38">
        <f>SUM(AV24:AV27)</f>
        <v>0</v>
      </c>
      <c r="AW30" s="47" t="e">
        <f>AT30/AV30</f>
        <v>#DIV/0!</v>
      </c>
      <c r="AX30" s="34"/>
      <c r="AY30" s="37">
        <f>SUM(AY24:AY27)</f>
        <v>213</v>
      </c>
      <c r="AZ30" s="39" t="s">
        <v>1029</v>
      </c>
      <c r="BA30" s="38">
        <f>SUM(BA24:BA27)</f>
        <v>249</v>
      </c>
      <c r="BB30" s="47">
        <f>AY30/BA30</f>
        <v>0.85542168674698793</v>
      </c>
    </row>
    <row r="35" spans="1:54" ht="16.5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</row>
  </sheetData>
  <mergeCells count="28">
    <mergeCell ref="A1:BB1"/>
    <mergeCell ref="B2:E2"/>
    <mergeCell ref="F2:I2"/>
    <mergeCell ref="J2:M2"/>
    <mergeCell ref="N2:Q2"/>
    <mergeCell ref="R2:U2"/>
    <mergeCell ref="V2:Y2"/>
    <mergeCell ref="Z2:AC2"/>
    <mergeCell ref="AD2:AG2"/>
    <mergeCell ref="AH2:AK2"/>
    <mergeCell ref="B23:E23"/>
    <mergeCell ref="F23:I23"/>
    <mergeCell ref="J23:M23"/>
    <mergeCell ref="N23:Q23"/>
    <mergeCell ref="R23:U23"/>
    <mergeCell ref="A21:BB21"/>
    <mergeCell ref="AL2:AO2"/>
    <mergeCell ref="AP2:AS2"/>
    <mergeCell ref="AT2:AW2"/>
    <mergeCell ref="AY2:BB2"/>
    <mergeCell ref="AT23:AW23"/>
    <mergeCell ref="AY23:BB23"/>
    <mergeCell ref="V23:Y23"/>
    <mergeCell ref="Z23:AC23"/>
    <mergeCell ref="AD23:AG23"/>
    <mergeCell ref="AH23:AK23"/>
    <mergeCell ref="AL23:AO23"/>
    <mergeCell ref="AP23:AS2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9"/>
  <sheetViews>
    <sheetView workbookViewId="0">
      <selection activeCell="J4" sqref="J4"/>
    </sheetView>
  </sheetViews>
  <sheetFormatPr baseColWidth="10" defaultRowHeight="15" x14ac:dyDescent="0.25"/>
  <cols>
    <col min="1" max="1" width="7.42578125" bestFit="1" customWidth="1"/>
    <col min="2" max="2" width="8.85546875" bestFit="1" customWidth="1"/>
    <col min="3" max="3" width="8.7109375" bestFit="1" customWidth="1"/>
    <col min="4" max="4" width="14.140625" customWidth="1"/>
    <col min="5" max="5" width="8.7109375" bestFit="1" customWidth="1"/>
    <col min="6" max="6" width="9.7109375" bestFit="1" customWidth="1"/>
    <col min="7" max="7" width="8.7109375" bestFit="1" customWidth="1"/>
    <col min="8" max="8" width="11.42578125" style="58"/>
    <col min="9" max="9" width="8.7109375" style="58" bestFit="1" customWidth="1"/>
    <col min="10" max="10" width="17.42578125" customWidth="1"/>
    <col min="11" max="11" width="23.140625" bestFit="1" customWidth="1"/>
  </cols>
  <sheetData>
    <row r="1" spans="1:54" s="58" customFormat="1" ht="19.5" x14ac:dyDescent="0.25">
      <c r="A1" s="104" t="s">
        <v>1038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</row>
    <row r="3" spans="1:54" ht="33" x14ac:dyDescent="0.25">
      <c r="A3" s="26" t="s">
        <v>1014</v>
      </c>
      <c r="B3" s="57" t="s">
        <v>1040</v>
      </c>
      <c r="C3" s="26" t="s">
        <v>1039</v>
      </c>
      <c r="D3" s="57" t="s">
        <v>1041</v>
      </c>
      <c r="E3" s="26" t="s">
        <v>1039</v>
      </c>
      <c r="F3" s="57" t="s">
        <v>1044</v>
      </c>
      <c r="G3" s="26" t="s">
        <v>1039</v>
      </c>
      <c r="H3" s="26" t="s">
        <v>911</v>
      </c>
      <c r="I3" s="26" t="s">
        <v>1039</v>
      </c>
      <c r="J3" s="57" t="s">
        <v>1042</v>
      </c>
      <c r="K3" s="26" t="s">
        <v>1043</v>
      </c>
    </row>
    <row r="4" spans="1:54" ht="16.5" x14ac:dyDescent="0.25">
      <c r="A4" s="28" t="s">
        <v>1028</v>
      </c>
      <c r="B4" s="28">
        <f>COUNTIFS('OP envoyée'!$F:$F,"DDU",'OP envoyée'!$AI:$AI,"A")</f>
        <v>0</v>
      </c>
      <c r="C4" s="60">
        <f>B4/J4</f>
        <v>0</v>
      </c>
      <c r="D4" s="28">
        <f>COUNTIFS('OP envoyée'!$F:$F,"DDU",'OP envoyée'!$AI:$AI,"T")</f>
        <v>5</v>
      </c>
      <c r="E4" s="60">
        <f>D4/J4</f>
        <v>1</v>
      </c>
      <c r="F4" s="28">
        <f>COUNTIFS('OP envoyée'!$F:$F,"DDU",'OP envoyée'!$AI:$AI,"J")</f>
        <v>0</v>
      </c>
      <c r="G4" s="60">
        <f>F4/J4</f>
        <v>0</v>
      </c>
      <c r="H4" s="28">
        <f>COUNTIFS('OP envoyée'!$F:$F,"DDU",'OP envoyée'!$AI:$AI,"R")</f>
        <v>0</v>
      </c>
      <c r="I4" s="60">
        <f>H4/J4</f>
        <v>0</v>
      </c>
      <c r="J4" s="28">
        <f>COUNTIFS('OP envoyée'!$F:$F,"DDU",'OP envoyée'!$AG:$AG,"o")</f>
        <v>5</v>
      </c>
      <c r="K4" s="28">
        <f>COUNTIFS('OP envoyée'!$F:$F,"DDU",'OP envoyée'!$AG:$AG,"")</f>
        <v>2</v>
      </c>
    </row>
    <row r="5" spans="1:54" ht="16.5" x14ac:dyDescent="0.25">
      <c r="A5" s="28" t="s">
        <v>132</v>
      </c>
      <c r="B5" s="28">
        <f>COUNTIFS('OP envoyée'!$F:$F,"GB",'OP envoyée'!$AI:$AI,"A")</f>
        <v>0</v>
      </c>
      <c r="C5" s="60">
        <f t="shared" ref="C5:C17" si="0">B5/J5</f>
        <v>0</v>
      </c>
      <c r="D5" s="28">
        <f>COUNTIFS('OP envoyée'!$F:$F,"GB",'OP envoyée'!$AI:$AI,"T")</f>
        <v>2</v>
      </c>
      <c r="E5" s="60">
        <f t="shared" ref="E5:E17" si="1">D5/J5</f>
        <v>0.66666666666666663</v>
      </c>
      <c r="F5" s="28">
        <f>COUNTIFS('OP envoyée'!$F:$F,"GB",'OP envoyée'!$AI:$AI,"J")</f>
        <v>1</v>
      </c>
      <c r="G5" s="60">
        <f t="shared" ref="G5:G17" si="2">F5/J5</f>
        <v>0.33333333333333331</v>
      </c>
      <c r="H5" s="28">
        <f>COUNTIFS('OP envoyée'!$F:$F,"GB",'OP envoyée'!$AI:$AI,"R")</f>
        <v>0</v>
      </c>
      <c r="I5" s="60">
        <f t="shared" ref="I5:I17" si="3">H5/J5</f>
        <v>0</v>
      </c>
      <c r="J5" s="28">
        <f>COUNTIFS('OP envoyée'!$F:$F,"GB",'OP envoyée'!$AG:$AG,"o")</f>
        <v>3</v>
      </c>
      <c r="K5" s="28">
        <f>COUNTIFS('OP envoyée'!$F:$F,"GB",'OP envoyée'!$AG:$AG,"")</f>
        <v>0</v>
      </c>
    </row>
    <row r="6" spans="1:54" ht="16.5" x14ac:dyDescent="0.25">
      <c r="A6" s="28" t="s">
        <v>30</v>
      </c>
      <c r="B6" s="28">
        <f>COUNTIFS('OP envoyée'!$F:$F,"JLB",'OP envoyée'!$AI:$AI,"A")</f>
        <v>0</v>
      </c>
      <c r="C6" s="60">
        <f t="shared" si="0"/>
        <v>0</v>
      </c>
      <c r="D6" s="28">
        <f>COUNTIFS('OP envoyée'!$F:$F,"JLB",'OP envoyée'!$AI:$AI,"T")</f>
        <v>7</v>
      </c>
      <c r="E6" s="60">
        <f t="shared" si="1"/>
        <v>0.63636363636363635</v>
      </c>
      <c r="F6" s="28">
        <f>COUNTIFS('OP envoyée'!$F:$F,"JLB",'OP envoyée'!$AI:$AI,"J")</f>
        <v>1</v>
      </c>
      <c r="G6" s="60">
        <f t="shared" si="2"/>
        <v>9.0909090909090912E-2</v>
      </c>
      <c r="H6" s="28">
        <f>COUNTIFS('OP envoyée'!$F:$F,"JLB",'OP envoyée'!$AI:$AI,"R")</f>
        <v>3</v>
      </c>
      <c r="I6" s="60">
        <f t="shared" si="3"/>
        <v>0.27272727272727271</v>
      </c>
      <c r="J6" s="28">
        <f>COUNTIFS('OP envoyée'!$F:$F,"JLB",'OP envoyée'!$AG:$AG,"o")</f>
        <v>11</v>
      </c>
      <c r="K6" s="28">
        <f>COUNTIFS('OP envoyée'!$F:$F,"JLB",'OP envoyée'!$AG:$AG,"")</f>
        <v>43</v>
      </c>
    </row>
    <row r="7" spans="1:54" ht="16.5" x14ac:dyDescent="0.25">
      <c r="A7" s="28" t="s">
        <v>523</v>
      </c>
      <c r="B7" s="28">
        <f>COUNTIFS('OP envoyée'!$F:$F,"LA",'OP envoyée'!$AI:$AI,"A")</f>
        <v>0</v>
      </c>
      <c r="C7" s="60">
        <f t="shared" si="0"/>
        <v>0</v>
      </c>
      <c r="D7" s="28">
        <f>COUNTIFS('OP envoyée'!$F:$F,"LA",'OP envoyée'!$AI:$AI,"T")</f>
        <v>1</v>
      </c>
      <c r="E7" s="60">
        <f t="shared" si="1"/>
        <v>1</v>
      </c>
      <c r="F7" s="28">
        <f>COUNTIFS('OP envoyée'!$F:$F,"LA",'OP envoyée'!$AI:$AI,"J")</f>
        <v>0</v>
      </c>
      <c r="G7" s="60">
        <f t="shared" si="2"/>
        <v>0</v>
      </c>
      <c r="H7" s="28">
        <f>COUNTIFS('OP envoyée'!$F:$F,"LA",'OP envoyée'!$AI:$AI,"R")</f>
        <v>0</v>
      </c>
      <c r="I7" s="60">
        <f t="shared" si="3"/>
        <v>0</v>
      </c>
      <c r="J7" s="28">
        <f>COUNTIFS('OP envoyée'!$F:$F,"LA",'OP envoyée'!$AG:$AG,"o")</f>
        <v>1</v>
      </c>
      <c r="K7" s="28">
        <f>COUNTIFS('OP envoyée'!$F:$F,"LA",'OP envoyée'!$AG:$AG,"")</f>
        <v>0</v>
      </c>
    </row>
    <row r="8" spans="1:54" ht="16.5" x14ac:dyDescent="0.25">
      <c r="A8" s="28" t="s">
        <v>66</v>
      </c>
      <c r="B8" s="28">
        <f>COUNTIFS('OP envoyée'!$F:$F,"LV",'OP envoyée'!$AI:$AI,"A")</f>
        <v>0</v>
      </c>
      <c r="C8" s="60">
        <f t="shared" si="0"/>
        <v>0</v>
      </c>
      <c r="D8" s="28">
        <f>COUNTIFS('OP envoyée'!$F:$F,"LV",'OP envoyée'!$AI:$AI,"T")</f>
        <v>4</v>
      </c>
      <c r="E8" s="60">
        <f t="shared" si="1"/>
        <v>0.36363636363636365</v>
      </c>
      <c r="F8" s="28">
        <f>COUNTIFS('OP envoyée'!$F:$F,"LV",'OP envoyée'!$AI:$AI,"J")</f>
        <v>4</v>
      </c>
      <c r="G8" s="60">
        <f t="shared" si="2"/>
        <v>0.36363636363636365</v>
      </c>
      <c r="H8" s="28">
        <f>COUNTIFS('OP envoyée'!$F:$F,"LV",'OP envoyée'!$AI:$AI,"R")</f>
        <v>3</v>
      </c>
      <c r="I8" s="60">
        <f t="shared" si="3"/>
        <v>0.27272727272727271</v>
      </c>
      <c r="J8" s="28">
        <f>COUNTIFS('OP envoyée'!$F:$F,"LV",'OP envoyée'!$AG:$AG,"o")</f>
        <v>11</v>
      </c>
      <c r="K8" s="28">
        <f>COUNTIFS('OP envoyée'!$F:$F,"LV",'OP envoyée'!$AG:$AG,"")</f>
        <v>3</v>
      </c>
    </row>
    <row r="9" spans="1:54" ht="16.5" x14ac:dyDescent="0.25">
      <c r="A9" s="28" t="s">
        <v>80</v>
      </c>
      <c r="B9" s="28">
        <f>COUNTIFS('OP envoyée'!$F:$F,"NB",'OP envoyée'!$AI:$AI,"A")</f>
        <v>0</v>
      </c>
      <c r="C9" s="60">
        <f t="shared" si="0"/>
        <v>0</v>
      </c>
      <c r="D9" s="28">
        <f>COUNTIFS('OP envoyée'!$F:$F,"NB",'OP envoyée'!$AI:$AI,"T")</f>
        <v>5</v>
      </c>
      <c r="E9" s="60">
        <f t="shared" si="1"/>
        <v>0.5</v>
      </c>
      <c r="F9" s="28">
        <f>COUNTIFS('OP envoyée'!$F:$F,"NB",'OP envoyée'!$AI:$AI,"J")</f>
        <v>2</v>
      </c>
      <c r="G9" s="60">
        <f t="shared" si="2"/>
        <v>0.2</v>
      </c>
      <c r="H9" s="28">
        <f>COUNTIFS('OP envoyée'!$F:$F,"NB",'OP envoyée'!$AI:$AI,"R")</f>
        <v>3</v>
      </c>
      <c r="I9" s="60">
        <f t="shared" si="3"/>
        <v>0.3</v>
      </c>
      <c r="J9" s="28">
        <f>COUNTIFS('OP envoyée'!$F:$F,"NB",'OP envoyée'!$AG:$AG,"o")</f>
        <v>10</v>
      </c>
      <c r="K9" s="28">
        <f>COUNTIFS('OP envoyée'!$F:$F,"NB",'OP envoyée'!$AG:$AG,"")</f>
        <v>6</v>
      </c>
    </row>
    <row r="10" spans="1:54" ht="16.5" x14ac:dyDescent="0.25">
      <c r="A10" s="28" t="s">
        <v>138</v>
      </c>
      <c r="B10" s="28">
        <f>COUNTIFS('OP envoyée'!$F:$F,"NG",'OP envoyée'!$AI:$AI,"A")</f>
        <v>0</v>
      </c>
      <c r="C10" s="60">
        <f t="shared" si="0"/>
        <v>0</v>
      </c>
      <c r="D10" s="28">
        <f>COUNTIFS('OP envoyée'!$F:$F,"NG",'OP envoyée'!$AI:$AI,"T")</f>
        <v>1</v>
      </c>
      <c r="E10" s="60">
        <f t="shared" si="1"/>
        <v>0.5</v>
      </c>
      <c r="F10" s="28">
        <f>COUNTIFS('OP envoyée'!$F:$F,"NG",'OP envoyée'!$AI:$AI,"J")</f>
        <v>0</v>
      </c>
      <c r="G10" s="60">
        <f t="shared" si="2"/>
        <v>0</v>
      </c>
      <c r="H10" s="28">
        <f>COUNTIFS('OP envoyée'!$F:$F,"NG",'OP envoyée'!$AI:$AI,"R")</f>
        <v>1</v>
      </c>
      <c r="I10" s="60">
        <f t="shared" si="3"/>
        <v>0.5</v>
      </c>
      <c r="J10" s="28">
        <f>COUNTIFS('OP envoyée'!$F:$F,"NG",'OP envoyée'!$AG:$AG,"o")</f>
        <v>2</v>
      </c>
      <c r="K10" s="28">
        <f>COUNTIFS('OP envoyée'!$F:$F,"NG",'OP envoyée'!$AG:$AG,"")</f>
        <v>51</v>
      </c>
    </row>
    <row r="11" spans="1:54" ht="16.5" x14ac:dyDescent="0.25">
      <c r="A11" s="28" t="s">
        <v>740</v>
      </c>
      <c r="B11" s="28">
        <f>COUNTIFS('OP envoyée'!$F:$F,"PB",'OP envoyée'!$AI:$AI,"A")</f>
        <v>0</v>
      </c>
      <c r="C11" s="60" t="e">
        <f t="shared" si="0"/>
        <v>#DIV/0!</v>
      </c>
      <c r="D11" s="28">
        <f>COUNTIFS('OP envoyée'!$F:$F,"PB",'OP envoyée'!$AI:$AI,"T")</f>
        <v>0</v>
      </c>
      <c r="E11" s="60" t="e">
        <f t="shared" si="1"/>
        <v>#DIV/0!</v>
      </c>
      <c r="F11" s="28">
        <f>COUNTIFS('OP envoyée'!$F:$F,"PB",'OP envoyée'!$AI:$AI,"J")</f>
        <v>0</v>
      </c>
      <c r="G11" s="60" t="e">
        <f t="shared" si="2"/>
        <v>#DIV/0!</v>
      </c>
      <c r="H11" s="28">
        <f>COUNTIFS('OP envoyée'!$F:$F,"PB",'OP envoyée'!$AI:$AI,"R")</f>
        <v>0</v>
      </c>
      <c r="I11" s="60" t="e">
        <f t="shared" si="3"/>
        <v>#DIV/0!</v>
      </c>
      <c r="J11" s="28">
        <f>COUNTIFS('OP envoyée'!$F:$F,"PB",'OP envoyée'!$AG:$AG,"o")</f>
        <v>0</v>
      </c>
      <c r="K11" s="28">
        <f>COUNTIFS('OP envoyée'!$F:$F,"PB",'OP envoyée'!$AG:$AG,"")</f>
        <v>0</v>
      </c>
    </row>
    <row r="12" spans="1:54" ht="16.5" x14ac:dyDescent="0.25">
      <c r="A12" s="28" t="s">
        <v>308</v>
      </c>
      <c r="B12" s="28">
        <f>COUNTIFS('OP envoyée'!$F:$F,"RM",'OP envoyée'!$AI:$AI,"A")</f>
        <v>0</v>
      </c>
      <c r="C12" s="60">
        <f t="shared" si="0"/>
        <v>0</v>
      </c>
      <c r="D12" s="28">
        <f>COUNTIFS('OP envoyée'!$F:$F,"RM",'OP envoyée'!$AI:$AI,"T")</f>
        <v>2</v>
      </c>
      <c r="E12" s="60">
        <f t="shared" si="1"/>
        <v>0.66666666666666663</v>
      </c>
      <c r="F12" s="28">
        <f>COUNTIFS('OP envoyée'!$F:$F,"RM",'OP envoyée'!$AI:$AI,"J")</f>
        <v>0</v>
      </c>
      <c r="G12" s="60">
        <f t="shared" si="2"/>
        <v>0</v>
      </c>
      <c r="H12" s="28">
        <f>COUNTIFS('OP envoyée'!$F:$F,"RM",'OP envoyée'!$AI:$AI,"R")</f>
        <v>1</v>
      </c>
      <c r="I12" s="60">
        <f t="shared" si="3"/>
        <v>0.33333333333333331</v>
      </c>
      <c r="J12" s="28">
        <f>COUNTIFS('OP envoyée'!$F:$F,"RM",'OP envoyée'!$AG:$AG,"o")</f>
        <v>3</v>
      </c>
      <c r="K12" s="28">
        <f>COUNTIFS('OP envoyée'!$F:$F,"RM",'OP envoyée'!$AG:$AG,"")</f>
        <v>1</v>
      </c>
    </row>
    <row r="13" spans="1:54" ht="16.5" x14ac:dyDescent="0.25">
      <c r="A13" s="28" t="s">
        <v>364</v>
      </c>
      <c r="B13" s="28">
        <f>COUNTIFS('OP envoyée'!$F:$F,"RT",'OP envoyée'!$AI:$AI,"A")</f>
        <v>0</v>
      </c>
      <c r="C13" s="60">
        <f t="shared" si="0"/>
        <v>0</v>
      </c>
      <c r="D13" s="28">
        <f>COUNTIFS('OP envoyée'!$F:$F,"RT",'OP envoyée'!$AI:$AI,"T")</f>
        <v>5</v>
      </c>
      <c r="E13" s="60">
        <f t="shared" si="1"/>
        <v>0.83333333333333337</v>
      </c>
      <c r="F13" s="28">
        <f>COUNTIFS('OP envoyée'!$F:$F,"RT",'OP envoyée'!$AI:$AI,"J")</f>
        <v>0</v>
      </c>
      <c r="G13" s="60">
        <f t="shared" si="2"/>
        <v>0</v>
      </c>
      <c r="H13" s="28">
        <f>COUNTIFS('OP envoyée'!$F:$F,"RT",'OP envoyée'!$AI:$AI,"R")</f>
        <v>1</v>
      </c>
      <c r="I13" s="60">
        <f t="shared" si="3"/>
        <v>0.16666666666666666</v>
      </c>
      <c r="J13" s="28">
        <f>COUNTIFS('OP envoyée'!$F:$F,"RT",'OP envoyée'!$AG:$AG,"o")</f>
        <v>6</v>
      </c>
      <c r="K13" s="28">
        <f>COUNTIFS('OP envoyée'!$F:$F,"RT",'OP envoyée'!$AG:$AG,"")</f>
        <v>0</v>
      </c>
    </row>
    <row r="14" spans="1:54" ht="16.5" x14ac:dyDescent="0.25">
      <c r="A14" s="28" t="s">
        <v>38</v>
      </c>
      <c r="B14" s="28">
        <f>COUNTIFS('OP envoyée'!$F:$F,"RV",'OP envoyée'!$AI:$AI,"A")</f>
        <v>0</v>
      </c>
      <c r="C14" s="60">
        <f t="shared" si="0"/>
        <v>0</v>
      </c>
      <c r="D14" s="28">
        <f>COUNTIFS('OP envoyée'!$F:$F,"RV",'OP envoyée'!$AI:$AI,"T")</f>
        <v>0</v>
      </c>
      <c r="E14" s="60">
        <f t="shared" si="1"/>
        <v>0</v>
      </c>
      <c r="F14" s="28">
        <f>COUNTIFS('OP envoyée'!$F:$F,"RV",'OP envoyée'!$AI:$AI,"J")</f>
        <v>0</v>
      </c>
      <c r="G14" s="60">
        <f t="shared" si="2"/>
        <v>0</v>
      </c>
      <c r="H14" s="28">
        <f>COUNTIFS('OP envoyée'!$F:$F,"RV",'OP envoyée'!$AI:$AI,"R")</f>
        <v>3</v>
      </c>
      <c r="I14" s="60">
        <f t="shared" si="3"/>
        <v>1</v>
      </c>
      <c r="J14" s="28">
        <f>COUNTIFS('OP envoyée'!$F:$F,"RV",'OP envoyée'!$AG:$AG,"o")</f>
        <v>3</v>
      </c>
      <c r="K14" s="28">
        <f>COUNTIFS('OP envoyée'!$F:$F,"RV",'OP envoyée'!$AG:$AG,"")</f>
        <v>46</v>
      </c>
    </row>
    <row r="15" spans="1:54" ht="16.5" x14ac:dyDescent="0.25">
      <c r="A15" s="28" t="s">
        <v>59</v>
      </c>
      <c r="B15" s="28">
        <f>COUNTIFS('OP envoyée'!$F:$F,"STB",'OP envoyée'!$AI:$AI,"A")</f>
        <v>0</v>
      </c>
      <c r="C15" s="60">
        <f t="shared" si="0"/>
        <v>0</v>
      </c>
      <c r="D15" s="28">
        <f>COUNTIFS('OP envoyée'!$F:$F,"STB",'OP envoyée'!$AI:$AI,"T")</f>
        <v>6</v>
      </c>
      <c r="E15" s="60">
        <f t="shared" si="1"/>
        <v>0.66666666666666663</v>
      </c>
      <c r="F15" s="28">
        <f>COUNTIFS('OP envoyée'!$F:$F,"STB",'OP envoyée'!$AI:$AI,"J")</f>
        <v>0</v>
      </c>
      <c r="G15" s="60">
        <f t="shared" si="2"/>
        <v>0</v>
      </c>
      <c r="H15" s="28">
        <f>COUNTIFS('OP envoyée'!$F:$F,"STB",'OP envoyée'!$AI:$AI,"R")</f>
        <v>3</v>
      </c>
      <c r="I15" s="60">
        <f t="shared" si="3"/>
        <v>0.33333333333333331</v>
      </c>
      <c r="J15" s="28">
        <f>COUNTIFS('OP envoyée'!$F:$F,"STB",'OP envoyée'!$AG:$AG,"o")</f>
        <v>9</v>
      </c>
      <c r="K15" s="28">
        <f>COUNTIFS('OP envoyée'!$F:$F,"STB",'OP envoyée'!$AG:$AG,"")</f>
        <v>24</v>
      </c>
    </row>
    <row r="16" spans="1:54" ht="16.5" x14ac:dyDescent="0.25">
      <c r="A16" s="28" t="s">
        <v>87</v>
      </c>
      <c r="B16" s="28">
        <f>COUNTIFS('OP envoyée'!$F:$F,"VDP",'OP envoyée'!$AI:$AI,"A")</f>
        <v>0</v>
      </c>
      <c r="C16" s="60">
        <f t="shared" si="0"/>
        <v>0</v>
      </c>
      <c r="D16" s="28">
        <f>COUNTIFS('OP envoyée'!$F:$F,"VDP",'OP envoyée'!$AI:$AI,"T")</f>
        <v>1</v>
      </c>
      <c r="E16" s="60">
        <f t="shared" si="1"/>
        <v>0.33333333333333331</v>
      </c>
      <c r="F16" s="28">
        <f>COUNTIFS('OP envoyée'!$F:$F,"VDP",'OP envoyée'!$AI:$AI,"J")</f>
        <v>1</v>
      </c>
      <c r="G16" s="60">
        <f t="shared" si="2"/>
        <v>0.33333333333333331</v>
      </c>
      <c r="H16" s="28">
        <f>COUNTIFS('OP envoyée'!$F:$F,"VDP",'OP envoyée'!$AI:$AI,"R")</f>
        <v>1</v>
      </c>
      <c r="I16" s="60">
        <f t="shared" si="3"/>
        <v>0.33333333333333331</v>
      </c>
      <c r="J16" s="28">
        <f>COUNTIFS('OP envoyée'!$F:$F,"VDP",'OP envoyée'!$AG:$AG,"o")</f>
        <v>3</v>
      </c>
      <c r="K16" s="28">
        <f>COUNTIFS('OP envoyée'!$F:$F,"VDP",'OP envoyée'!$AG:$AG,"")</f>
        <v>7</v>
      </c>
    </row>
    <row r="17" spans="1:12" ht="16.5" x14ac:dyDescent="0.25">
      <c r="A17" s="29" t="s">
        <v>1030</v>
      </c>
      <c r="B17" s="29">
        <f>COUNTIFS('OP envoyée'!$F:$F,"YS",'OP envoyée'!$AI:$AI,"A")</f>
        <v>0</v>
      </c>
      <c r="C17" s="55" t="e">
        <f t="shared" si="0"/>
        <v>#DIV/0!</v>
      </c>
      <c r="D17" s="29">
        <f>COUNTIFS('OP envoyée'!$F:$F,"YS",'OP envoyée'!$AI:$AI,"T")</f>
        <v>0</v>
      </c>
      <c r="E17" s="55" t="e">
        <f t="shared" si="1"/>
        <v>#DIV/0!</v>
      </c>
      <c r="F17" s="29">
        <f>COUNTIFS('OP envoyée'!$F:$F,"YS",'OP envoyée'!$AI:$AI,"J")</f>
        <v>0</v>
      </c>
      <c r="G17" s="55" t="e">
        <f t="shared" si="2"/>
        <v>#DIV/0!</v>
      </c>
      <c r="H17" s="29">
        <f>COUNTIFS('OP envoyée'!$F:$F,"YS",'OP envoyée'!$AI:$AI,"R")</f>
        <v>0</v>
      </c>
      <c r="I17" s="55" t="e">
        <f t="shared" si="3"/>
        <v>#DIV/0!</v>
      </c>
      <c r="J17" s="29">
        <f>COUNTIFS('OP envoyée'!$F:$F,"YS",'OP envoyée'!$AG:$AG,"o")</f>
        <v>0</v>
      </c>
      <c r="K17" s="29">
        <f>COUNTIFS('OP envoyée'!$F:$F,"YS",'OP envoyée'!$AG:$AG,"")</f>
        <v>0</v>
      </c>
    </row>
    <row r="18" spans="1:12" ht="16.5" x14ac:dyDescent="0.25">
      <c r="A18" s="56"/>
      <c r="B18" s="56"/>
      <c r="C18" s="56"/>
      <c r="D18" s="56"/>
      <c r="E18" s="56"/>
      <c r="F18" s="56"/>
      <c r="G18" s="56"/>
      <c r="H18" s="56"/>
      <c r="I18" s="56"/>
      <c r="J18" s="56"/>
      <c r="K18" s="56"/>
    </row>
    <row r="19" spans="1:12" ht="16.5" x14ac:dyDescent="0.25">
      <c r="A19" s="54" t="s">
        <v>1027</v>
      </c>
      <c r="B19" s="54">
        <f t="shared" ref="B19:K19" si="4">SUM(B4:B18)</f>
        <v>0</v>
      </c>
      <c r="C19" s="54" t="e">
        <f t="shared" si="4"/>
        <v>#DIV/0!</v>
      </c>
      <c r="D19" s="54">
        <f t="shared" si="4"/>
        <v>39</v>
      </c>
      <c r="E19" s="54" t="e">
        <f t="shared" si="4"/>
        <v>#DIV/0!</v>
      </c>
      <c r="F19" s="54">
        <f t="shared" si="4"/>
        <v>9</v>
      </c>
      <c r="G19" s="54" t="e">
        <f t="shared" si="4"/>
        <v>#DIV/0!</v>
      </c>
      <c r="H19" s="54">
        <f t="shared" si="4"/>
        <v>19</v>
      </c>
      <c r="I19" s="54" t="e">
        <f t="shared" si="4"/>
        <v>#DIV/0!</v>
      </c>
      <c r="J19" s="54">
        <f t="shared" si="4"/>
        <v>67</v>
      </c>
      <c r="K19" s="54">
        <f t="shared" si="4"/>
        <v>183</v>
      </c>
      <c r="L19" s="62"/>
    </row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64" workbookViewId="0">
      <selection activeCell="I87" sqref="I87"/>
    </sheetView>
  </sheetViews>
  <sheetFormatPr baseColWidth="10" defaultRowHeight="15" x14ac:dyDescent="0.25"/>
  <cols>
    <col min="2" max="4" width="0" hidden="1" customWidth="1"/>
  </cols>
  <sheetData>
    <row r="1" spans="1:6" ht="15.75" x14ac:dyDescent="0.25">
      <c r="A1" s="118" t="s">
        <v>915</v>
      </c>
      <c r="B1" s="120" t="s">
        <v>916</v>
      </c>
      <c r="C1" s="13" t="s">
        <v>917</v>
      </c>
      <c r="D1" s="118" t="s">
        <v>918</v>
      </c>
      <c r="E1" s="115" t="s">
        <v>919</v>
      </c>
      <c r="F1" s="115" t="s">
        <v>920</v>
      </c>
    </row>
    <row r="2" spans="1:6" ht="15.75" x14ac:dyDescent="0.25">
      <c r="A2" s="119"/>
      <c r="B2" s="119"/>
      <c r="C2" s="14"/>
      <c r="D2" s="119"/>
      <c r="E2" s="117"/>
      <c r="F2" s="116"/>
    </row>
    <row r="3" spans="1:6" ht="15" customHeight="1" x14ac:dyDescent="0.25">
      <c r="A3" s="9" t="s">
        <v>996</v>
      </c>
      <c r="B3" s="10" t="s">
        <v>921</v>
      </c>
      <c r="C3" s="8"/>
      <c r="D3" s="9" t="s">
        <v>922</v>
      </c>
      <c r="E3" s="12">
        <v>42374</v>
      </c>
      <c r="F3" s="12">
        <v>42374</v>
      </c>
    </row>
    <row r="4" spans="1:6" ht="15" customHeight="1" x14ac:dyDescent="0.25">
      <c r="A4" s="9" t="s">
        <v>1002</v>
      </c>
      <c r="B4" s="10" t="s">
        <v>923</v>
      </c>
      <c r="C4" s="8"/>
      <c r="D4" s="9" t="s">
        <v>922</v>
      </c>
      <c r="E4" s="12">
        <v>42374</v>
      </c>
      <c r="F4" s="12">
        <v>42374</v>
      </c>
    </row>
    <row r="5" spans="1:6" ht="15" customHeight="1" x14ac:dyDescent="0.25">
      <c r="A5" s="9" t="s">
        <v>997</v>
      </c>
      <c r="B5" s="10" t="s">
        <v>924</v>
      </c>
      <c r="C5" s="8"/>
      <c r="D5" s="9" t="s">
        <v>922</v>
      </c>
      <c r="E5" s="12">
        <v>42374</v>
      </c>
      <c r="F5" s="12">
        <v>42374</v>
      </c>
    </row>
    <row r="6" spans="1:6" ht="15" customHeight="1" x14ac:dyDescent="0.25">
      <c r="A6" s="9" t="s">
        <v>1003</v>
      </c>
      <c r="B6" s="10" t="s">
        <v>925</v>
      </c>
      <c r="C6" s="8"/>
      <c r="D6" s="9" t="s">
        <v>922</v>
      </c>
      <c r="E6" s="12">
        <v>42375</v>
      </c>
      <c r="F6" s="12">
        <v>42375</v>
      </c>
    </row>
    <row r="7" spans="1:6" ht="15" customHeight="1" x14ac:dyDescent="0.25">
      <c r="A7" s="9" t="s">
        <v>49</v>
      </c>
      <c r="B7" s="10" t="s">
        <v>926</v>
      </c>
      <c r="C7" s="8"/>
      <c r="D7" s="9" t="s">
        <v>922</v>
      </c>
      <c r="E7" s="12">
        <v>42376</v>
      </c>
      <c r="F7" s="12">
        <v>42376</v>
      </c>
    </row>
    <row r="8" spans="1:6" ht="15" customHeight="1" x14ac:dyDescent="0.25">
      <c r="A8" s="9" t="s">
        <v>998</v>
      </c>
      <c r="B8" s="10" t="s">
        <v>927</v>
      </c>
      <c r="C8" s="8"/>
      <c r="D8" s="9" t="s">
        <v>922</v>
      </c>
      <c r="E8" s="12">
        <v>42376</v>
      </c>
      <c r="F8" s="12">
        <v>42376</v>
      </c>
    </row>
    <row r="9" spans="1:6" ht="15" customHeight="1" x14ac:dyDescent="0.25">
      <c r="A9" s="9" t="s">
        <v>1004</v>
      </c>
      <c r="B9" s="10" t="s">
        <v>928</v>
      </c>
      <c r="C9" s="8"/>
      <c r="D9" s="9" t="s">
        <v>132</v>
      </c>
      <c r="E9" s="12">
        <v>42377</v>
      </c>
      <c r="F9" s="12">
        <v>42377</v>
      </c>
    </row>
    <row r="10" spans="1:6" ht="15" customHeight="1" x14ac:dyDescent="0.25">
      <c r="A10" s="9" t="s">
        <v>999</v>
      </c>
      <c r="B10" s="10" t="s">
        <v>929</v>
      </c>
      <c r="C10" s="8"/>
      <c r="D10" s="9" t="s">
        <v>922</v>
      </c>
      <c r="E10" s="12">
        <v>42377</v>
      </c>
      <c r="F10" s="12">
        <v>42377</v>
      </c>
    </row>
    <row r="11" spans="1:6" ht="15" customHeight="1" x14ac:dyDescent="0.25">
      <c r="A11" s="9" t="s">
        <v>1005</v>
      </c>
      <c r="B11" s="10" t="s">
        <v>930</v>
      </c>
      <c r="C11" s="8"/>
      <c r="D11" s="9" t="s">
        <v>922</v>
      </c>
      <c r="E11" s="12">
        <v>42381</v>
      </c>
      <c r="F11" s="12">
        <v>42381</v>
      </c>
    </row>
    <row r="12" spans="1:6" ht="15" customHeight="1" x14ac:dyDescent="0.25">
      <c r="A12" s="9" t="s">
        <v>1000</v>
      </c>
      <c r="B12" s="10" t="s">
        <v>931</v>
      </c>
      <c r="C12" s="8"/>
      <c r="D12" s="9" t="s">
        <v>922</v>
      </c>
      <c r="E12" s="12">
        <v>42381</v>
      </c>
      <c r="F12" s="12">
        <v>42381</v>
      </c>
    </row>
    <row r="13" spans="1:6" ht="15" customHeight="1" x14ac:dyDescent="0.25">
      <c r="A13" s="9" t="s">
        <v>116</v>
      </c>
      <c r="B13" s="10" t="s">
        <v>932</v>
      </c>
      <c r="C13" s="8"/>
      <c r="D13" s="9" t="s">
        <v>922</v>
      </c>
      <c r="E13" s="12">
        <v>42381</v>
      </c>
      <c r="F13" s="12">
        <v>42381</v>
      </c>
    </row>
    <row r="14" spans="1:6" ht="15" customHeight="1" x14ac:dyDescent="0.25">
      <c r="A14" s="9" t="s">
        <v>1001</v>
      </c>
      <c r="B14" s="10" t="s">
        <v>933</v>
      </c>
      <c r="C14" s="8"/>
      <c r="D14" s="9" t="s">
        <v>922</v>
      </c>
      <c r="E14" s="7" t="s">
        <v>934</v>
      </c>
      <c r="F14" s="7" t="s">
        <v>935</v>
      </c>
    </row>
    <row r="15" spans="1:6" ht="15" customHeight="1" x14ac:dyDescent="0.25">
      <c r="A15" s="9" t="s">
        <v>1006</v>
      </c>
      <c r="B15" s="10" t="s">
        <v>936</v>
      </c>
      <c r="C15" s="8"/>
      <c r="D15" s="9" t="s">
        <v>922</v>
      </c>
      <c r="E15" s="12">
        <v>42383</v>
      </c>
      <c r="F15" s="12">
        <v>42383</v>
      </c>
    </row>
    <row r="16" spans="1:6" ht="15" customHeight="1" x14ac:dyDescent="0.25">
      <c r="A16" s="9" t="s">
        <v>229</v>
      </c>
      <c r="B16" s="10" t="s">
        <v>937</v>
      </c>
      <c r="C16" s="8"/>
      <c r="D16" s="9" t="s">
        <v>922</v>
      </c>
      <c r="E16" s="12">
        <v>42388</v>
      </c>
      <c r="F16" s="12">
        <v>42388</v>
      </c>
    </row>
    <row r="17" spans="1:6" ht="15" customHeight="1" x14ac:dyDescent="0.25">
      <c r="A17" s="9" t="s">
        <v>63</v>
      </c>
      <c r="B17" s="10" t="s">
        <v>938</v>
      </c>
      <c r="C17" s="8"/>
      <c r="D17" s="9" t="s">
        <v>922</v>
      </c>
      <c r="E17" s="12">
        <v>42388</v>
      </c>
      <c r="F17" s="12">
        <v>42388</v>
      </c>
    </row>
    <row r="18" spans="1:6" ht="15" customHeight="1" x14ac:dyDescent="0.25">
      <c r="A18" s="9" t="s">
        <v>108</v>
      </c>
      <c r="B18" s="10" t="s">
        <v>939</v>
      </c>
      <c r="C18" s="8"/>
      <c r="D18" s="9" t="s">
        <v>922</v>
      </c>
      <c r="E18" s="12">
        <v>42389</v>
      </c>
      <c r="F18" s="12">
        <v>42389</v>
      </c>
    </row>
    <row r="19" spans="1:6" ht="15" customHeight="1" x14ac:dyDescent="0.25">
      <c r="A19" s="9" t="s">
        <v>126</v>
      </c>
      <c r="B19" s="10" t="s">
        <v>940</v>
      </c>
      <c r="C19" s="8"/>
      <c r="D19" s="9" t="s">
        <v>922</v>
      </c>
      <c r="E19" s="12">
        <v>42389</v>
      </c>
      <c r="F19" s="12">
        <v>42390</v>
      </c>
    </row>
    <row r="20" spans="1:6" ht="15" customHeight="1" x14ac:dyDescent="0.25">
      <c r="A20" s="9" t="s">
        <v>287</v>
      </c>
      <c r="B20" s="10" t="s">
        <v>941</v>
      </c>
      <c r="C20" s="8"/>
      <c r="D20" s="9" t="s">
        <v>922</v>
      </c>
      <c r="E20" s="12">
        <v>42390</v>
      </c>
      <c r="F20" s="12">
        <v>42390</v>
      </c>
    </row>
    <row r="21" spans="1:6" ht="15" customHeight="1" x14ac:dyDescent="0.25">
      <c r="A21" s="9" t="s">
        <v>1007</v>
      </c>
      <c r="B21" s="10" t="s">
        <v>942</v>
      </c>
      <c r="C21" s="8"/>
      <c r="D21" s="9" t="s">
        <v>922</v>
      </c>
      <c r="E21" s="12">
        <v>42390</v>
      </c>
      <c r="F21" s="12">
        <v>42390</v>
      </c>
    </row>
    <row r="22" spans="1:6" ht="15" customHeight="1" x14ac:dyDescent="0.25">
      <c r="A22" s="9" t="s">
        <v>338</v>
      </c>
      <c r="B22" s="10" t="s">
        <v>339</v>
      </c>
      <c r="C22" s="8"/>
      <c r="D22" s="9" t="s">
        <v>922</v>
      </c>
      <c r="E22" s="12">
        <v>42396</v>
      </c>
      <c r="F22" s="12">
        <v>42396</v>
      </c>
    </row>
    <row r="23" spans="1:6" ht="15" customHeight="1" x14ac:dyDescent="0.25">
      <c r="A23" s="9" t="s">
        <v>351</v>
      </c>
      <c r="B23" s="10" t="s">
        <v>943</v>
      </c>
      <c r="C23" s="8"/>
      <c r="D23" s="9" t="s">
        <v>922</v>
      </c>
      <c r="E23" s="12">
        <v>42397</v>
      </c>
      <c r="F23" s="12">
        <v>42397</v>
      </c>
    </row>
    <row r="24" spans="1:6" ht="15" customHeight="1" x14ac:dyDescent="0.25">
      <c r="A24" s="9" t="s">
        <v>232</v>
      </c>
      <c r="B24" s="10" t="s">
        <v>944</v>
      </c>
      <c r="C24" s="8"/>
      <c r="D24" s="9" t="s">
        <v>922</v>
      </c>
      <c r="E24" s="12">
        <v>42398</v>
      </c>
      <c r="F24" s="12">
        <v>42398</v>
      </c>
    </row>
    <row r="25" spans="1:6" ht="15" customHeight="1" x14ac:dyDescent="0.25">
      <c r="A25" s="9" t="s">
        <v>282</v>
      </c>
      <c r="B25" s="10" t="s">
        <v>945</v>
      </c>
      <c r="C25" s="8"/>
      <c r="D25" s="9" t="s">
        <v>922</v>
      </c>
      <c r="E25" s="12">
        <v>42398</v>
      </c>
      <c r="F25" s="12">
        <v>42398</v>
      </c>
    </row>
    <row r="26" spans="1:6" ht="15" customHeight="1" x14ac:dyDescent="0.25">
      <c r="A26" s="9" t="s">
        <v>362</v>
      </c>
      <c r="B26" s="10" t="s">
        <v>363</v>
      </c>
      <c r="C26" s="8"/>
      <c r="D26" s="9" t="s">
        <v>946</v>
      </c>
      <c r="E26" s="12">
        <v>42401</v>
      </c>
      <c r="F26" s="12">
        <v>42401</v>
      </c>
    </row>
    <row r="27" spans="1:6" ht="15" customHeight="1" x14ac:dyDescent="0.25">
      <c r="A27" s="9" t="s">
        <v>331</v>
      </c>
      <c r="B27" s="10" t="s">
        <v>947</v>
      </c>
      <c r="C27" s="8"/>
      <c r="D27" s="9" t="s">
        <v>922</v>
      </c>
      <c r="E27" s="12">
        <v>42401</v>
      </c>
      <c r="F27" s="12">
        <v>42402</v>
      </c>
    </row>
    <row r="28" spans="1:6" ht="15" customHeight="1" x14ac:dyDescent="0.25">
      <c r="A28" s="9" t="s">
        <v>130</v>
      </c>
      <c r="B28" s="10" t="s">
        <v>948</v>
      </c>
      <c r="C28" s="8"/>
      <c r="D28" s="9" t="s">
        <v>922</v>
      </c>
      <c r="E28" s="12">
        <v>42402</v>
      </c>
      <c r="F28" s="12">
        <v>42402</v>
      </c>
    </row>
    <row r="29" spans="1:6" ht="15" customHeight="1" x14ac:dyDescent="0.25">
      <c r="A29" s="9" t="s">
        <v>368</v>
      </c>
      <c r="B29" s="10" t="s">
        <v>949</v>
      </c>
      <c r="C29" s="8"/>
      <c r="D29" s="9" t="s">
        <v>922</v>
      </c>
      <c r="E29" s="12">
        <v>42403</v>
      </c>
      <c r="F29" s="12">
        <v>42403</v>
      </c>
    </row>
    <row r="30" spans="1:6" ht="15" customHeight="1" x14ac:dyDescent="0.25">
      <c r="A30" s="9" t="s">
        <v>78</v>
      </c>
      <c r="B30" s="10" t="s">
        <v>950</v>
      </c>
      <c r="C30" s="8"/>
      <c r="D30" s="9" t="s">
        <v>922</v>
      </c>
      <c r="E30" s="12">
        <v>42404</v>
      </c>
      <c r="F30" s="12">
        <v>42404</v>
      </c>
    </row>
    <row r="31" spans="1:6" ht="15" customHeight="1" x14ac:dyDescent="0.25">
      <c r="A31" s="9" t="s">
        <v>251</v>
      </c>
      <c r="B31" s="10" t="s">
        <v>951</v>
      </c>
      <c r="C31" s="8"/>
      <c r="D31" s="9" t="s">
        <v>922</v>
      </c>
      <c r="E31" s="12">
        <v>42405</v>
      </c>
      <c r="F31" s="12">
        <v>42405</v>
      </c>
    </row>
    <row r="32" spans="1:6" ht="15" customHeight="1" x14ac:dyDescent="0.25">
      <c r="A32" s="9" t="s">
        <v>1008</v>
      </c>
      <c r="B32" s="10" t="s">
        <v>952</v>
      </c>
      <c r="C32" s="8"/>
      <c r="D32" s="9" t="s">
        <v>922</v>
      </c>
      <c r="E32" s="12">
        <v>42410</v>
      </c>
      <c r="F32" s="12">
        <v>42410</v>
      </c>
    </row>
    <row r="33" spans="1:6" ht="15" customHeight="1" x14ac:dyDescent="0.25">
      <c r="A33" s="9" t="s">
        <v>217</v>
      </c>
      <c r="B33" s="10" t="s">
        <v>953</v>
      </c>
      <c r="C33" s="8"/>
      <c r="D33" s="9" t="s">
        <v>922</v>
      </c>
      <c r="E33" s="12">
        <v>42412</v>
      </c>
      <c r="F33" s="12">
        <v>42412</v>
      </c>
    </row>
    <row r="34" spans="1:6" ht="15" customHeight="1" x14ac:dyDescent="0.25">
      <c r="A34" s="11" t="s">
        <v>489</v>
      </c>
      <c r="B34" s="10" t="s">
        <v>954</v>
      </c>
      <c r="C34" s="8"/>
      <c r="D34" s="9" t="s">
        <v>922</v>
      </c>
      <c r="E34" s="12">
        <v>42415</v>
      </c>
      <c r="F34" s="12">
        <v>42416</v>
      </c>
    </row>
    <row r="35" spans="1:6" ht="15" customHeight="1" x14ac:dyDescent="0.25">
      <c r="A35" s="9" t="s">
        <v>527</v>
      </c>
      <c r="B35" s="10" t="s">
        <v>955</v>
      </c>
      <c r="C35" s="8"/>
      <c r="D35" s="9" t="s">
        <v>922</v>
      </c>
      <c r="E35" s="12">
        <v>42415</v>
      </c>
      <c r="F35" s="12">
        <v>42416</v>
      </c>
    </row>
    <row r="36" spans="1:6" ht="15" customHeight="1" x14ac:dyDescent="0.25">
      <c r="A36" s="9" t="s">
        <v>383</v>
      </c>
      <c r="B36" s="10" t="s">
        <v>956</v>
      </c>
      <c r="C36" s="8"/>
      <c r="D36" s="9" t="s">
        <v>922</v>
      </c>
      <c r="E36" s="12">
        <v>42415</v>
      </c>
      <c r="F36" s="12">
        <v>42416</v>
      </c>
    </row>
    <row r="37" spans="1:6" ht="15" customHeight="1" x14ac:dyDescent="0.25">
      <c r="A37" s="9" t="s">
        <v>355</v>
      </c>
      <c r="B37" s="10" t="s">
        <v>957</v>
      </c>
      <c r="C37" s="8"/>
      <c r="D37" s="9" t="s">
        <v>922</v>
      </c>
      <c r="E37" s="12">
        <v>42416</v>
      </c>
      <c r="F37" s="12">
        <v>42416</v>
      </c>
    </row>
    <row r="38" spans="1:6" ht="15" customHeight="1" x14ac:dyDescent="0.25">
      <c r="A38" s="9" t="s">
        <v>314</v>
      </c>
      <c r="B38" s="10" t="s">
        <v>958</v>
      </c>
      <c r="C38" s="8"/>
      <c r="D38" s="9" t="s">
        <v>922</v>
      </c>
      <c r="E38" s="12">
        <v>42416</v>
      </c>
      <c r="F38" s="12">
        <v>42417</v>
      </c>
    </row>
    <row r="39" spans="1:6" ht="15" customHeight="1" x14ac:dyDescent="0.25">
      <c r="A39" s="9" t="s">
        <v>298</v>
      </c>
      <c r="B39" s="10" t="s">
        <v>959</v>
      </c>
      <c r="C39" s="8"/>
      <c r="D39" s="9" t="s">
        <v>922</v>
      </c>
      <c r="E39" s="12">
        <v>42418</v>
      </c>
      <c r="F39" s="12">
        <v>42419</v>
      </c>
    </row>
    <row r="40" spans="1:6" ht="15" customHeight="1" x14ac:dyDescent="0.25">
      <c r="A40" s="9" t="s">
        <v>291</v>
      </c>
      <c r="B40" s="10" t="s">
        <v>960</v>
      </c>
      <c r="C40" s="8"/>
      <c r="D40" s="9" t="s">
        <v>922</v>
      </c>
      <c r="E40" s="12">
        <v>42419</v>
      </c>
      <c r="F40" s="12">
        <v>42419</v>
      </c>
    </row>
    <row r="41" spans="1:6" ht="15" customHeight="1" x14ac:dyDescent="0.25">
      <c r="A41" s="9" t="s">
        <v>567</v>
      </c>
      <c r="B41" s="10" t="s">
        <v>961</v>
      </c>
      <c r="C41" s="8"/>
      <c r="D41" s="9" t="s">
        <v>922</v>
      </c>
      <c r="E41" s="12">
        <v>42422</v>
      </c>
      <c r="F41" s="12">
        <v>42423</v>
      </c>
    </row>
    <row r="42" spans="1:6" ht="15" customHeight="1" x14ac:dyDescent="0.25">
      <c r="A42" s="9" t="s">
        <v>578</v>
      </c>
      <c r="B42" s="10" t="s">
        <v>962</v>
      </c>
      <c r="C42" s="8"/>
      <c r="D42" s="9" t="s">
        <v>922</v>
      </c>
      <c r="E42" s="12">
        <v>42423</v>
      </c>
      <c r="F42" s="12">
        <v>42423</v>
      </c>
    </row>
    <row r="43" spans="1:6" ht="15" customHeight="1" x14ac:dyDescent="0.25">
      <c r="A43" s="9" t="s">
        <v>1009</v>
      </c>
      <c r="B43" s="10" t="s">
        <v>963</v>
      </c>
      <c r="C43" s="8"/>
      <c r="D43" s="9" t="s">
        <v>922</v>
      </c>
      <c r="E43" s="12">
        <v>42424</v>
      </c>
      <c r="F43" s="12">
        <v>42424</v>
      </c>
    </row>
    <row r="44" spans="1:6" ht="15" customHeight="1" x14ac:dyDescent="0.25">
      <c r="A44" s="9" t="s">
        <v>1010</v>
      </c>
      <c r="B44" s="10" t="s">
        <v>964</v>
      </c>
      <c r="C44" s="8"/>
      <c r="D44" s="9" t="s">
        <v>922</v>
      </c>
      <c r="E44" s="12">
        <v>42424</v>
      </c>
      <c r="F44" s="12">
        <v>42424</v>
      </c>
    </row>
    <row r="45" spans="1:6" ht="15" customHeight="1" x14ac:dyDescent="0.25">
      <c r="A45" s="9" t="s">
        <v>311</v>
      </c>
      <c r="B45" s="10" t="s">
        <v>965</v>
      </c>
      <c r="C45" s="8"/>
      <c r="D45" s="9" t="s">
        <v>922</v>
      </c>
      <c r="E45" s="12">
        <v>42426</v>
      </c>
      <c r="F45" s="12">
        <v>42426</v>
      </c>
    </row>
    <row r="46" spans="1:6" ht="15" customHeight="1" x14ac:dyDescent="0.25">
      <c r="A46" s="9" t="s">
        <v>473</v>
      </c>
      <c r="B46" s="10" t="s">
        <v>966</v>
      </c>
      <c r="C46" s="8"/>
      <c r="D46" s="9" t="s">
        <v>922</v>
      </c>
      <c r="E46" s="12">
        <v>42430</v>
      </c>
      <c r="F46" s="12">
        <v>42430</v>
      </c>
    </row>
    <row r="47" spans="1:6" ht="15" customHeight="1" x14ac:dyDescent="0.25">
      <c r="A47" s="9" t="s">
        <v>1011</v>
      </c>
      <c r="B47" s="10" t="s">
        <v>960</v>
      </c>
      <c r="C47" s="8"/>
      <c r="D47" s="9" t="s">
        <v>922</v>
      </c>
      <c r="E47" s="12">
        <v>42430</v>
      </c>
      <c r="F47" s="12">
        <v>42430</v>
      </c>
    </row>
    <row r="48" spans="1:6" ht="15" customHeight="1" x14ac:dyDescent="0.25">
      <c r="A48" s="9" t="s">
        <v>240</v>
      </c>
      <c r="B48" s="10" t="s">
        <v>967</v>
      </c>
      <c r="C48" s="8"/>
      <c r="D48" s="9" t="s">
        <v>922</v>
      </c>
      <c r="E48" s="12">
        <v>42430</v>
      </c>
      <c r="F48" s="12">
        <v>42430</v>
      </c>
    </row>
    <row r="49" spans="1:6" ht="15" customHeight="1" x14ac:dyDescent="0.25">
      <c r="A49" s="9" t="s">
        <v>635</v>
      </c>
      <c r="B49" s="10" t="s">
        <v>968</v>
      </c>
      <c r="C49" s="8"/>
      <c r="D49" s="9" t="s">
        <v>922</v>
      </c>
      <c r="E49" s="12">
        <v>42430</v>
      </c>
      <c r="F49" s="12">
        <v>42430</v>
      </c>
    </row>
    <row r="50" spans="1:6" ht="15" customHeight="1" x14ac:dyDescent="0.25">
      <c r="A50" s="9" t="s">
        <v>521</v>
      </c>
      <c r="B50" s="10" t="s">
        <v>969</v>
      </c>
      <c r="C50" s="8"/>
      <c r="D50" s="9" t="s">
        <v>922</v>
      </c>
      <c r="E50" s="12">
        <v>42430</v>
      </c>
      <c r="F50" s="12">
        <v>42431</v>
      </c>
    </row>
    <row r="51" spans="1:6" ht="15" customHeight="1" x14ac:dyDescent="0.25">
      <c r="A51" s="9" t="s">
        <v>599</v>
      </c>
      <c r="B51" s="10" t="s">
        <v>970</v>
      </c>
      <c r="C51" s="8"/>
      <c r="D51" s="9" t="s">
        <v>922</v>
      </c>
      <c r="E51" s="12">
        <v>42432</v>
      </c>
      <c r="F51" s="12">
        <v>42432</v>
      </c>
    </row>
    <row r="52" spans="1:6" ht="15" customHeight="1" x14ac:dyDescent="0.25">
      <c r="A52" s="9" t="s">
        <v>643</v>
      </c>
      <c r="B52" s="10" t="s">
        <v>644</v>
      </c>
      <c r="C52" s="8"/>
      <c r="D52" s="9" t="s">
        <v>946</v>
      </c>
      <c r="E52" s="12">
        <v>42436</v>
      </c>
      <c r="F52" s="12">
        <v>42436</v>
      </c>
    </row>
    <row r="53" spans="1:6" ht="15" customHeight="1" x14ac:dyDescent="0.25">
      <c r="A53" s="9" t="s">
        <v>707</v>
      </c>
      <c r="B53" s="10" t="s">
        <v>971</v>
      </c>
      <c r="C53" s="8"/>
      <c r="D53" s="9" t="s">
        <v>922</v>
      </c>
      <c r="E53" s="12">
        <v>42437</v>
      </c>
      <c r="F53" s="12">
        <v>42437</v>
      </c>
    </row>
    <row r="54" spans="1:6" ht="15" customHeight="1" x14ac:dyDescent="0.25">
      <c r="A54" s="9" t="s">
        <v>620</v>
      </c>
      <c r="B54" s="10" t="s">
        <v>972</v>
      </c>
      <c r="C54" s="8"/>
      <c r="D54" s="9" t="s">
        <v>922</v>
      </c>
      <c r="E54" s="12">
        <v>42437</v>
      </c>
      <c r="F54" s="12">
        <v>42437</v>
      </c>
    </row>
    <row r="55" spans="1:6" ht="15" customHeight="1" x14ac:dyDescent="0.25">
      <c r="A55" s="9" t="s">
        <v>725</v>
      </c>
      <c r="B55" s="10" t="s">
        <v>973</v>
      </c>
      <c r="C55" s="8"/>
      <c r="D55" s="9" t="s">
        <v>922</v>
      </c>
      <c r="E55" s="12">
        <v>42437</v>
      </c>
      <c r="F55" s="12">
        <v>42437</v>
      </c>
    </row>
    <row r="56" spans="1:6" ht="15" customHeight="1" x14ac:dyDescent="0.25">
      <c r="A56" s="9" t="s">
        <v>569</v>
      </c>
      <c r="B56" s="10" t="s">
        <v>974</v>
      </c>
      <c r="C56" s="8"/>
      <c r="D56" s="9" t="s">
        <v>922</v>
      </c>
      <c r="E56" s="12">
        <v>42438</v>
      </c>
      <c r="F56" s="12">
        <v>42438</v>
      </c>
    </row>
    <row r="57" spans="1:6" ht="15" customHeight="1" x14ac:dyDescent="0.25">
      <c r="A57" s="9" t="s">
        <v>663</v>
      </c>
      <c r="B57" s="10" t="s">
        <v>975</v>
      </c>
      <c r="C57" s="8"/>
      <c r="D57" s="9" t="s">
        <v>922</v>
      </c>
      <c r="E57" s="12">
        <v>42438</v>
      </c>
      <c r="F57" s="12">
        <v>42438</v>
      </c>
    </row>
    <row r="58" spans="1:6" ht="15" customHeight="1" x14ac:dyDescent="0.25">
      <c r="A58" s="9" t="s">
        <v>560</v>
      </c>
      <c r="B58" s="10" t="s">
        <v>976</v>
      </c>
      <c r="C58" s="8"/>
      <c r="D58" s="9" t="s">
        <v>922</v>
      </c>
      <c r="E58" s="12">
        <v>42439</v>
      </c>
      <c r="F58" s="12">
        <v>42439</v>
      </c>
    </row>
    <row r="59" spans="1:6" ht="15" customHeight="1" x14ac:dyDescent="0.25">
      <c r="A59" s="9" t="s">
        <v>654</v>
      </c>
      <c r="B59" s="10" t="s">
        <v>977</v>
      </c>
      <c r="C59" s="8"/>
      <c r="D59" s="9" t="s">
        <v>922</v>
      </c>
      <c r="E59" s="12">
        <v>42439</v>
      </c>
      <c r="F59" s="12">
        <v>42439</v>
      </c>
    </row>
    <row r="60" spans="1:6" ht="15" customHeight="1" x14ac:dyDescent="0.25">
      <c r="A60" s="9" t="s">
        <v>516</v>
      </c>
      <c r="B60" s="10" t="s">
        <v>978</v>
      </c>
      <c r="C60" s="8"/>
      <c r="D60" s="9" t="s">
        <v>922</v>
      </c>
      <c r="E60" s="12">
        <v>42439</v>
      </c>
      <c r="F60" s="12">
        <v>42439</v>
      </c>
    </row>
    <row r="61" spans="1:6" ht="15" customHeight="1" x14ac:dyDescent="0.25">
      <c r="A61" s="9" t="s">
        <v>681</v>
      </c>
      <c r="B61" s="10" t="s">
        <v>979</v>
      </c>
      <c r="C61" s="8"/>
      <c r="D61" s="9" t="s">
        <v>922</v>
      </c>
      <c r="E61" s="12">
        <v>42439</v>
      </c>
      <c r="F61" s="12">
        <v>42439</v>
      </c>
    </row>
    <row r="62" spans="1:6" ht="15" customHeight="1" x14ac:dyDescent="0.25">
      <c r="A62" s="9" t="s">
        <v>766</v>
      </c>
      <c r="B62" s="10" t="s">
        <v>980</v>
      </c>
      <c r="C62" s="8"/>
      <c r="D62" s="9" t="s">
        <v>922</v>
      </c>
      <c r="E62" s="12">
        <v>42440</v>
      </c>
      <c r="F62" s="12">
        <v>42440</v>
      </c>
    </row>
    <row r="63" spans="1:6" ht="15" customHeight="1" x14ac:dyDescent="0.25">
      <c r="A63" s="9" t="s">
        <v>769</v>
      </c>
      <c r="B63" s="10" t="s">
        <v>770</v>
      </c>
      <c r="C63" s="8"/>
      <c r="D63" s="9" t="s">
        <v>946</v>
      </c>
      <c r="E63" s="12">
        <v>42443</v>
      </c>
      <c r="F63" s="12">
        <v>42443</v>
      </c>
    </row>
    <row r="64" spans="1:6" ht="15" customHeight="1" x14ac:dyDescent="0.25">
      <c r="A64" s="9" t="s">
        <v>727</v>
      </c>
      <c r="B64" s="10" t="s">
        <v>981</v>
      </c>
      <c r="C64" s="8"/>
      <c r="D64" s="9" t="s">
        <v>922</v>
      </c>
      <c r="E64" s="12">
        <v>42444</v>
      </c>
      <c r="F64" s="12">
        <v>42444</v>
      </c>
    </row>
    <row r="65" spans="1:6" ht="15" customHeight="1" x14ac:dyDescent="0.25">
      <c r="A65" s="9" t="s">
        <v>1012</v>
      </c>
      <c r="B65" s="10" t="s">
        <v>982</v>
      </c>
      <c r="C65" s="8"/>
      <c r="D65" s="9" t="s">
        <v>922</v>
      </c>
      <c r="E65" s="12">
        <v>42444</v>
      </c>
      <c r="F65" s="12">
        <v>42445</v>
      </c>
    </row>
    <row r="66" spans="1:6" ht="15" customHeight="1" x14ac:dyDescent="0.25">
      <c r="A66" s="9" t="s">
        <v>720</v>
      </c>
      <c r="B66" s="10" t="s">
        <v>983</v>
      </c>
      <c r="C66" s="8"/>
      <c r="D66" s="9" t="s">
        <v>922</v>
      </c>
      <c r="E66" s="12">
        <v>42446</v>
      </c>
      <c r="F66" s="12">
        <v>42446</v>
      </c>
    </row>
    <row r="67" spans="1:6" ht="15" customHeight="1" x14ac:dyDescent="0.25">
      <c r="A67" s="9" t="s">
        <v>776</v>
      </c>
      <c r="B67" s="10" t="s">
        <v>984</v>
      </c>
      <c r="C67" s="8"/>
      <c r="D67" s="9" t="s">
        <v>922</v>
      </c>
      <c r="E67" s="12">
        <v>42446</v>
      </c>
      <c r="F67" s="12">
        <v>42446</v>
      </c>
    </row>
    <row r="68" spans="1:6" ht="15" customHeight="1" x14ac:dyDescent="0.25">
      <c r="A68" s="9" t="s">
        <v>780</v>
      </c>
      <c r="B68" s="10" t="s">
        <v>985</v>
      </c>
      <c r="C68" s="8"/>
      <c r="D68" s="9" t="s">
        <v>922</v>
      </c>
      <c r="E68" s="12">
        <v>42446</v>
      </c>
      <c r="F68" s="12">
        <v>42446</v>
      </c>
    </row>
    <row r="69" spans="1:6" ht="15" customHeight="1" x14ac:dyDescent="0.25">
      <c r="A69" s="9" t="s">
        <v>623</v>
      </c>
      <c r="B69" s="10" t="s">
        <v>986</v>
      </c>
      <c r="C69" s="8"/>
      <c r="D69" s="9" t="s">
        <v>922</v>
      </c>
      <c r="E69" s="12">
        <v>42446</v>
      </c>
      <c r="F69" s="12">
        <v>42446</v>
      </c>
    </row>
    <row r="70" spans="1:6" ht="15" customHeight="1" x14ac:dyDescent="0.25">
      <c r="A70" s="9" t="s">
        <v>790</v>
      </c>
      <c r="B70" s="10" t="s">
        <v>987</v>
      </c>
      <c r="C70" s="8"/>
      <c r="D70" s="9" t="s">
        <v>922</v>
      </c>
      <c r="E70" s="12">
        <v>42446</v>
      </c>
      <c r="F70" s="12">
        <v>42446</v>
      </c>
    </row>
    <row r="71" spans="1:6" ht="15" customHeight="1" x14ac:dyDescent="0.25">
      <c r="A71" s="9" t="s">
        <v>797</v>
      </c>
      <c r="B71" s="10" t="s">
        <v>988</v>
      </c>
      <c r="C71" s="8"/>
      <c r="D71" s="9" t="s">
        <v>922</v>
      </c>
      <c r="E71" s="12">
        <v>42447</v>
      </c>
      <c r="F71" s="12">
        <v>42447</v>
      </c>
    </row>
    <row r="72" spans="1:6" ht="15" customHeight="1" x14ac:dyDescent="0.25">
      <c r="A72" s="9" t="s">
        <v>533</v>
      </c>
      <c r="B72" s="10" t="s">
        <v>534</v>
      </c>
      <c r="C72" s="8"/>
      <c r="D72" s="9" t="s">
        <v>946</v>
      </c>
      <c r="E72" s="12">
        <v>42450</v>
      </c>
      <c r="F72" s="12">
        <v>42450</v>
      </c>
    </row>
    <row r="73" spans="1:6" ht="15" customHeight="1" x14ac:dyDescent="0.25">
      <c r="A73" s="9" t="s">
        <v>697</v>
      </c>
      <c r="B73" s="10" t="s">
        <v>989</v>
      </c>
      <c r="C73" s="8"/>
      <c r="D73" s="9" t="s">
        <v>922</v>
      </c>
      <c r="E73" s="12">
        <v>42452</v>
      </c>
      <c r="F73" s="12">
        <v>42452</v>
      </c>
    </row>
    <row r="74" spans="1:6" ht="15" customHeight="1" x14ac:dyDescent="0.25">
      <c r="A74" s="9" t="s">
        <v>815</v>
      </c>
      <c r="B74" s="10" t="s">
        <v>990</v>
      </c>
      <c r="C74" s="8"/>
      <c r="D74" s="9" t="s">
        <v>922</v>
      </c>
      <c r="E74" s="12">
        <v>42452</v>
      </c>
      <c r="F74" s="12">
        <v>42452</v>
      </c>
    </row>
    <row r="75" spans="1:6" ht="15" customHeight="1" x14ac:dyDescent="0.25">
      <c r="A75" s="9" t="s">
        <v>819</v>
      </c>
      <c r="B75" s="10" t="s">
        <v>991</v>
      </c>
      <c r="C75" s="8"/>
      <c r="D75" s="9" t="s">
        <v>922</v>
      </c>
      <c r="E75" s="12">
        <v>42452</v>
      </c>
      <c r="F75" s="12">
        <v>42452</v>
      </c>
    </row>
    <row r="76" spans="1:6" ht="15" customHeight="1" x14ac:dyDescent="0.25">
      <c r="A76" s="9" t="s">
        <v>693</v>
      </c>
      <c r="B76" s="10" t="s">
        <v>992</v>
      </c>
      <c r="C76" s="8"/>
      <c r="D76" s="9" t="s">
        <v>922</v>
      </c>
      <c r="E76" s="12">
        <v>42453</v>
      </c>
      <c r="F76" s="12">
        <v>42453</v>
      </c>
    </row>
    <row r="77" spans="1:6" ht="15" customHeight="1" x14ac:dyDescent="0.25">
      <c r="A77" s="9" t="s">
        <v>459</v>
      </c>
      <c r="B77" s="10" t="s">
        <v>993</v>
      </c>
      <c r="C77" s="8"/>
      <c r="D77" s="9" t="s">
        <v>922</v>
      </c>
      <c r="E77" s="12">
        <v>42453</v>
      </c>
      <c r="F77" s="12">
        <v>42453</v>
      </c>
    </row>
    <row r="78" spans="1:6" ht="15" customHeight="1" x14ac:dyDescent="0.25">
      <c r="A78" s="9" t="s">
        <v>674</v>
      </c>
      <c r="B78" s="10" t="s">
        <v>675</v>
      </c>
      <c r="C78" s="8"/>
      <c r="D78" s="9" t="s">
        <v>922</v>
      </c>
      <c r="E78" s="12">
        <v>42454</v>
      </c>
      <c r="F78" s="12">
        <v>42454</v>
      </c>
    </row>
    <row r="79" spans="1:6" ht="15" customHeight="1" x14ac:dyDescent="0.25">
      <c r="A79" s="9" t="s">
        <v>774</v>
      </c>
      <c r="B79" s="10" t="s">
        <v>994</v>
      </c>
      <c r="C79" s="8"/>
      <c r="D79" s="9" t="s">
        <v>922</v>
      </c>
      <c r="E79" s="12">
        <v>42458</v>
      </c>
      <c r="F79" s="12">
        <v>42458</v>
      </c>
    </row>
    <row r="80" spans="1:6" ht="15" customHeight="1" x14ac:dyDescent="0.25">
      <c r="A80" s="9" t="s">
        <v>811</v>
      </c>
      <c r="B80" s="10" t="s">
        <v>995</v>
      </c>
      <c r="C80" s="8"/>
      <c r="D80" s="9" t="s">
        <v>922</v>
      </c>
      <c r="E80" s="12">
        <v>42459</v>
      </c>
      <c r="F80" s="12">
        <v>42459</v>
      </c>
    </row>
    <row r="81" spans="1:6" ht="15" customHeight="1" x14ac:dyDescent="0.25">
      <c r="A81" s="92" t="s">
        <v>874</v>
      </c>
      <c r="B81" s="93" t="s">
        <v>1116</v>
      </c>
      <c r="C81" s="91"/>
      <c r="D81" s="92" t="s">
        <v>922</v>
      </c>
      <c r="E81" s="94">
        <v>42465</v>
      </c>
      <c r="F81" s="94">
        <v>42465</v>
      </c>
    </row>
    <row r="82" spans="1:6" ht="15" customHeight="1" x14ac:dyDescent="0.25">
      <c r="A82" s="92" t="s">
        <v>883</v>
      </c>
      <c r="B82" s="93" t="s">
        <v>1117</v>
      </c>
      <c r="C82" s="91"/>
      <c r="D82" s="92" t="s">
        <v>922</v>
      </c>
      <c r="E82" s="94">
        <v>42465</v>
      </c>
      <c r="F82" s="94">
        <v>42465</v>
      </c>
    </row>
    <row r="83" spans="1:6" ht="15" customHeight="1" x14ac:dyDescent="0.25">
      <c r="A83" s="92" t="s">
        <v>1079</v>
      </c>
      <c r="B83" s="93" t="s">
        <v>1118</v>
      </c>
      <c r="C83" s="91"/>
      <c r="D83" s="92" t="s">
        <v>922</v>
      </c>
      <c r="E83" s="94">
        <v>42466</v>
      </c>
      <c r="F83" s="94">
        <v>42466</v>
      </c>
    </row>
    <row r="84" spans="1:6" ht="15" customHeight="1" x14ac:dyDescent="0.25">
      <c r="A84" s="92" t="s">
        <v>741</v>
      </c>
      <c r="B84" s="93" t="s">
        <v>1119</v>
      </c>
      <c r="C84" s="91"/>
      <c r="D84" s="92" t="s">
        <v>922</v>
      </c>
      <c r="E84" s="94">
        <v>42472</v>
      </c>
      <c r="F84" s="94">
        <v>42472</v>
      </c>
    </row>
    <row r="85" spans="1:6" ht="15" customHeight="1" x14ac:dyDescent="0.25">
      <c r="A85" s="92" t="s">
        <v>496</v>
      </c>
      <c r="B85" s="93" t="s">
        <v>1120</v>
      </c>
      <c r="C85" s="91"/>
      <c r="D85" s="92" t="s">
        <v>922</v>
      </c>
      <c r="E85" s="94">
        <v>42472</v>
      </c>
      <c r="F85" s="94">
        <v>42472</v>
      </c>
    </row>
    <row r="86" spans="1:6" ht="15" customHeight="1" x14ac:dyDescent="0.25">
      <c r="A86" s="92" t="s">
        <v>848</v>
      </c>
      <c r="B86" s="93" t="s">
        <v>1121</v>
      </c>
      <c r="C86" s="91"/>
      <c r="D86" s="92" t="s">
        <v>922</v>
      </c>
      <c r="E86" s="94">
        <v>42473</v>
      </c>
      <c r="F86" s="94">
        <v>42473</v>
      </c>
    </row>
    <row r="87" spans="1:6" ht="15" customHeight="1" x14ac:dyDescent="0.25">
      <c r="A87" s="92" t="s">
        <v>834</v>
      </c>
      <c r="B87" s="93" t="s">
        <v>1122</v>
      </c>
      <c r="C87" s="91"/>
      <c r="D87" s="92" t="s">
        <v>922</v>
      </c>
      <c r="E87" s="94">
        <v>42472</v>
      </c>
      <c r="F87" s="94">
        <v>42473</v>
      </c>
    </row>
    <row r="88" spans="1:6" ht="15" customHeight="1" x14ac:dyDescent="0.25"/>
    <row r="89" spans="1:6" ht="15" customHeight="1" x14ac:dyDescent="0.25"/>
    <row r="90" spans="1:6" ht="15" customHeight="1" x14ac:dyDescent="0.25"/>
    <row r="91" spans="1:6" ht="15" customHeight="1" x14ac:dyDescent="0.25"/>
    <row r="92" spans="1:6" ht="15" customHeight="1" x14ac:dyDescent="0.25"/>
    <row r="93" spans="1:6" ht="15" customHeight="1" x14ac:dyDescent="0.25"/>
    <row r="94" spans="1:6" ht="15" customHeight="1" x14ac:dyDescent="0.25"/>
    <row r="95" spans="1:6" ht="15" customHeight="1" x14ac:dyDescent="0.25"/>
    <row r="96" spans="1: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</sheetData>
  <mergeCells count="5">
    <mergeCell ref="F1:F2"/>
    <mergeCell ref="E1:E2"/>
    <mergeCell ref="D1:D2"/>
    <mergeCell ref="B1:B2"/>
    <mergeCell ref="A1:A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1"/>
  <sheetViews>
    <sheetView workbookViewId="0">
      <selection sqref="A1:Z1048576"/>
    </sheetView>
  </sheetViews>
  <sheetFormatPr baseColWidth="10" defaultRowHeight="15" x14ac:dyDescent="0.25"/>
  <cols>
    <col min="2" max="2" width="8.7109375" customWidth="1"/>
    <col min="3" max="3" width="5" customWidth="1"/>
    <col min="4" max="4" width="0" hidden="1" customWidth="1"/>
    <col min="6" max="6" width="7" customWidth="1"/>
    <col min="7" max="7" width="0" hidden="1" customWidth="1"/>
    <col min="12" max="12" width="8.28515625" customWidth="1"/>
    <col min="13" max="13" width="5.7109375" hidden="1" customWidth="1"/>
    <col min="14" max="14" width="8" hidden="1" customWidth="1"/>
    <col min="15" max="15" width="5.140625" hidden="1" customWidth="1"/>
    <col min="16" max="16" width="6" hidden="1" customWidth="1"/>
    <col min="17" max="17" width="19.85546875" hidden="1" customWidth="1"/>
    <col min="18" max="18" width="18.140625" hidden="1" customWidth="1"/>
    <col min="19" max="19" width="0" hidden="1" customWidth="1"/>
    <col min="20" max="20" width="12.5703125" customWidth="1"/>
    <col min="21" max="21" width="0" hidden="1" customWidth="1"/>
    <col min="24" max="25" width="0" hidden="1" customWidth="1"/>
    <col min="26" max="26" width="32.42578125" bestFit="1" customWidth="1"/>
    <col min="27" max="29" width="0" hidden="1" customWidth="1"/>
  </cols>
  <sheetData>
    <row r="1" spans="1:29" x14ac:dyDescent="0.25">
      <c r="A1" t="s">
        <v>0</v>
      </c>
      <c r="B1" t="s">
        <v>1054</v>
      </c>
      <c r="C1" t="s">
        <v>1055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</row>
    <row r="2" spans="1:29" x14ac:dyDescent="0.25">
      <c r="A2" t="s">
        <v>27</v>
      </c>
      <c r="B2">
        <v>160268</v>
      </c>
      <c r="C2">
        <v>4</v>
      </c>
      <c r="D2" t="s">
        <v>28</v>
      </c>
      <c r="E2" t="s">
        <v>29</v>
      </c>
      <c r="F2" t="s">
        <v>30</v>
      </c>
      <c r="G2" s="3">
        <v>2900</v>
      </c>
      <c r="H2" s="2">
        <v>42374</v>
      </c>
      <c r="I2" s="2">
        <v>42374</v>
      </c>
      <c r="J2" s="2">
        <v>42374</v>
      </c>
      <c r="K2" s="2">
        <v>42384</v>
      </c>
      <c r="L2" t="s">
        <v>31</v>
      </c>
      <c r="M2">
        <v>50</v>
      </c>
      <c r="N2">
        <v>160268</v>
      </c>
      <c r="P2">
        <v>0</v>
      </c>
      <c r="Q2">
        <v>20</v>
      </c>
      <c r="R2" s="3">
        <v>2903.38</v>
      </c>
      <c r="S2">
        <v>20</v>
      </c>
      <c r="T2" s="3">
        <v>2900</v>
      </c>
      <c r="U2">
        <v>0</v>
      </c>
      <c r="V2" s="2"/>
      <c r="W2" s="2"/>
      <c r="X2" t="s">
        <v>32</v>
      </c>
      <c r="Y2" t="s">
        <v>33</v>
      </c>
      <c r="Z2" t="s">
        <v>34</v>
      </c>
      <c r="AA2" t="s">
        <v>35</v>
      </c>
    </row>
    <row r="3" spans="1:29" x14ac:dyDescent="0.25">
      <c r="A3" t="s">
        <v>36</v>
      </c>
      <c r="B3">
        <v>164202</v>
      </c>
      <c r="C3">
        <v>4</v>
      </c>
      <c r="D3" t="s">
        <v>37</v>
      </c>
      <c r="E3" t="s">
        <v>29</v>
      </c>
      <c r="F3" t="s">
        <v>38</v>
      </c>
      <c r="G3" s="3">
        <v>1550</v>
      </c>
      <c r="H3" s="2">
        <v>42374</v>
      </c>
      <c r="J3" s="2">
        <v>42368</v>
      </c>
      <c r="L3" t="s">
        <v>31</v>
      </c>
      <c r="M3">
        <v>50</v>
      </c>
      <c r="N3">
        <v>164202</v>
      </c>
      <c r="P3">
        <v>0</v>
      </c>
      <c r="Q3">
        <v>30</v>
      </c>
      <c r="R3" s="3">
        <v>1550.29</v>
      </c>
      <c r="S3">
        <v>30</v>
      </c>
      <c r="T3" s="3">
        <v>1550</v>
      </c>
      <c r="U3">
        <v>30</v>
      </c>
      <c r="V3" s="2">
        <v>42452</v>
      </c>
      <c r="W3" s="2">
        <v>42454</v>
      </c>
      <c r="X3" t="s">
        <v>39</v>
      </c>
      <c r="Y3" t="s">
        <v>40</v>
      </c>
      <c r="Z3" t="s">
        <v>34</v>
      </c>
      <c r="AA3" t="s">
        <v>35</v>
      </c>
    </row>
    <row r="4" spans="1:29" x14ac:dyDescent="0.25">
      <c r="A4" t="s">
        <v>41</v>
      </c>
      <c r="B4">
        <v>164204</v>
      </c>
      <c r="C4">
        <v>4</v>
      </c>
      <c r="D4" t="s">
        <v>42</v>
      </c>
      <c r="E4" t="s">
        <v>29</v>
      </c>
      <c r="F4" t="s">
        <v>38</v>
      </c>
      <c r="G4" s="3">
        <v>14356</v>
      </c>
      <c r="H4" s="2">
        <v>42374</v>
      </c>
      <c r="J4" s="2">
        <v>42374</v>
      </c>
      <c r="L4" t="s">
        <v>31</v>
      </c>
      <c r="M4">
        <v>50</v>
      </c>
      <c r="N4">
        <v>164204</v>
      </c>
      <c r="P4">
        <v>0</v>
      </c>
      <c r="Q4">
        <v>304</v>
      </c>
      <c r="R4" s="3">
        <v>14355.73</v>
      </c>
      <c r="S4">
        <v>304</v>
      </c>
      <c r="T4" s="3">
        <v>14356</v>
      </c>
      <c r="U4">
        <v>279.5</v>
      </c>
      <c r="V4" s="2">
        <v>42374</v>
      </c>
      <c r="W4" s="2">
        <v>42474</v>
      </c>
      <c r="X4" t="s">
        <v>43</v>
      </c>
      <c r="Y4" t="s">
        <v>44</v>
      </c>
      <c r="Z4" t="s">
        <v>34</v>
      </c>
      <c r="AA4" t="s">
        <v>35</v>
      </c>
    </row>
    <row r="5" spans="1:29" x14ac:dyDescent="0.25">
      <c r="A5" t="s">
        <v>45</v>
      </c>
      <c r="B5">
        <v>164203</v>
      </c>
      <c r="C5">
        <v>4</v>
      </c>
      <c r="D5" t="s">
        <v>46</v>
      </c>
      <c r="E5" t="s">
        <v>29</v>
      </c>
      <c r="F5" t="s">
        <v>38</v>
      </c>
      <c r="G5" s="3">
        <v>1350</v>
      </c>
      <c r="H5" s="2">
        <v>42374</v>
      </c>
      <c r="I5" s="2"/>
      <c r="J5" s="2">
        <v>42373</v>
      </c>
      <c r="K5" s="2"/>
      <c r="L5" t="s">
        <v>31</v>
      </c>
      <c r="M5">
        <v>50</v>
      </c>
      <c r="N5">
        <v>164203</v>
      </c>
      <c r="P5">
        <v>0</v>
      </c>
      <c r="Q5">
        <v>28</v>
      </c>
      <c r="R5" s="3">
        <v>1350.42</v>
      </c>
      <c r="S5">
        <v>28</v>
      </c>
      <c r="T5" s="3">
        <v>1350</v>
      </c>
      <c r="U5">
        <v>28</v>
      </c>
      <c r="V5" s="2">
        <v>42376</v>
      </c>
      <c r="W5" s="2">
        <v>42461</v>
      </c>
      <c r="X5" t="s">
        <v>47</v>
      </c>
      <c r="Y5" t="s">
        <v>48</v>
      </c>
      <c r="Z5" t="s">
        <v>34</v>
      </c>
      <c r="AA5" t="s">
        <v>35</v>
      </c>
    </row>
    <row r="6" spans="1:29" x14ac:dyDescent="0.25">
      <c r="A6" t="s">
        <v>49</v>
      </c>
      <c r="B6">
        <v>160103</v>
      </c>
      <c r="C6">
        <v>4</v>
      </c>
      <c r="D6" t="s">
        <v>50</v>
      </c>
      <c r="E6" t="s">
        <v>51</v>
      </c>
      <c r="F6" t="s">
        <v>52</v>
      </c>
      <c r="G6" s="3">
        <v>6860</v>
      </c>
      <c r="H6" s="2">
        <v>42375</v>
      </c>
      <c r="I6" s="2">
        <v>42384</v>
      </c>
      <c r="J6" s="2">
        <v>42376</v>
      </c>
      <c r="K6" s="2">
        <v>42401</v>
      </c>
      <c r="L6" t="s">
        <v>31</v>
      </c>
      <c r="M6">
        <v>25</v>
      </c>
      <c r="N6">
        <v>160103</v>
      </c>
      <c r="P6">
        <v>0</v>
      </c>
      <c r="Q6">
        <v>51</v>
      </c>
      <c r="R6" s="3">
        <v>6136.51</v>
      </c>
      <c r="S6">
        <v>51</v>
      </c>
      <c r="T6" s="3">
        <v>6860</v>
      </c>
      <c r="U6">
        <v>134</v>
      </c>
      <c r="V6" s="2">
        <v>42415</v>
      </c>
      <c r="W6" s="2">
        <v>42451</v>
      </c>
      <c r="X6" t="s">
        <v>53</v>
      </c>
      <c r="Y6" t="s">
        <v>54</v>
      </c>
      <c r="Z6" t="s">
        <v>55</v>
      </c>
      <c r="AA6" t="s">
        <v>35</v>
      </c>
    </row>
    <row r="7" spans="1:29" x14ac:dyDescent="0.25">
      <c r="A7" t="s">
        <v>63</v>
      </c>
      <c r="C7">
        <v>3</v>
      </c>
      <c r="D7" t="s">
        <v>64</v>
      </c>
      <c r="E7" t="s">
        <v>65</v>
      </c>
      <c r="F7" t="s">
        <v>66</v>
      </c>
      <c r="G7" s="3">
        <v>9270</v>
      </c>
      <c r="H7" s="2">
        <v>42375</v>
      </c>
      <c r="I7" s="2">
        <v>42384</v>
      </c>
      <c r="J7" s="2">
        <v>42388</v>
      </c>
      <c r="K7" s="2">
        <v>42429</v>
      </c>
      <c r="L7" t="s">
        <v>31</v>
      </c>
      <c r="M7">
        <v>25</v>
      </c>
      <c r="P7">
        <v>0</v>
      </c>
      <c r="Q7">
        <v>22</v>
      </c>
      <c r="R7" s="3">
        <v>9269.58</v>
      </c>
      <c r="S7">
        <v>0</v>
      </c>
      <c r="T7">
        <v>0</v>
      </c>
      <c r="U7">
        <v>0</v>
      </c>
      <c r="X7" t="s">
        <v>67</v>
      </c>
      <c r="Y7" t="s">
        <v>68</v>
      </c>
      <c r="Z7" t="s">
        <v>69</v>
      </c>
      <c r="AA7" t="s">
        <v>35</v>
      </c>
    </row>
    <row r="8" spans="1:29" x14ac:dyDescent="0.25">
      <c r="A8" t="s">
        <v>70</v>
      </c>
      <c r="C8">
        <v>3</v>
      </c>
      <c r="D8" t="s">
        <v>71</v>
      </c>
      <c r="E8" t="s">
        <v>51</v>
      </c>
      <c r="F8" t="s">
        <v>52</v>
      </c>
      <c r="G8" s="3">
        <v>0</v>
      </c>
      <c r="H8" s="2">
        <v>42376</v>
      </c>
      <c r="I8" s="2"/>
      <c r="J8" s="2">
        <v>42375</v>
      </c>
      <c r="K8" s="2">
        <v>42735</v>
      </c>
      <c r="L8" t="s">
        <v>31</v>
      </c>
      <c r="M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Y8" t="s">
        <v>72</v>
      </c>
      <c r="Z8" t="s">
        <v>73</v>
      </c>
      <c r="AA8" t="s">
        <v>35</v>
      </c>
    </row>
    <row r="9" spans="1:29" x14ac:dyDescent="0.25">
      <c r="A9" t="s">
        <v>78</v>
      </c>
      <c r="B9">
        <v>161701</v>
      </c>
      <c r="C9">
        <v>4</v>
      </c>
      <c r="D9" t="s">
        <v>79</v>
      </c>
      <c r="E9" t="s">
        <v>65</v>
      </c>
      <c r="F9" t="s">
        <v>80</v>
      </c>
      <c r="G9">
        <v>0</v>
      </c>
      <c r="H9" s="2">
        <v>42377</v>
      </c>
      <c r="I9" s="2">
        <v>42403</v>
      </c>
      <c r="J9" s="2">
        <v>42404</v>
      </c>
      <c r="K9" s="2">
        <v>42415</v>
      </c>
      <c r="L9" t="s">
        <v>31</v>
      </c>
      <c r="M9">
        <v>50</v>
      </c>
      <c r="N9">
        <v>161701</v>
      </c>
      <c r="P9">
        <v>0</v>
      </c>
      <c r="Q9">
        <v>0</v>
      </c>
      <c r="R9">
        <v>0</v>
      </c>
      <c r="S9">
        <v>0</v>
      </c>
      <c r="T9">
        <v>0</v>
      </c>
      <c r="U9">
        <v>67.5</v>
      </c>
      <c r="X9" t="s">
        <v>81</v>
      </c>
      <c r="Y9" t="s">
        <v>82</v>
      </c>
      <c r="Z9" t="s">
        <v>83</v>
      </c>
      <c r="AA9" t="s">
        <v>84</v>
      </c>
    </row>
    <row r="10" spans="1:29" x14ac:dyDescent="0.25">
      <c r="A10" t="s">
        <v>90</v>
      </c>
      <c r="C10">
        <v>3</v>
      </c>
      <c r="D10" t="s">
        <v>91</v>
      </c>
      <c r="E10" t="s">
        <v>29</v>
      </c>
      <c r="F10" t="s">
        <v>38</v>
      </c>
      <c r="G10">
        <v>660</v>
      </c>
      <c r="H10" s="2">
        <v>42377</v>
      </c>
      <c r="J10" s="2">
        <v>42375</v>
      </c>
      <c r="K10" s="2">
        <v>42460</v>
      </c>
      <c r="L10" t="s">
        <v>31</v>
      </c>
      <c r="M10">
        <v>50</v>
      </c>
      <c r="P10">
        <v>0</v>
      </c>
      <c r="Q10">
        <v>4</v>
      </c>
      <c r="R10">
        <v>660.17</v>
      </c>
      <c r="S10">
        <v>0</v>
      </c>
      <c r="T10">
        <v>0</v>
      </c>
      <c r="U10">
        <v>0</v>
      </c>
      <c r="V10" s="2"/>
      <c r="W10" s="2"/>
      <c r="X10" t="s">
        <v>92</v>
      </c>
      <c r="Y10" t="s">
        <v>93</v>
      </c>
      <c r="Z10" t="s">
        <v>34</v>
      </c>
      <c r="AA10" t="s">
        <v>35</v>
      </c>
    </row>
    <row r="11" spans="1:29" x14ac:dyDescent="0.25">
      <c r="A11" t="s">
        <v>94</v>
      </c>
      <c r="B11">
        <v>164208</v>
      </c>
      <c r="C11">
        <v>4</v>
      </c>
      <c r="D11" t="s">
        <v>95</v>
      </c>
      <c r="E11" t="s">
        <v>29</v>
      </c>
      <c r="F11" t="s">
        <v>38</v>
      </c>
      <c r="G11" s="3">
        <v>525</v>
      </c>
      <c r="H11" s="2">
        <v>42377</v>
      </c>
      <c r="I11" s="2"/>
      <c r="J11" s="2">
        <v>42377</v>
      </c>
      <c r="K11" s="2"/>
      <c r="L11" t="s">
        <v>31</v>
      </c>
      <c r="M11">
        <v>50</v>
      </c>
      <c r="N11">
        <v>164208</v>
      </c>
      <c r="P11">
        <v>0</v>
      </c>
      <c r="Q11">
        <v>11</v>
      </c>
      <c r="R11" s="3">
        <v>525.98</v>
      </c>
      <c r="S11">
        <v>11</v>
      </c>
      <c r="T11" s="3">
        <v>525</v>
      </c>
      <c r="U11">
        <v>11</v>
      </c>
      <c r="V11" s="2">
        <v>42425</v>
      </c>
      <c r="W11" s="2">
        <v>42425</v>
      </c>
      <c r="X11" t="s">
        <v>96</v>
      </c>
      <c r="Y11" t="s">
        <v>97</v>
      </c>
      <c r="Z11" t="s">
        <v>34</v>
      </c>
      <c r="AA11" t="s">
        <v>35</v>
      </c>
    </row>
    <row r="12" spans="1:29" x14ac:dyDescent="0.25">
      <c r="A12" t="s">
        <v>98</v>
      </c>
      <c r="B12">
        <v>160621</v>
      </c>
      <c r="C12">
        <v>4</v>
      </c>
      <c r="D12" t="s">
        <v>99</v>
      </c>
      <c r="E12" t="s">
        <v>58</v>
      </c>
      <c r="F12" t="s">
        <v>59</v>
      </c>
      <c r="G12" s="3">
        <v>8500</v>
      </c>
      <c r="H12" s="2">
        <v>42377</v>
      </c>
      <c r="I12" s="2">
        <v>42436</v>
      </c>
      <c r="J12" s="2">
        <v>42403</v>
      </c>
      <c r="K12" s="2">
        <v>42461</v>
      </c>
      <c r="L12" t="s">
        <v>31</v>
      </c>
      <c r="M12">
        <v>60</v>
      </c>
      <c r="N12">
        <v>160621</v>
      </c>
      <c r="P12">
        <v>0</v>
      </c>
      <c r="Q12">
        <v>35</v>
      </c>
      <c r="R12" s="3">
        <v>8818.68</v>
      </c>
      <c r="S12">
        <v>35</v>
      </c>
      <c r="T12" s="3">
        <v>8500</v>
      </c>
      <c r="U12">
        <v>6</v>
      </c>
      <c r="X12" t="s">
        <v>100</v>
      </c>
      <c r="Y12" t="s">
        <v>101</v>
      </c>
      <c r="Z12" t="s">
        <v>102</v>
      </c>
      <c r="AA12" t="s">
        <v>35</v>
      </c>
    </row>
    <row r="13" spans="1:29" x14ac:dyDescent="0.25">
      <c r="A13" t="s">
        <v>103</v>
      </c>
      <c r="C13">
        <v>3</v>
      </c>
      <c r="D13" t="s">
        <v>104</v>
      </c>
      <c r="E13" t="s">
        <v>58</v>
      </c>
      <c r="F13" t="s">
        <v>87</v>
      </c>
      <c r="G13" s="3">
        <v>2075</v>
      </c>
      <c r="H13" s="2">
        <v>42380</v>
      </c>
      <c r="I13" s="2">
        <v>42380</v>
      </c>
      <c r="J13" s="2">
        <v>42380</v>
      </c>
      <c r="K13" s="2">
        <v>42387</v>
      </c>
      <c r="L13" t="s">
        <v>31</v>
      </c>
      <c r="M13">
        <v>0</v>
      </c>
      <c r="P13">
        <v>0</v>
      </c>
      <c r="Q13">
        <v>30</v>
      </c>
      <c r="R13" s="3">
        <v>2072.81</v>
      </c>
      <c r="S13">
        <v>0</v>
      </c>
      <c r="T13">
        <v>0</v>
      </c>
      <c r="U13">
        <v>0</v>
      </c>
      <c r="X13" t="s">
        <v>105</v>
      </c>
      <c r="Y13" t="s">
        <v>106</v>
      </c>
      <c r="Z13" t="s">
        <v>107</v>
      </c>
      <c r="AA13" t="s">
        <v>35</v>
      </c>
    </row>
    <row r="14" spans="1:29" x14ac:dyDescent="0.25">
      <c r="A14" t="s">
        <v>108</v>
      </c>
      <c r="C14">
        <v>3</v>
      </c>
      <c r="D14" t="s">
        <v>109</v>
      </c>
      <c r="E14" t="s">
        <v>58</v>
      </c>
      <c r="F14" t="s">
        <v>30</v>
      </c>
      <c r="G14" s="3">
        <v>65535</v>
      </c>
      <c r="H14" s="2">
        <v>42381</v>
      </c>
      <c r="I14" s="2">
        <v>42383</v>
      </c>
      <c r="J14" s="2">
        <v>42391</v>
      </c>
      <c r="K14" s="2">
        <v>42430</v>
      </c>
      <c r="L14" t="s">
        <v>31</v>
      </c>
      <c r="M14">
        <v>25</v>
      </c>
      <c r="P14">
        <v>0</v>
      </c>
      <c r="Q14">
        <v>650</v>
      </c>
      <c r="R14" s="3">
        <v>65535.73</v>
      </c>
      <c r="S14">
        <v>0</v>
      </c>
      <c r="T14">
        <v>0</v>
      </c>
      <c r="U14">
        <v>0</v>
      </c>
      <c r="X14" t="s">
        <v>110</v>
      </c>
      <c r="Y14" t="s">
        <v>111</v>
      </c>
      <c r="Z14" t="s">
        <v>112</v>
      </c>
      <c r="AA14" t="s">
        <v>35</v>
      </c>
    </row>
    <row r="15" spans="1:29" x14ac:dyDescent="0.25">
      <c r="A15" t="s">
        <v>113</v>
      </c>
      <c r="B15">
        <v>164209</v>
      </c>
      <c r="C15">
        <v>4</v>
      </c>
      <c r="D15" t="s">
        <v>114</v>
      </c>
      <c r="E15" t="s">
        <v>29</v>
      </c>
      <c r="F15" t="s">
        <v>38</v>
      </c>
      <c r="G15" s="3">
        <v>2680</v>
      </c>
      <c r="H15" s="2">
        <v>42381</v>
      </c>
      <c r="I15" s="2"/>
      <c r="J15" s="2">
        <v>42380</v>
      </c>
      <c r="L15" t="s">
        <v>31</v>
      </c>
      <c r="M15">
        <v>50</v>
      </c>
      <c r="N15">
        <v>164209</v>
      </c>
      <c r="P15">
        <v>0</v>
      </c>
      <c r="Q15">
        <v>28</v>
      </c>
      <c r="R15" s="3">
        <v>1340.1</v>
      </c>
      <c r="S15">
        <v>56</v>
      </c>
      <c r="T15" s="3">
        <v>2680</v>
      </c>
      <c r="U15">
        <v>26</v>
      </c>
      <c r="V15" s="2">
        <v>42397</v>
      </c>
      <c r="W15" s="2">
        <v>42397</v>
      </c>
      <c r="X15" t="s">
        <v>115</v>
      </c>
      <c r="Y15" t="s">
        <v>48</v>
      </c>
      <c r="Z15" t="s">
        <v>34</v>
      </c>
      <c r="AA15" t="s">
        <v>35</v>
      </c>
    </row>
    <row r="16" spans="1:29" x14ac:dyDescent="0.25">
      <c r="A16" t="s">
        <v>116</v>
      </c>
      <c r="C16">
        <v>7</v>
      </c>
      <c r="D16" t="s">
        <v>117</v>
      </c>
      <c r="E16" t="s">
        <v>58</v>
      </c>
      <c r="F16" t="s">
        <v>59</v>
      </c>
      <c r="G16" s="3">
        <v>72800</v>
      </c>
      <c r="H16" s="2">
        <v>42381</v>
      </c>
      <c r="I16" s="2">
        <v>42384</v>
      </c>
      <c r="J16" s="2">
        <v>42383</v>
      </c>
      <c r="K16" s="2"/>
      <c r="L16" t="s">
        <v>31</v>
      </c>
      <c r="M16">
        <v>0</v>
      </c>
      <c r="P16">
        <v>0</v>
      </c>
      <c r="Q16">
        <v>0</v>
      </c>
      <c r="R16" s="3">
        <v>0</v>
      </c>
      <c r="S16">
        <v>0</v>
      </c>
      <c r="T16">
        <v>0</v>
      </c>
      <c r="U16">
        <v>0</v>
      </c>
      <c r="X16" t="s">
        <v>118</v>
      </c>
      <c r="Y16" t="s">
        <v>119</v>
      </c>
      <c r="Z16" t="s">
        <v>120</v>
      </c>
      <c r="AA16" t="s">
        <v>35</v>
      </c>
    </row>
    <row r="17" spans="1:27" x14ac:dyDescent="0.25">
      <c r="A17" t="s">
        <v>126</v>
      </c>
      <c r="C17">
        <v>3</v>
      </c>
      <c r="D17" t="s">
        <v>127</v>
      </c>
      <c r="E17" t="s">
        <v>65</v>
      </c>
      <c r="F17" t="s">
        <v>66</v>
      </c>
      <c r="G17" s="3">
        <v>41580</v>
      </c>
      <c r="H17" s="2">
        <v>42381</v>
      </c>
      <c r="I17" s="2">
        <v>42389</v>
      </c>
      <c r="J17" s="2">
        <v>42390</v>
      </c>
      <c r="K17" s="2">
        <v>42460</v>
      </c>
      <c r="L17" t="s">
        <v>31</v>
      </c>
      <c r="M17">
        <v>20</v>
      </c>
      <c r="P17">
        <v>0</v>
      </c>
      <c r="Q17">
        <v>316</v>
      </c>
      <c r="R17" s="3">
        <v>41579.599999999999</v>
      </c>
      <c r="S17">
        <v>0</v>
      </c>
      <c r="T17">
        <v>0</v>
      </c>
      <c r="U17">
        <v>0</v>
      </c>
      <c r="V17" s="2"/>
      <c r="W17" s="2"/>
      <c r="X17" t="s">
        <v>67</v>
      </c>
      <c r="Y17" t="s">
        <v>128</v>
      </c>
      <c r="Z17" t="s">
        <v>129</v>
      </c>
      <c r="AA17" t="s">
        <v>35</v>
      </c>
    </row>
    <row r="18" spans="1:27" x14ac:dyDescent="0.25">
      <c r="A18" t="s">
        <v>130</v>
      </c>
      <c r="B18">
        <v>160107</v>
      </c>
      <c r="C18">
        <v>4</v>
      </c>
      <c r="D18" t="s">
        <v>131</v>
      </c>
      <c r="E18" t="s">
        <v>51</v>
      </c>
      <c r="F18" t="s">
        <v>132</v>
      </c>
      <c r="G18" s="3">
        <v>1211</v>
      </c>
      <c r="H18" s="2">
        <v>42382</v>
      </c>
      <c r="I18" s="2">
        <v>42460</v>
      </c>
      <c r="J18" s="2">
        <v>42402</v>
      </c>
      <c r="K18" s="2">
        <v>42488</v>
      </c>
      <c r="L18" t="s">
        <v>31</v>
      </c>
      <c r="M18">
        <v>100</v>
      </c>
      <c r="N18">
        <v>160107</v>
      </c>
      <c r="P18">
        <v>0</v>
      </c>
      <c r="Q18">
        <v>12</v>
      </c>
      <c r="R18" s="3">
        <v>1209.49</v>
      </c>
      <c r="S18">
        <v>12</v>
      </c>
      <c r="T18" s="3">
        <v>1211</v>
      </c>
      <c r="U18">
        <v>0</v>
      </c>
      <c r="X18" t="s">
        <v>133</v>
      </c>
      <c r="Y18" t="s">
        <v>134</v>
      </c>
      <c r="Z18" t="s">
        <v>135</v>
      </c>
      <c r="AA18" t="s">
        <v>35</v>
      </c>
    </row>
    <row r="19" spans="1:27" x14ac:dyDescent="0.25">
      <c r="A19" t="s">
        <v>136</v>
      </c>
      <c r="B19">
        <v>164016</v>
      </c>
      <c r="C19">
        <v>4</v>
      </c>
      <c r="D19" t="s">
        <v>137</v>
      </c>
      <c r="E19" t="s">
        <v>29</v>
      </c>
      <c r="F19" t="s">
        <v>138</v>
      </c>
      <c r="G19" s="3">
        <v>822</v>
      </c>
      <c r="H19" s="2">
        <v>42382</v>
      </c>
      <c r="I19" s="2">
        <v>42391</v>
      </c>
      <c r="J19" s="2">
        <v>42390</v>
      </c>
      <c r="K19" s="2">
        <v>42429</v>
      </c>
      <c r="L19" t="s">
        <v>31</v>
      </c>
      <c r="M19">
        <v>50</v>
      </c>
      <c r="N19">
        <v>164016</v>
      </c>
      <c r="P19">
        <v>0</v>
      </c>
      <c r="Q19">
        <v>0</v>
      </c>
      <c r="R19" s="3">
        <v>0</v>
      </c>
      <c r="S19">
        <v>1</v>
      </c>
      <c r="T19">
        <v>822</v>
      </c>
      <c r="U19">
        <v>8</v>
      </c>
      <c r="V19" s="2">
        <v>42437</v>
      </c>
      <c r="W19" s="2">
        <v>42437</v>
      </c>
      <c r="X19" t="s">
        <v>139</v>
      </c>
      <c r="Y19" t="s">
        <v>140</v>
      </c>
      <c r="Z19" t="s">
        <v>34</v>
      </c>
      <c r="AA19" t="s">
        <v>35</v>
      </c>
    </row>
    <row r="20" spans="1:27" x14ac:dyDescent="0.25">
      <c r="A20" t="s">
        <v>141</v>
      </c>
      <c r="B20">
        <v>164018</v>
      </c>
      <c r="C20">
        <v>4</v>
      </c>
      <c r="D20" t="s">
        <v>142</v>
      </c>
      <c r="E20" t="s">
        <v>29</v>
      </c>
      <c r="F20" t="s">
        <v>138</v>
      </c>
      <c r="G20" s="3">
        <v>2495</v>
      </c>
      <c r="H20" s="2">
        <v>42382</v>
      </c>
      <c r="I20" s="2">
        <v>42391</v>
      </c>
      <c r="J20" s="2">
        <v>42391</v>
      </c>
      <c r="K20" s="2">
        <v>42430</v>
      </c>
      <c r="L20" t="s">
        <v>31</v>
      </c>
      <c r="M20">
        <v>50</v>
      </c>
      <c r="N20">
        <v>164018</v>
      </c>
      <c r="P20">
        <v>0</v>
      </c>
      <c r="Q20">
        <v>40</v>
      </c>
      <c r="R20" s="3">
        <v>2495.11</v>
      </c>
      <c r="S20">
        <v>40</v>
      </c>
      <c r="T20" s="3">
        <v>2495</v>
      </c>
      <c r="U20">
        <v>0</v>
      </c>
      <c r="X20" t="s">
        <v>139</v>
      </c>
      <c r="Y20" t="s">
        <v>140</v>
      </c>
      <c r="Z20" t="s">
        <v>34</v>
      </c>
      <c r="AA20" t="s">
        <v>35</v>
      </c>
    </row>
    <row r="21" spans="1:27" x14ac:dyDescent="0.25">
      <c r="A21" t="s">
        <v>143</v>
      </c>
      <c r="C21">
        <v>3</v>
      </c>
      <c r="D21" t="s">
        <v>144</v>
      </c>
      <c r="E21" t="s">
        <v>29</v>
      </c>
      <c r="F21" t="s">
        <v>138</v>
      </c>
      <c r="G21" s="3">
        <v>10766</v>
      </c>
      <c r="H21" s="2">
        <v>42382</v>
      </c>
      <c r="I21" s="2">
        <v>42391</v>
      </c>
      <c r="J21" s="2">
        <v>42391</v>
      </c>
      <c r="K21" s="2">
        <v>42430</v>
      </c>
      <c r="L21" t="s">
        <v>31</v>
      </c>
      <c r="M21">
        <v>30</v>
      </c>
      <c r="P21">
        <v>0</v>
      </c>
      <c r="Q21">
        <v>143</v>
      </c>
      <c r="R21" s="3">
        <v>10798.98</v>
      </c>
      <c r="S21">
        <v>0</v>
      </c>
      <c r="T21">
        <v>0</v>
      </c>
      <c r="U21">
        <v>0</v>
      </c>
      <c r="V21" s="2"/>
      <c r="W21" s="2"/>
      <c r="X21" t="s">
        <v>139</v>
      </c>
      <c r="Y21" t="s">
        <v>140</v>
      </c>
      <c r="Z21" t="s">
        <v>34</v>
      </c>
      <c r="AA21" t="s">
        <v>35</v>
      </c>
    </row>
    <row r="22" spans="1:27" x14ac:dyDescent="0.25">
      <c r="A22" t="s">
        <v>145</v>
      </c>
      <c r="B22">
        <v>164021</v>
      </c>
      <c r="C22">
        <v>4</v>
      </c>
      <c r="D22" t="s">
        <v>146</v>
      </c>
      <c r="E22" t="s">
        <v>29</v>
      </c>
      <c r="F22" t="s">
        <v>138</v>
      </c>
      <c r="G22" s="3">
        <v>780</v>
      </c>
      <c r="H22" s="2">
        <v>42382</v>
      </c>
      <c r="I22" s="2">
        <v>42394</v>
      </c>
      <c r="J22" s="2">
        <v>42394</v>
      </c>
      <c r="K22" s="2">
        <v>42430</v>
      </c>
      <c r="L22" t="s">
        <v>31</v>
      </c>
      <c r="M22">
        <v>50</v>
      </c>
      <c r="N22">
        <v>164021</v>
      </c>
      <c r="P22">
        <v>0</v>
      </c>
      <c r="Q22">
        <v>17</v>
      </c>
      <c r="R22">
        <v>778.89</v>
      </c>
      <c r="S22">
        <v>17</v>
      </c>
      <c r="T22" s="3">
        <v>780</v>
      </c>
      <c r="U22">
        <v>0</v>
      </c>
      <c r="X22" t="s">
        <v>139</v>
      </c>
      <c r="Y22" t="s">
        <v>140</v>
      </c>
      <c r="Z22" t="s">
        <v>34</v>
      </c>
      <c r="AA22" t="s">
        <v>35</v>
      </c>
    </row>
    <row r="23" spans="1:27" x14ac:dyDescent="0.25">
      <c r="A23" t="s">
        <v>147</v>
      </c>
      <c r="B23">
        <v>164030</v>
      </c>
      <c r="C23">
        <v>4</v>
      </c>
      <c r="D23" t="s">
        <v>148</v>
      </c>
      <c r="E23" t="s">
        <v>29</v>
      </c>
      <c r="F23" t="s">
        <v>138</v>
      </c>
      <c r="G23" s="3">
        <v>875</v>
      </c>
      <c r="H23" s="2">
        <v>42382</v>
      </c>
      <c r="I23" s="2">
        <v>42396</v>
      </c>
      <c r="J23" s="2">
        <v>42396</v>
      </c>
      <c r="K23" s="2">
        <v>42429</v>
      </c>
      <c r="L23" t="s">
        <v>31</v>
      </c>
      <c r="M23">
        <v>50</v>
      </c>
      <c r="N23">
        <v>164030</v>
      </c>
      <c r="P23">
        <v>0</v>
      </c>
      <c r="Q23">
        <v>6</v>
      </c>
      <c r="R23" s="3">
        <v>888.88</v>
      </c>
      <c r="S23">
        <v>6</v>
      </c>
      <c r="T23" s="3">
        <v>875</v>
      </c>
      <c r="U23">
        <v>15.5</v>
      </c>
      <c r="V23" s="2">
        <v>42425</v>
      </c>
      <c r="W23" s="2">
        <v>42426</v>
      </c>
      <c r="X23" t="s">
        <v>139</v>
      </c>
      <c r="Y23" t="s">
        <v>149</v>
      </c>
      <c r="Z23" t="s">
        <v>34</v>
      </c>
      <c r="AA23" t="s">
        <v>35</v>
      </c>
    </row>
    <row r="24" spans="1:27" x14ac:dyDescent="0.25">
      <c r="A24" t="s">
        <v>150</v>
      </c>
      <c r="B24">
        <v>164035</v>
      </c>
      <c r="C24">
        <v>4</v>
      </c>
      <c r="D24" t="s">
        <v>151</v>
      </c>
      <c r="E24" t="s">
        <v>29</v>
      </c>
      <c r="F24" t="s">
        <v>138</v>
      </c>
      <c r="G24" s="3">
        <v>1644</v>
      </c>
      <c r="H24" s="2">
        <v>42382</v>
      </c>
      <c r="I24" s="2">
        <v>42397</v>
      </c>
      <c r="J24" s="2">
        <v>42397</v>
      </c>
      <c r="K24" s="2">
        <v>42430</v>
      </c>
      <c r="L24" t="s">
        <v>31</v>
      </c>
      <c r="M24">
        <v>50</v>
      </c>
      <c r="N24">
        <v>164035</v>
      </c>
      <c r="P24">
        <v>0</v>
      </c>
      <c r="Q24">
        <v>0</v>
      </c>
      <c r="R24" s="3">
        <v>0</v>
      </c>
      <c r="S24">
        <v>1</v>
      </c>
      <c r="T24" s="3">
        <v>1644</v>
      </c>
      <c r="U24">
        <v>1</v>
      </c>
      <c r="X24" t="s">
        <v>139</v>
      </c>
      <c r="Y24" t="s">
        <v>140</v>
      </c>
      <c r="Z24" t="s">
        <v>34</v>
      </c>
      <c r="AA24" t="s">
        <v>35</v>
      </c>
    </row>
    <row r="25" spans="1:27" x14ac:dyDescent="0.25">
      <c r="A25" t="s">
        <v>152</v>
      </c>
      <c r="B25">
        <v>164028</v>
      </c>
      <c r="C25">
        <v>4</v>
      </c>
      <c r="D25" t="s">
        <v>153</v>
      </c>
      <c r="E25" t="s">
        <v>29</v>
      </c>
      <c r="F25" t="s">
        <v>138</v>
      </c>
      <c r="G25" s="3">
        <v>4750</v>
      </c>
      <c r="H25" s="2">
        <v>42382</v>
      </c>
      <c r="I25" s="2">
        <v>42410</v>
      </c>
      <c r="J25" s="2">
        <v>42410</v>
      </c>
      <c r="K25" s="2">
        <v>42460</v>
      </c>
      <c r="L25" t="s">
        <v>31</v>
      </c>
      <c r="M25">
        <v>50</v>
      </c>
      <c r="N25">
        <v>164028</v>
      </c>
      <c r="P25">
        <v>0</v>
      </c>
      <c r="Q25">
        <v>1</v>
      </c>
      <c r="R25" s="3">
        <v>4756.51</v>
      </c>
      <c r="S25">
        <v>1</v>
      </c>
      <c r="T25" s="3">
        <v>4750</v>
      </c>
      <c r="U25">
        <v>1.5</v>
      </c>
      <c r="X25" t="s">
        <v>154</v>
      </c>
      <c r="Y25" t="s">
        <v>155</v>
      </c>
      <c r="Z25" t="s">
        <v>34</v>
      </c>
      <c r="AA25" t="s">
        <v>35</v>
      </c>
    </row>
    <row r="26" spans="1:27" x14ac:dyDescent="0.25">
      <c r="A26" t="s">
        <v>156</v>
      </c>
      <c r="B26">
        <v>164027</v>
      </c>
      <c r="C26">
        <v>4</v>
      </c>
      <c r="D26" t="s">
        <v>157</v>
      </c>
      <c r="E26" t="s">
        <v>29</v>
      </c>
      <c r="F26" t="s">
        <v>138</v>
      </c>
      <c r="G26" s="3">
        <v>1835</v>
      </c>
      <c r="H26" s="2">
        <v>42382</v>
      </c>
      <c r="I26" s="2">
        <v>42402</v>
      </c>
      <c r="J26" s="2">
        <v>42402</v>
      </c>
      <c r="K26" s="2">
        <v>42430</v>
      </c>
      <c r="L26" t="s">
        <v>31</v>
      </c>
      <c r="M26">
        <v>50</v>
      </c>
      <c r="N26">
        <v>164027</v>
      </c>
      <c r="P26">
        <v>0</v>
      </c>
      <c r="Q26">
        <v>16</v>
      </c>
      <c r="R26" s="3">
        <v>1834.22</v>
      </c>
      <c r="S26">
        <v>16</v>
      </c>
      <c r="T26" s="3">
        <v>1835</v>
      </c>
      <c r="U26">
        <v>5</v>
      </c>
      <c r="X26" t="s">
        <v>139</v>
      </c>
      <c r="Y26" t="s">
        <v>140</v>
      </c>
      <c r="Z26" t="s">
        <v>34</v>
      </c>
      <c r="AA26" t="s">
        <v>35</v>
      </c>
    </row>
    <row r="27" spans="1:27" x14ac:dyDescent="0.25">
      <c r="A27" t="s">
        <v>158</v>
      </c>
      <c r="C27">
        <v>3</v>
      </c>
      <c r="D27" t="s">
        <v>159</v>
      </c>
      <c r="E27" t="s">
        <v>29</v>
      </c>
      <c r="F27" t="s">
        <v>138</v>
      </c>
      <c r="G27" s="3">
        <v>3215</v>
      </c>
      <c r="H27" s="2">
        <v>42382</v>
      </c>
      <c r="I27" s="2">
        <v>42403</v>
      </c>
      <c r="J27" s="2">
        <v>42403</v>
      </c>
      <c r="K27" s="2">
        <v>42460</v>
      </c>
      <c r="L27" t="s">
        <v>31</v>
      </c>
      <c r="M27">
        <v>30</v>
      </c>
      <c r="P27">
        <v>0</v>
      </c>
      <c r="Q27">
        <v>56</v>
      </c>
      <c r="R27" s="3">
        <v>3216.38</v>
      </c>
      <c r="S27">
        <v>0</v>
      </c>
      <c r="T27">
        <v>0</v>
      </c>
      <c r="U27">
        <v>0</v>
      </c>
      <c r="X27" t="s">
        <v>139</v>
      </c>
      <c r="Y27" t="s">
        <v>140</v>
      </c>
      <c r="Z27" t="s">
        <v>34</v>
      </c>
      <c r="AA27" t="s">
        <v>35</v>
      </c>
    </row>
    <row r="28" spans="1:27" x14ac:dyDescent="0.25">
      <c r="A28" t="s">
        <v>160</v>
      </c>
      <c r="C28">
        <v>5</v>
      </c>
      <c r="D28" t="s">
        <v>161</v>
      </c>
      <c r="E28" t="s">
        <v>29</v>
      </c>
      <c r="F28" t="s">
        <v>138</v>
      </c>
      <c r="G28" s="3">
        <v>9875</v>
      </c>
      <c r="H28" s="2">
        <v>42382</v>
      </c>
      <c r="I28" s="2">
        <v>42410</v>
      </c>
      <c r="J28" s="2">
        <v>42409</v>
      </c>
      <c r="K28" s="2">
        <v>42460</v>
      </c>
      <c r="L28" t="s">
        <v>31</v>
      </c>
      <c r="M28">
        <v>50</v>
      </c>
      <c r="P28">
        <v>0</v>
      </c>
      <c r="Q28">
        <v>160</v>
      </c>
      <c r="R28" s="3">
        <v>9865.4699999999993</v>
      </c>
      <c r="S28">
        <v>0</v>
      </c>
      <c r="T28" s="3">
        <v>0</v>
      </c>
      <c r="U28">
        <v>0</v>
      </c>
      <c r="V28" s="2"/>
      <c r="W28" s="2"/>
      <c r="X28" t="s">
        <v>162</v>
      </c>
      <c r="Y28" t="s">
        <v>163</v>
      </c>
      <c r="Z28" t="s">
        <v>34</v>
      </c>
      <c r="AA28" t="s">
        <v>35</v>
      </c>
    </row>
    <row r="29" spans="1:27" x14ac:dyDescent="0.25">
      <c r="A29" t="s">
        <v>164</v>
      </c>
      <c r="C29">
        <v>5</v>
      </c>
      <c r="D29" t="s">
        <v>165</v>
      </c>
      <c r="E29" t="s">
        <v>29</v>
      </c>
      <c r="F29" t="s">
        <v>138</v>
      </c>
      <c r="G29" s="3">
        <v>7517.5</v>
      </c>
      <c r="H29" s="2">
        <v>42382</v>
      </c>
      <c r="I29" s="2">
        <v>42410</v>
      </c>
      <c r="J29" s="2">
        <v>42408</v>
      </c>
      <c r="K29" s="2">
        <v>42460</v>
      </c>
      <c r="L29" t="s">
        <v>31</v>
      </c>
      <c r="M29">
        <v>50</v>
      </c>
      <c r="P29">
        <v>0</v>
      </c>
      <c r="Q29">
        <v>80</v>
      </c>
      <c r="R29" s="3">
        <v>7443.24</v>
      </c>
      <c r="S29">
        <v>0</v>
      </c>
      <c r="T29">
        <v>0</v>
      </c>
      <c r="U29">
        <v>0</v>
      </c>
      <c r="X29" t="s">
        <v>139</v>
      </c>
      <c r="Y29" t="s">
        <v>166</v>
      </c>
      <c r="Z29" t="s">
        <v>34</v>
      </c>
      <c r="AA29" t="s">
        <v>35</v>
      </c>
    </row>
    <row r="30" spans="1:27" x14ac:dyDescent="0.25">
      <c r="A30" t="s">
        <v>167</v>
      </c>
      <c r="B30">
        <v>164043</v>
      </c>
      <c r="C30">
        <v>4</v>
      </c>
      <c r="D30" t="s">
        <v>168</v>
      </c>
      <c r="E30" t="s">
        <v>29</v>
      </c>
      <c r="F30" t="s">
        <v>138</v>
      </c>
      <c r="G30" s="3">
        <v>2645</v>
      </c>
      <c r="H30" s="2">
        <v>42382</v>
      </c>
      <c r="I30" s="2">
        <v>42405</v>
      </c>
      <c r="J30" s="2">
        <v>42404</v>
      </c>
      <c r="K30" s="2">
        <v>42460</v>
      </c>
      <c r="L30" t="s">
        <v>31</v>
      </c>
      <c r="M30">
        <v>50</v>
      </c>
      <c r="N30">
        <v>164043</v>
      </c>
      <c r="P30">
        <v>0</v>
      </c>
      <c r="Q30">
        <v>48</v>
      </c>
      <c r="R30" s="3">
        <v>2645.62</v>
      </c>
      <c r="S30">
        <v>48</v>
      </c>
      <c r="T30" s="3">
        <v>2645</v>
      </c>
      <c r="U30">
        <v>19.25</v>
      </c>
      <c r="V30" s="2">
        <v>42443</v>
      </c>
      <c r="W30" s="2">
        <v>42461</v>
      </c>
      <c r="X30" t="s">
        <v>139</v>
      </c>
      <c r="Y30" t="s">
        <v>140</v>
      </c>
      <c r="Z30" t="s">
        <v>34</v>
      </c>
      <c r="AA30" t="s">
        <v>35</v>
      </c>
    </row>
    <row r="31" spans="1:27" x14ac:dyDescent="0.25">
      <c r="A31" t="s">
        <v>169</v>
      </c>
      <c r="B31">
        <v>164029</v>
      </c>
      <c r="C31">
        <v>4</v>
      </c>
      <c r="D31" t="s">
        <v>170</v>
      </c>
      <c r="E31" t="s">
        <v>29</v>
      </c>
      <c r="F31" t="s">
        <v>138</v>
      </c>
      <c r="G31" s="3">
        <v>4360</v>
      </c>
      <c r="H31" s="2">
        <v>42382</v>
      </c>
      <c r="I31" s="2">
        <v>42411</v>
      </c>
      <c r="J31" s="2">
        <v>42411</v>
      </c>
      <c r="K31" s="2">
        <v>42460</v>
      </c>
      <c r="L31" t="s">
        <v>31</v>
      </c>
      <c r="M31">
        <v>50</v>
      </c>
      <c r="N31">
        <v>164029</v>
      </c>
      <c r="P31">
        <v>0</v>
      </c>
      <c r="Q31">
        <v>2</v>
      </c>
      <c r="R31" s="3">
        <v>4360.8999999999996</v>
      </c>
      <c r="S31">
        <v>2</v>
      </c>
      <c r="T31" s="3">
        <v>4360</v>
      </c>
      <c r="U31">
        <v>2.5</v>
      </c>
      <c r="X31" t="s">
        <v>171</v>
      </c>
      <c r="Y31" t="s">
        <v>155</v>
      </c>
      <c r="Z31" t="s">
        <v>34</v>
      </c>
      <c r="AA31" t="s">
        <v>35</v>
      </c>
    </row>
    <row r="32" spans="1:27" x14ac:dyDescent="0.25">
      <c r="A32" t="s">
        <v>172</v>
      </c>
      <c r="B32">
        <v>164031</v>
      </c>
      <c r="C32">
        <v>4</v>
      </c>
      <c r="D32" t="s">
        <v>173</v>
      </c>
      <c r="E32" t="s">
        <v>29</v>
      </c>
      <c r="F32" t="s">
        <v>138</v>
      </c>
      <c r="G32" s="3">
        <v>485</v>
      </c>
      <c r="H32" s="2">
        <v>42382</v>
      </c>
      <c r="I32" s="2">
        <v>42408</v>
      </c>
      <c r="J32" s="2">
        <v>42408</v>
      </c>
      <c r="K32" s="2">
        <v>42460</v>
      </c>
      <c r="L32" t="s">
        <v>31</v>
      </c>
      <c r="M32">
        <v>50</v>
      </c>
      <c r="N32">
        <v>164031</v>
      </c>
      <c r="P32">
        <v>0</v>
      </c>
      <c r="Q32">
        <v>2</v>
      </c>
      <c r="R32" s="3">
        <v>483.85</v>
      </c>
      <c r="S32">
        <v>2</v>
      </c>
      <c r="T32">
        <v>485</v>
      </c>
      <c r="U32">
        <v>0.5</v>
      </c>
      <c r="X32" t="s">
        <v>139</v>
      </c>
      <c r="Y32" t="s">
        <v>149</v>
      </c>
      <c r="Z32" t="s">
        <v>34</v>
      </c>
      <c r="AA32" t="s">
        <v>35</v>
      </c>
    </row>
    <row r="33" spans="1:27" x14ac:dyDescent="0.25">
      <c r="A33" t="s">
        <v>174</v>
      </c>
      <c r="B33">
        <v>164039</v>
      </c>
      <c r="C33">
        <v>4</v>
      </c>
      <c r="D33" t="s">
        <v>175</v>
      </c>
      <c r="E33" t="s">
        <v>29</v>
      </c>
      <c r="F33" t="s">
        <v>138</v>
      </c>
      <c r="G33" s="3">
        <v>2765</v>
      </c>
      <c r="H33" s="2">
        <v>42382</v>
      </c>
      <c r="I33" s="2">
        <v>42411</v>
      </c>
      <c r="J33" s="2">
        <v>42411</v>
      </c>
      <c r="K33" s="2">
        <v>42460</v>
      </c>
      <c r="L33" t="s">
        <v>31</v>
      </c>
      <c r="M33">
        <v>50</v>
      </c>
      <c r="N33">
        <v>164039</v>
      </c>
      <c r="P33">
        <v>0</v>
      </c>
      <c r="Q33">
        <v>50</v>
      </c>
      <c r="R33" s="3">
        <v>2764.47</v>
      </c>
      <c r="S33">
        <v>50</v>
      </c>
      <c r="T33" s="3">
        <v>2765</v>
      </c>
      <c r="U33">
        <v>35</v>
      </c>
      <c r="V33" s="2">
        <v>42430</v>
      </c>
      <c r="W33" s="2">
        <v>42433</v>
      </c>
      <c r="X33" t="s">
        <v>139</v>
      </c>
      <c r="Y33" t="s">
        <v>140</v>
      </c>
      <c r="Z33" t="s">
        <v>34</v>
      </c>
      <c r="AA33" t="s">
        <v>35</v>
      </c>
    </row>
    <row r="34" spans="1:27" x14ac:dyDescent="0.25">
      <c r="A34" t="s">
        <v>176</v>
      </c>
      <c r="C34">
        <v>3</v>
      </c>
      <c r="D34" t="s">
        <v>177</v>
      </c>
      <c r="E34" t="s">
        <v>29</v>
      </c>
      <c r="F34" t="s">
        <v>138</v>
      </c>
      <c r="G34" s="3">
        <v>3980</v>
      </c>
      <c r="H34" s="2">
        <v>42382</v>
      </c>
      <c r="I34" s="2">
        <v>42411</v>
      </c>
      <c r="J34" s="2">
        <v>42411</v>
      </c>
      <c r="K34" s="2">
        <v>42460</v>
      </c>
      <c r="L34" t="s">
        <v>31</v>
      </c>
      <c r="M34">
        <v>50</v>
      </c>
      <c r="P34">
        <v>0</v>
      </c>
      <c r="Q34">
        <v>80</v>
      </c>
      <c r="R34" s="3">
        <v>3976.26</v>
      </c>
      <c r="S34">
        <v>0</v>
      </c>
      <c r="T34">
        <v>0</v>
      </c>
      <c r="U34">
        <v>0</v>
      </c>
      <c r="X34" t="s">
        <v>139</v>
      </c>
      <c r="Y34" t="s">
        <v>140</v>
      </c>
      <c r="Z34" t="s">
        <v>34</v>
      </c>
      <c r="AA34" t="s">
        <v>35</v>
      </c>
    </row>
    <row r="35" spans="1:27" x14ac:dyDescent="0.25">
      <c r="A35" t="s">
        <v>178</v>
      </c>
      <c r="C35">
        <v>3</v>
      </c>
      <c r="D35" t="s">
        <v>179</v>
      </c>
      <c r="E35" t="s">
        <v>29</v>
      </c>
      <c r="F35" t="s">
        <v>138</v>
      </c>
      <c r="G35" s="3">
        <v>1405</v>
      </c>
      <c r="H35" s="2">
        <v>42382</v>
      </c>
      <c r="I35" s="2">
        <v>42412</v>
      </c>
      <c r="J35" s="2">
        <v>42412</v>
      </c>
      <c r="K35" s="2">
        <v>42460</v>
      </c>
      <c r="L35" t="s">
        <v>31</v>
      </c>
      <c r="M35">
        <v>50</v>
      </c>
      <c r="P35">
        <v>0</v>
      </c>
      <c r="Q35">
        <v>16</v>
      </c>
      <c r="R35" s="3">
        <v>1405.35</v>
      </c>
      <c r="S35">
        <v>0</v>
      </c>
      <c r="T35">
        <v>0</v>
      </c>
      <c r="U35">
        <v>0</v>
      </c>
      <c r="X35" t="s">
        <v>139</v>
      </c>
      <c r="Y35" t="s">
        <v>140</v>
      </c>
      <c r="Z35" t="s">
        <v>34</v>
      </c>
      <c r="AA35" t="s">
        <v>35</v>
      </c>
    </row>
    <row r="36" spans="1:27" x14ac:dyDescent="0.25">
      <c r="A36" t="s">
        <v>180</v>
      </c>
      <c r="B36">
        <v>164038</v>
      </c>
      <c r="C36">
        <v>4</v>
      </c>
      <c r="D36" t="s">
        <v>181</v>
      </c>
      <c r="E36" t="s">
        <v>29</v>
      </c>
      <c r="F36" t="s">
        <v>138</v>
      </c>
      <c r="G36" s="3">
        <v>4370</v>
      </c>
      <c r="H36" s="2">
        <v>42382</v>
      </c>
      <c r="I36" s="2">
        <v>42412</v>
      </c>
      <c r="J36" s="2">
        <v>42412</v>
      </c>
      <c r="K36" s="2">
        <v>42460</v>
      </c>
      <c r="L36" t="s">
        <v>31</v>
      </c>
      <c r="M36">
        <v>50</v>
      </c>
      <c r="N36">
        <v>164038</v>
      </c>
      <c r="P36">
        <v>0</v>
      </c>
      <c r="Q36">
        <v>48</v>
      </c>
      <c r="R36" s="3">
        <v>2495.31</v>
      </c>
      <c r="S36">
        <v>1</v>
      </c>
      <c r="T36" s="3">
        <v>4370</v>
      </c>
      <c r="U36">
        <v>0</v>
      </c>
      <c r="X36" t="s">
        <v>139</v>
      </c>
      <c r="Y36" t="s">
        <v>140</v>
      </c>
      <c r="Z36" t="s">
        <v>34</v>
      </c>
      <c r="AA36" t="s">
        <v>35</v>
      </c>
    </row>
    <row r="37" spans="1:27" x14ac:dyDescent="0.25">
      <c r="A37" t="s">
        <v>182</v>
      </c>
      <c r="C37">
        <v>5</v>
      </c>
      <c r="D37" t="s">
        <v>183</v>
      </c>
      <c r="E37" t="s">
        <v>29</v>
      </c>
      <c r="F37" t="s">
        <v>138</v>
      </c>
      <c r="G37" s="3">
        <v>3685</v>
      </c>
      <c r="H37" s="2">
        <v>42382</v>
      </c>
      <c r="I37" s="2">
        <v>42417</v>
      </c>
      <c r="J37" s="2">
        <v>42417</v>
      </c>
      <c r="K37" s="2">
        <v>42460</v>
      </c>
      <c r="L37" t="s">
        <v>31</v>
      </c>
      <c r="M37">
        <v>30</v>
      </c>
      <c r="P37">
        <v>0</v>
      </c>
      <c r="Q37">
        <v>25</v>
      </c>
      <c r="R37" s="3">
        <v>3695.85</v>
      </c>
      <c r="S37">
        <v>0</v>
      </c>
      <c r="T37">
        <v>0</v>
      </c>
      <c r="U37">
        <v>0</v>
      </c>
      <c r="X37" t="s">
        <v>139</v>
      </c>
      <c r="Y37" t="s">
        <v>140</v>
      </c>
      <c r="Z37" t="s">
        <v>34</v>
      </c>
      <c r="AA37" t="s">
        <v>35</v>
      </c>
    </row>
    <row r="38" spans="1:27" x14ac:dyDescent="0.25">
      <c r="A38" t="s">
        <v>184</v>
      </c>
      <c r="B38">
        <v>164036</v>
      </c>
      <c r="C38">
        <v>4</v>
      </c>
      <c r="D38" t="s">
        <v>185</v>
      </c>
      <c r="E38" t="s">
        <v>29</v>
      </c>
      <c r="F38" t="s">
        <v>138</v>
      </c>
      <c r="G38" s="3">
        <v>1255</v>
      </c>
      <c r="H38" s="2">
        <v>42382</v>
      </c>
      <c r="I38" s="2">
        <v>42417</v>
      </c>
      <c r="J38" s="2">
        <v>42417</v>
      </c>
      <c r="K38" s="2">
        <v>42460</v>
      </c>
      <c r="L38" t="s">
        <v>31</v>
      </c>
      <c r="M38">
        <v>50</v>
      </c>
      <c r="N38">
        <v>164036</v>
      </c>
      <c r="P38">
        <v>0</v>
      </c>
      <c r="Q38">
        <v>20</v>
      </c>
      <c r="R38" s="3">
        <v>1257.83</v>
      </c>
      <c r="S38">
        <v>20</v>
      </c>
      <c r="T38" s="3">
        <v>1255</v>
      </c>
      <c r="U38">
        <v>16.5</v>
      </c>
      <c r="V38" s="2">
        <v>42429</v>
      </c>
      <c r="W38" s="2">
        <v>42429</v>
      </c>
      <c r="X38" t="s">
        <v>139</v>
      </c>
      <c r="Y38" t="s">
        <v>140</v>
      </c>
      <c r="Z38" t="s">
        <v>34</v>
      </c>
      <c r="AA38" t="s">
        <v>35</v>
      </c>
    </row>
    <row r="39" spans="1:27" x14ac:dyDescent="0.25">
      <c r="A39" t="s">
        <v>193</v>
      </c>
      <c r="C39">
        <v>3</v>
      </c>
      <c r="D39" t="s">
        <v>194</v>
      </c>
      <c r="E39" t="s">
        <v>58</v>
      </c>
      <c r="F39" t="s">
        <v>59</v>
      </c>
      <c r="G39" s="3">
        <v>11720</v>
      </c>
      <c r="H39" s="2">
        <v>42382</v>
      </c>
      <c r="I39" s="2">
        <v>42384</v>
      </c>
      <c r="J39" s="2">
        <v>42388</v>
      </c>
      <c r="K39" s="2">
        <v>42522</v>
      </c>
      <c r="L39" t="s">
        <v>31</v>
      </c>
      <c r="M39">
        <v>50</v>
      </c>
      <c r="P39">
        <v>0</v>
      </c>
      <c r="Q39">
        <v>56</v>
      </c>
      <c r="R39" s="3">
        <v>11718.92</v>
      </c>
      <c r="S39">
        <v>0</v>
      </c>
      <c r="T39">
        <v>0</v>
      </c>
      <c r="U39">
        <v>0</v>
      </c>
      <c r="X39" t="s">
        <v>100</v>
      </c>
      <c r="Y39" t="s">
        <v>195</v>
      </c>
      <c r="Z39" t="s">
        <v>196</v>
      </c>
      <c r="AA39" t="s">
        <v>35</v>
      </c>
    </row>
    <row r="40" spans="1:27" x14ac:dyDescent="0.25">
      <c r="A40" t="s">
        <v>197</v>
      </c>
      <c r="C40">
        <v>3</v>
      </c>
      <c r="D40" t="s">
        <v>198</v>
      </c>
      <c r="E40" t="s">
        <v>58</v>
      </c>
      <c r="F40" t="s">
        <v>59</v>
      </c>
      <c r="G40" s="3">
        <v>14032</v>
      </c>
      <c r="H40" s="2">
        <v>42382</v>
      </c>
      <c r="I40" s="2">
        <v>42384</v>
      </c>
      <c r="J40" s="2">
        <v>42389</v>
      </c>
      <c r="K40" s="2">
        <v>42522</v>
      </c>
      <c r="L40" t="s">
        <v>31</v>
      </c>
      <c r="M40">
        <v>50</v>
      </c>
      <c r="P40">
        <v>0</v>
      </c>
      <c r="Q40">
        <v>16</v>
      </c>
      <c r="R40" s="3">
        <v>1134.22</v>
      </c>
      <c r="S40">
        <v>0</v>
      </c>
      <c r="T40">
        <v>0</v>
      </c>
      <c r="U40">
        <v>0</v>
      </c>
      <c r="X40" t="s">
        <v>100</v>
      </c>
      <c r="Y40" t="s">
        <v>195</v>
      </c>
      <c r="Z40" t="s">
        <v>196</v>
      </c>
      <c r="AA40" t="s">
        <v>35</v>
      </c>
    </row>
    <row r="41" spans="1:27" x14ac:dyDescent="0.25">
      <c r="A41" t="s">
        <v>199</v>
      </c>
      <c r="C41">
        <v>3</v>
      </c>
      <c r="D41" t="s">
        <v>200</v>
      </c>
      <c r="E41" t="s">
        <v>58</v>
      </c>
      <c r="F41" t="s">
        <v>59</v>
      </c>
      <c r="G41" s="3">
        <v>6655</v>
      </c>
      <c r="H41" s="2">
        <v>42382</v>
      </c>
      <c r="I41" s="2">
        <v>42398</v>
      </c>
      <c r="J41" s="2">
        <v>42423</v>
      </c>
      <c r="K41" s="2">
        <v>42407</v>
      </c>
      <c r="L41" t="s">
        <v>31</v>
      </c>
      <c r="M41">
        <v>60</v>
      </c>
      <c r="P41">
        <v>0</v>
      </c>
      <c r="Q41">
        <v>2</v>
      </c>
      <c r="R41" s="3">
        <v>6653.2</v>
      </c>
      <c r="S41">
        <v>0</v>
      </c>
      <c r="T41">
        <v>0</v>
      </c>
      <c r="U41">
        <v>0</v>
      </c>
      <c r="X41" t="s">
        <v>100</v>
      </c>
      <c r="Y41" t="s">
        <v>201</v>
      </c>
      <c r="Z41" t="s">
        <v>202</v>
      </c>
      <c r="AA41" t="s">
        <v>35</v>
      </c>
    </row>
    <row r="42" spans="1:27" x14ac:dyDescent="0.25">
      <c r="A42" t="s">
        <v>217</v>
      </c>
      <c r="C42">
        <v>3</v>
      </c>
      <c r="D42" t="s">
        <v>218</v>
      </c>
      <c r="E42" t="s">
        <v>65</v>
      </c>
      <c r="F42" t="s">
        <v>80</v>
      </c>
      <c r="G42" s="3">
        <v>77380</v>
      </c>
      <c r="H42" s="2">
        <v>42383</v>
      </c>
      <c r="I42" s="2">
        <v>42418</v>
      </c>
      <c r="J42" s="2">
        <v>42419</v>
      </c>
      <c r="K42" s="2">
        <v>42675</v>
      </c>
      <c r="L42" t="s">
        <v>31</v>
      </c>
      <c r="M42">
        <v>30</v>
      </c>
      <c r="P42">
        <v>0</v>
      </c>
      <c r="Q42">
        <v>272</v>
      </c>
      <c r="R42" s="3">
        <v>77362.83</v>
      </c>
      <c r="S42">
        <v>0</v>
      </c>
      <c r="T42" s="3">
        <v>0</v>
      </c>
      <c r="U42">
        <v>0</v>
      </c>
      <c r="V42" s="2"/>
      <c r="W42" s="2"/>
      <c r="X42" t="s">
        <v>81</v>
      </c>
      <c r="Y42" t="s">
        <v>219</v>
      </c>
      <c r="Z42" t="s">
        <v>216</v>
      </c>
      <c r="AA42" t="s">
        <v>35</v>
      </c>
    </row>
    <row r="43" spans="1:27" x14ac:dyDescent="0.25">
      <c r="A43" t="s">
        <v>225</v>
      </c>
      <c r="B43">
        <v>160607</v>
      </c>
      <c r="C43">
        <v>4</v>
      </c>
      <c r="D43" t="s">
        <v>226</v>
      </c>
      <c r="E43" t="s">
        <v>58</v>
      </c>
      <c r="F43" t="s">
        <v>59</v>
      </c>
      <c r="G43" s="3">
        <v>2352</v>
      </c>
      <c r="H43" s="2">
        <v>42383</v>
      </c>
      <c r="I43" s="2">
        <v>42391</v>
      </c>
      <c r="J43" s="2">
        <v>42389</v>
      </c>
      <c r="K43" s="2">
        <v>42401</v>
      </c>
      <c r="L43" t="s">
        <v>31</v>
      </c>
      <c r="M43">
        <v>60</v>
      </c>
      <c r="N43">
        <v>160607</v>
      </c>
      <c r="P43">
        <v>0</v>
      </c>
      <c r="Q43">
        <v>24</v>
      </c>
      <c r="R43" s="3">
        <v>2351.5</v>
      </c>
      <c r="S43">
        <v>24</v>
      </c>
      <c r="T43" s="3">
        <v>2352</v>
      </c>
      <c r="U43">
        <v>37.5</v>
      </c>
      <c r="V43" s="2">
        <v>42397</v>
      </c>
      <c r="W43" s="2">
        <v>42397</v>
      </c>
      <c r="X43" t="s">
        <v>100</v>
      </c>
      <c r="Y43" t="s">
        <v>227</v>
      </c>
      <c r="Z43" t="s">
        <v>228</v>
      </c>
      <c r="AA43" t="s">
        <v>35</v>
      </c>
    </row>
    <row r="44" spans="1:27" x14ac:dyDescent="0.25">
      <c r="A44" t="s">
        <v>229</v>
      </c>
      <c r="C44">
        <v>3</v>
      </c>
      <c r="D44" t="s">
        <v>230</v>
      </c>
      <c r="E44" t="s">
        <v>65</v>
      </c>
      <c r="F44" t="s">
        <v>66</v>
      </c>
      <c r="G44" s="3">
        <v>20660</v>
      </c>
      <c r="H44" s="2">
        <v>42383</v>
      </c>
      <c r="I44" s="2">
        <v>42387</v>
      </c>
      <c r="J44" s="2">
        <v>42388</v>
      </c>
      <c r="K44" s="2">
        <v>42394</v>
      </c>
      <c r="L44" t="s">
        <v>31</v>
      </c>
      <c r="M44">
        <v>20</v>
      </c>
      <c r="P44">
        <v>0</v>
      </c>
      <c r="Q44">
        <v>153</v>
      </c>
      <c r="R44" s="3">
        <v>20657.32</v>
      </c>
      <c r="S44">
        <v>0</v>
      </c>
      <c r="T44" s="3">
        <v>0</v>
      </c>
      <c r="U44">
        <v>0</v>
      </c>
      <c r="X44" t="s">
        <v>67</v>
      </c>
      <c r="Y44" t="s">
        <v>231</v>
      </c>
      <c r="Z44" t="s">
        <v>129</v>
      </c>
      <c r="AA44" t="s">
        <v>35</v>
      </c>
    </row>
    <row r="45" spans="1:27" x14ac:dyDescent="0.25">
      <c r="A45" t="s">
        <v>232</v>
      </c>
      <c r="B45">
        <v>160010</v>
      </c>
      <c r="C45">
        <v>4</v>
      </c>
      <c r="D45" t="s">
        <v>233</v>
      </c>
      <c r="E45" t="s">
        <v>65</v>
      </c>
      <c r="F45" t="s">
        <v>66</v>
      </c>
      <c r="G45" s="3">
        <v>6955</v>
      </c>
      <c r="H45" s="2">
        <v>42383</v>
      </c>
      <c r="I45" s="2">
        <v>42398</v>
      </c>
      <c r="J45" s="2">
        <v>42398</v>
      </c>
      <c r="K45" s="2">
        <v>42429</v>
      </c>
      <c r="L45" t="s">
        <v>31</v>
      </c>
      <c r="M45">
        <v>50</v>
      </c>
      <c r="N45">
        <v>160010</v>
      </c>
      <c r="P45">
        <v>0</v>
      </c>
      <c r="Q45">
        <v>74</v>
      </c>
      <c r="R45" s="3">
        <v>15800.28</v>
      </c>
      <c r="S45">
        <v>3</v>
      </c>
      <c r="T45" s="3">
        <v>6955</v>
      </c>
      <c r="U45">
        <v>30</v>
      </c>
      <c r="V45" s="2">
        <v>42437</v>
      </c>
      <c r="W45" s="2">
        <v>42461</v>
      </c>
      <c r="X45" t="s">
        <v>67</v>
      </c>
      <c r="Y45" t="s">
        <v>234</v>
      </c>
      <c r="Z45" t="s">
        <v>235</v>
      </c>
      <c r="AA45" t="s">
        <v>35</v>
      </c>
    </row>
    <row r="46" spans="1:27" x14ac:dyDescent="0.25">
      <c r="A46" t="s">
        <v>236</v>
      </c>
      <c r="B46">
        <v>160615</v>
      </c>
      <c r="C46">
        <v>4</v>
      </c>
      <c r="D46" t="s">
        <v>237</v>
      </c>
      <c r="E46" t="s">
        <v>58</v>
      </c>
      <c r="F46" t="s">
        <v>30</v>
      </c>
      <c r="G46" s="3">
        <v>1920</v>
      </c>
      <c r="H46" s="2">
        <v>42384</v>
      </c>
      <c r="I46" s="2">
        <v>42389</v>
      </c>
      <c r="J46" s="2">
        <v>42387</v>
      </c>
      <c r="K46" s="2">
        <v>42522</v>
      </c>
      <c r="L46" t="s">
        <v>31</v>
      </c>
      <c r="M46">
        <v>50</v>
      </c>
      <c r="N46">
        <v>160615</v>
      </c>
      <c r="P46">
        <v>0</v>
      </c>
      <c r="Q46">
        <v>20</v>
      </c>
      <c r="R46" s="3">
        <v>1921.5</v>
      </c>
      <c r="S46">
        <v>20</v>
      </c>
      <c r="T46" s="3">
        <v>1920</v>
      </c>
      <c r="U46">
        <v>5</v>
      </c>
      <c r="V46" s="2">
        <v>42429</v>
      </c>
      <c r="W46" s="2">
        <v>42429</v>
      </c>
      <c r="X46" t="s">
        <v>32</v>
      </c>
      <c r="Y46" t="s">
        <v>238</v>
      </c>
      <c r="Z46" t="s">
        <v>239</v>
      </c>
      <c r="AA46" t="s">
        <v>35</v>
      </c>
    </row>
    <row r="47" spans="1:27" x14ac:dyDescent="0.25">
      <c r="A47" t="s">
        <v>240</v>
      </c>
      <c r="C47">
        <v>5</v>
      </c>
      <c r="D47" t="s">
        <v>241</v>
      </c>
      <c r="E47" t="s">
        <v>58</v>
      </c>
      <c r="F47" t="s">
        <v>87</v>
      </c>
      <c r="G47" s="3">
        <v>197850</v>
      </c>
      <c r="H47" s="2">
        <v>42384</v>
      </c>
      <c r="I47" s="2">
        <v>42430</v>
      </c>
      <c r="J47" s="2">
        <v>42430</v>
      </c>
      <c r="K47" s="2">
        <v>42482</v>
      </c>
      <c r="L47" t="s">
        <v>31</v>
      </c>
      <c r="M47">
        <v>30</v>
      </c>
      <c r="P47">
        <v>0</v>
      </c>
      <c r="Q47" s="3">
        <v>2342</v>
      </c>
      <c r="R47" s="3">
        <v>197844.45</v>
      </c>
      <c r="S47">
        <v>0</v>
      </c>
      <c r="T47" s="3">
        <v>0</v>
      </c>
      <c r="U47">
        <v>0</v>
      </c>
      <c r="X47" t="s">
        <v>242</v>
      </c>
      <c r="Y47" t="s">
        <v>243</v>
      </c>
      <c r="Z47" t="s">
        <v>244</v>
      </c>
      <c r="AA47" t="s">
        <v>35</v>
      </c>
    </row>
    <row r="48" spans="1:27" x14ac:dyDescent="0.25">
      <c r="A48" t="s">
        <v>245</v>
      </c>
      <c r="C48">
        <v>3</v>
      </c>
      <c r="D48" t="s">
        <v>246</v>
      </c>
      <c r="E48" t="s">
        <v>29</v>
      </c>
      <c r="F48" t="s">
        <v>38</v>
      </c>
      <c r="G48" s="3">
        <v>4250</v>
      </c>
      <c r="H48" s="2">
        <v>42384</v>
      </c>
      <c r="I48" s="2"/>
      <c r="J48" s="2">
        <v>42384</v>
      </c>
      <c r="K48" s="2">
        <v>42460</v>
      </c>
      <c r="L48" t="s">
        <v>31</v>
      </c>
      <c r="M48">
        <v>50</v>
      </c>
      <c r="P48">
        <v>0</v>
      </c>
      <c r="Q48">
        <v>82</v>
      </c>
      <c r="R48" s="3">
        <v>4250.71</v>
      </c>
      <c r="S48">
        <v>0</v>
      </c>
      <c r="T48">
        <v>0</v>
      </c>
      <c r="U48">
        <v>0</v>
      </c>
      <c r="X48" t="s">
        <v>247</v>
      </c>
      <c r="Y48" t="s">
        <v>40</v>
      </c>
      <c r="Z48" t="s">
        <v>34</v>
      </c>
      <c r="AA48" t="s">
        <v>35</v>
      </c>
    </row>
    <row r="49" spans="1:27" x14ac:dyDescent="0.25">
      <c r="A49" t="s">
        <v>248</v>
      </c>
      <c r="B49">
        <v>164211</v>
      </c>
      <c r="C49">
        <v>4</v>
      </c>
      <c r="D49" t="s">
        <v>249</v>
      </c>
      <c r="E49" t="s">
        <v>29</v>
      </c>
      <c r="F49" t="s">
        <v>38</v>
      </c>
      <c r="G49" s="3">
        <v>3250</v>
      </c>
      <c r="H49" s="2">
        <v>42384</v>
      </c>
      <c r="I49" s="2"/>
      <c r="J49" s="2">
        <v>42384</v>
      </c>
      <c r="K49" s="2"/>
      <c r="L49" t="s">
        <v>31</v>
      </c>
      <c r="M49">
        <v>50</v>
      </c>
      <c r="N49">
        <v>164211</v>
      </c>
      <c r="P49">
        <v>0</v>
      </c>
      <c r="Q49">
        <v>58</v>
      </c>
      <c r="R49" s="3">
        <v>3250.24</v>
      </c>
      <c r="S49">
        <v>58</v>
      </c>
      <c r="T49" s="3">
        <v>3250</v>
      </c>
      <c r="U49">
        <v>0.5</v>
      </c>
      <c r="V49" s="2"/>
      <c r="W49" s="2"/>
      <c r="X49" t="s">
        <v>250</v>
      </c>
      <c r="Y49" t="s">
        <v>163</v>
      </c>
      <c r="Z49" t="s">
        <v>34</v>
      </c>
      <c r="AA49" t="s">
        <v>35</v>
      </c>
    </row>
    <row r="50" spans="1:27" x14ac:dyDescent="0.25">
      <c r="A50" t="s">
        <v>251</v>
      </c>
      <c r="C50">
        <v>3</v>
      </c>
      <c r="D50" t="s">
        <v>252</v>
      </c>
      <c r="E50" t="s">
        <v>58</v>
      </c>
      <c r="F50" t="s">
        <v>30</v>
      </c>
      <c r="G50" s="3">
        <v>43150</v>
      </c>
      <c r="H50" s="2">
        <v>42388</v>
      </c>
      <c r="I50" s="2">
        <v>42398</v>
      </c>
      <c r="J50" s="2">
        <v>42405</v>
      </c>
      <c r="K50" s="2">
        <v>42429</v>
      </c>
      <c r="L50" t="s">
        <v>31</v>
      </c>
      <c r="M50">
        <v>30</v>
      </c>
      <c r="P50">
        <v>0</v>
      </c>
      <c r="Q50">
        <v>278</v>
      </c>
      <c r="R50" s="3">
        <v>43149.05</v>
      </c>
      <c r="S50">
        <v>0</v>
      </c>
      <c r="T50" s="3">
        <v>0</v>
      </c>
      <c r="U50">
        <v>0</v>
      </c>
      <c r="X50" t="s">
        <v>253</v>
      </c>
      <c r="Y50" t="s">
        <v>254</v>
      </c>
      <c r="Z50" t="s">
        <v>255</v>
      </c>
      <c r="AA50" t="s">
        <v>35</v>
      </c>
    </row>
    <row r="51" spans="1:27" x14ac:dyDescent="0.25">
      <c r="A51" t="s">
        <v>256</v>
      </c>
      <c r="C51">
        <v>3</v>
      </c>
      <c r="D51" t="s">
        <v>257</v>
      </c>
      <c r="E51" t="s">
        <v>29</v>
      </c>
      <c r="F51" t="s">
        <v>30</v>
      </c>
      <c r="G51" s="3">
        <v>3780</v>
      </c>
      <c r="H51" s="2">
        <v>42388</v>
      </c>
      <c r="I51" s="2">
        <v>42391</v>
      </c>
      <c r="J51" s="2">
        <v>42390</v>
      </c>
      <c r="K51" s="2">
        <v>42429</v>
      </c>
      <c r="L51" t="s">
        <v>31</v>
      </c>
      <c r="M51">
        <v>30</v>
      </c>
      <c r="P51">
        <v>0</v>
      </c>
      <c r="Q51">
        <v>33</v>
      </c>
      <c r="R51" s="3">
        <v>3781.45</v>
      </c>
      <c r="S51">
        <v>0</v>
      </c>
      <c r="T51">
        <v>0</v>
      </c>
      <c r="U51">
        <v>0</v>
      </c>
      <c r="X51" t="s">
        <v>32</v>
      </c>
      <c r="Y51" t="s">
        <v>258</v>
      </c>
      <c r="Z51" t="s">
        <v>34</v>
      </c>
      <c r="AA51" t="s">
        <v>35</v>
      </c>
    </row>
    <row r="52" spans="1:27" x14ac:dyDescent="0.25">
      <c r="A52" t="s">
        <v>259</v>
      </c>
      <c r="B52">
        <v>160256</v>
      </c>
      <c r="C52">
        <v>4</v>
      </c>
      <c r="D52" t="s">
        <v>260</v>
      </c>
      <c r="E52" t="s">
        <v>29</v>
      </c>
      <c r="F52" t="s">
        <v>30</v>
      </c>
      <c r="G52" s="3">
        <v>1180</v>
      </c>
      <c r="H52" s="2">
        <v>42388</v>
      </c>
      <c r="I52" s="2">
        <v>42391</v>
      </c>
      <c r="J52" s="2">
        <v>42390</v>
      </c>
      <c r="K52" s="2">
        <v>42429</v>
      </c>
      <c r="L52" t="s">
        <v>31</v>
      </c>
      <c r="M52">
        <v>30</v>
      </c>
      <c r="N52">
        <v>160256</v>
      </c>
      <c r="P52">
        <v>0</v>
      </c>
      <c r="Q52">
        <v>16</v>
      </c>
      <c r="R52" s="3">
        <v>1179.3599999999999</v>
      </c>
      <c r="S52">
        <v>17</v>
      </c>
      <c r="T52" s="3">
        <v>2280</v>
      </c>
      <c r="U52">
        <v>0.5</v>
      </c>
      <c r="X52" t="s">
        <v>32</v>
      </c>
      <c r="Y52" t="s">
        <v>258</v>
      </c>
      <c r="Z52" t="s">
        <v>34</v>
      </c>
      <c r="AA52" t="s">
        <v>35</v>
      </c>
    </row>
    <row r="53" spans="1:27" x14ac:dyDescent="0.25">
      <c r="A53" t="s">
        <v>261</v>
      </c>
      <c r="C53">
        <v>3</v>
      </c>
      <c r="D53" t="s">
        <v>262</v>
      </c>
      <c r="E53" t="s">
        <v>29</v>
      </c>
      <c r="F53" t="s">
        <v>30</v>
      </c>
      <c r="G53" s="3">
        <v>10835</v>
      </c>
      <c r="H53" s="2">
        <v>42388</v>
      </c>
      <c r="I53" s="2">
        <v>42464</v>
      </c>
      <c r="J53" s="2">
        <v>42395</v>
      </c>
      <c r="K53" s="2">
        <v>42478</v>
      </c>
      <c r="L53" t="s">
        <v>31</v>
      </c>
      <c r="M53">
        <v>30</v>
      </c>
      <c r="P53">
        <v>0</v>
      </c>
      <c r="Q53">
        <v>231</v>
      </c>
      <c r="R53" s="3">
        <v>15533.2</v>
      </c>
      <c r="S53">
        <v>0</v>
      </c>
      <c r="T53">
        <v>0</v>
      </c>
      <c r="U53">
        <v>0</v>
      </c>
      <c r="X53" t="s">
        <v>32</v>
      </c>
      <c r="Y53" t="s">
        <v>258</v>
      </c>
      <c r="Z53" t="s">
        <v>34</v>
      </c>
      <c r="AA53" t="s">
        <v>35</v>
      </c>
    </row>
    <row r="54" spans="1:27" x14ac:dyDescent="0.25">
      <c r="A54" t="s">
        <v>263</v>
      </c>
      <c r="C54">
        <v>3</v>
      </c>
      <c r="D54" t="s">
        <v>264</v>
      </c>
      <c r="E54" t="s">
        <v>65</v>
      </c>
      <c r="F54" t="s">
        <v>30</v>
      </c>
      <c r="G54" s="3">
        <v>2460</v>
      </c>
      <c r="H54" s="2">
        <v>42388</v>
      </c>
      <c r="I54" s="2">
        <v>42391</v>
      </c>
      <c r="J54" s="2">
        <v>42388</v>
      </c>
      <c r="K54" s="2">
        <v>42491</v>
      </c>
      <c r="L54" t="s">
        <v>31</v>
      </c>
      <c r="M54">
        <v>30</v>
      </c>
      <c r="P54">
        <v>0</v>
      </c>
      <c r="Q54">
        <v>32</v>
      </c>
      <c r="R54" s="3">
        <v>2456.0300000000002</v>
      </c>
      <c r="S54">
        <v>0</v>
      </c>
      <c r="T54">
        <v>0</v>
      </c>
      <c r="U54">
        <v>0</v>
      </c>
      <c r="X54" t="s">
        <v>32</v>
      </c>
      <c r="Y54" t="s">
        <v>265</v>
      </c>
      <c r="Z54" t="s">
        <v>266</v>
      </c>
      <c r="AA54" t="s">
        <v>35</v>
      </c>
    </row>
    <row r="55" spans="1:27" x14ac:dyDescent="0.25">
      <c r="A55" t="s">
        <v>267</v>
      </c>
      <c r="B55">
        <v>160003</v>
      </c>
      <c r="C55">
        <v>4</v>
      </c>
      <c r="D55" t="s">
        <v>268</v>
      </c>
      <c r="E55" t="s">
        <v>65</v>
      </c>
      <c r="F55" t="s">
        <v>30</v>
      </c>
      <c r="G55" s="3">
        <v>1740</v>
      </c>
      <c r="H55" s="2">
        <v>42388</v>
      </c>
      <c r="I55" s="2">
        <v>42391</v>
      </c>
      <c r="J55" s="2">
        <v>42388</v>
      </c>
      <c r="K55" s="2">
        <v>42401</v>
      </c>
      <c r="L55" t="s">
        <v>31</v>
      </c>
      <c r="M55">
        <v>30</v>
      </c>
      <c r="N55">
        <v>160003</v>
      </c>
      <c r="P55">
        <v>0</v>
      </c>
      <c r="Q55" s="3">
        <v>16</v>
      </c>
      <c r="R55" s="3">
        <v>1736.32</v>
      </c>
      <c r="S55" s="3">
        <v>16</v>
      </c>
      <c r="T55" s="3">
        <v>1740</v>
      </c>
      <c r="U55">
        <v>18</v>
      </c>
      <c r="V55" s="2">
        <v>42438</v>
      </c>
      <c r="W55" s="2">
        <v>42439</v>
      </c>
      <c r="X55" t="s">
        <v>32</v>
      </c>
      <c r="Y55" t="s">
        <v>265</v>
      </c>
      <c r="Z55" t="s">
        <v>266</v>
      </c>
      <c r="AA55" t="s">
        <v>35</v>
      </c>
    </row>
    <row r="56" spans="1:27" x14ac:dyDescent="0.25">
      <c r="A56" t="s">
        <v>269</v>
      </c>
      <c r="B56">
        <v>164212</v>
      </c>
      <c r="C56">
        <v>4</v>
      </c>
      <c r="D56" t="s">
        <v>270</v>
      </c>
      <c r="E56" t="s">
        <v>29</v>
      </c>
      <c r="F56" t="s">
        <v>38</v>
      </c>
      <c r="G56" s="3">
        <v>1250</v>
      </c>
      <c r="H56" s="2">
        <v>42388</v>
      </c>
      <c r="J56" s="2">
        <v>42384</v>
      </c>
      <c r="K56" s="2">
        <v>42460</v>
      </c>
      <c r="L56" t="s">
        <v>31</v>
      </c>
      <c r="M56">
        <v>50</v>
      </c>
      <c r="N56">
        <v>164212</v>
      </c>
      <c r="P56">
        <v>0</v>
      </c>
      <c r="Q56">
        <v>26</v>
      </c>
      <c r="R56" s="3">
        <v>1251</v>
      </c>
      <c r="S56">
        <v>26</v>
      </c>
      <c r="T56" s="3">
        <v>1250</v>
      </c>
      <c r="U56">
        <v>0</v>
      </c>
      <c r="V56" s="2"/>
      <c r="W56" s="2"/>
      <c r="X56" t="s">
        <v>271</v>
      </c>
      <c r="Y56" t="s">
        <v>272</v>
      </c>
      <c r="Z56" t="s">
        <v>34</v>
      </c>
      <c r="AA56" t="s">
        <v>35</v>
      </c>
    </row>
    <row r="57" spans="1:27" x14ac:dyDescent="0.25">
      <c r="A57" t="s">
        <v>282</v>
      </c>
      <c r="C57">
        <v>3</v>
      </c>
      <c r="D57" t="s">
        <v>283</v>
      </c>
      <c r="E57" t="s">
        <v>65</v>
      </c>
      <c r="F57" t="s">
        <v>80</v>
      </c>
      <c r="G57" s="3">
        <v>42820</v>
      </c>
      <c r="H57" s="2">
        <v>42389</v>
      </c>
      <c r="I57" s="2">
        <v>42396</v>
      </c>
      <c r="J57" s="2">
        <v>42402</v>
      </c>
      <c r="K57" s="2">
        <v>42461</v>
      </c>
      <c r="L57" t="s">
        <v>31</v>
      </c>
      <c r="M57">
        <v>30</v>
      </c>
      <c r="P57">
        <v>0</v>
      </c>
      <c r="Q57">
        <v>306</v>
      </c>
      <c r="R57" s="3">
        <v>96492.46</v>
      </c>
      <c r="S57">
        <v>0</v>
      </c>
      <c r="T57">
        <v>0</v>
      </c>
      <c r="U57">
        <v>0</v>
      </c>
      <c r="X57" t="s">
        <v>284</v>
      </c>
      <c r="Y57" t="s">
        <v>285</v>
      </c>
      <c r="Z57" t="s">
        <v>286</v>
      </c>
      <c r="AA57" t="s">
        <v>35</v>
      </c>
    </row>
    <row r="58" spans="1:27" x14ac:dyDescent="0.25">
      <c r="A58" t="s">
        <v>287</v>
      </c>
      <c r="C58">
        <v>3</v>
      </c>
      <c r="D58" t="s">
        <v>288</v>
      </c>
      <c r="E58" t="s">
        <v>29</v>
      </c>
      <c r="F58" t="s">
        <v>38</v>
      </c>
      <c r="G58" s="3">
        <v>29820</v>
      </c>
      <c r="H58" s="2">
        <v>42390</v>
      </c>
      <c r="I58" s="2"/>
      <c r="J58" s="2">
        <v>42390</v>
      </c>
      <c r="K58" s="2">
        <v>42735</v>
      </c>
      <c r="L58" t="s">
        <v>31</v>
      </c>
      <c r="M58">
        <v>50</v>
      </c>
      <c r="P58">
        <v>0</v>
      </c>
      <c r="Q58" s="3">
        <v>164</v>
      </c>
      <c r="R58" s="3">
        <v>29599.15</v>
      </c>
      <c r="S58">
        <v>0</v>
      </c>
      <c r="T58">
        <v>0</v>
      </c>
      <c r="U58">
        <v>0</v>
      </c>
      <c r="X58" t="s">
        <v>289</v>
      </c>
      <c r="Y58" t="s">
        <v>290</v>
      </c>
      <c r="Z58" t="s">
        <v>34</v>
      </c>
      <c r="AA58" t="s">
        <v>35</v>
      </c>
    </row>
    <row r="59" spans="1:27" x14ac:dyDescent="0.25">
      <c r="A59" t="s">
        <v>291</v>
      </c>
      <c r="B59">
        <v>160616</v>
      </c>
      <c r="C59">
        <v>4</v>
      </c>
      <c r="D59" t="s">
        <v>292</v>
      </c>
      <c r="E59" t="s">
        <v>58</v>
      </c>
      <c r="F59" t="s">
        <v>66</v>
      </c>
      <c r="G59" s="3">
        <v>528000</v>
      </c>
      <c r="H59" s="2">
        <v>42390</v>
      </c>
      <c r="I59" s="2">
        <v>42419</v>
      </c>
      <c r="J59" s="2">
        <v>42419</v>
      </c>
      <c r="K59" s="2">
        <v>42522</v>
      </c>
      <c r="L59" t="s">
        <v>31</v>
      </c>
      <c r="M59">
        <v>25</v>
      </c>
      <c r="N59">
        <v>160616</v>
      </c>
      <c r="P59">
        <v>0</v>
      </c>
      <c r="Q59" s="3">
        <v>2054</v>
      </c>
      <c r="R59" s="3">
        <v>260428.34</v>
      </c>
      <c r="S59" s="3">
        <v>3968</v>
      </c>
      <c r="T59" s="3">
        <v>528000</v>
      </c>
      <c r="U59">
        <v>422.5</v>
      </c>
      <c r="V59" s="2">
        <v>42464</v>
      </c>
      <c r="W59" s="2">
        <v>42475</v>
      </c>
      <c r="X59">
        <v>6000461300</v>
      </c>
      <c r="Y59" t="s">
        <v>293</v>
      </c>
      <c r="Z59" t="s">
        <v>294</v>
      </c>
      <c r="AA59" t="s">
        <v>35</v>
      </c>
    </row>
    <row r="60" spans="1:27" x14ac:dyDescent="0.25">
      <c r="A60" t="s">
        <v>295</v>
      </c>
      <c r="B60">
        <v>164215</v>
      </c>
      <c r="C60">
        <v>4</v>
      </c>
      <c r="D60" t="s">
        <v>296</v>
      </c>
      <c r="E60" t="s">
        <v>29</v>
      </c>
      <c r="F60" t="s">
        <v>38</v>
      </c>
      <c r="G60" s="3">
        <v>7250</v>
      </c>
      <c r="H60" s="2">
        <v>42390</v>
      </c>
      <c r="J60" s="2">
        <v>42390</v>
      </c>
      <c r="K60" s="2">
        <v>42429</v>
      </c>
      <c r="L60" t="s">
        <v>31</v>
      </c>
      <c r="M60">
        <v>50</v>
      </c>
      <c r="N60">
        <v>164215</v>
      </c>
      <c r="P60">
        <v>0</v>
      </c>
      <c r="Q60">
        <v>3</v>
      </c>
      <c r="R60" s="3">
        <v>144.97999999999999</v>
      </c>
      <c r="S60">
        <v>150</v>
      </c>
      <c r="T60" s="3">
        <v>7250</v>
      </c>
      <c r="U60">
        <v>115</v>
      </c>
      <c r="V60" s="2">
        <v>42397</v>
      </c>
      <c r="W60" s="2">
        <v>42471</v>
      </c>
      <c r="X60" t="s">
        <v>297</v>
      </c>
      <c r="Y60" t="s">
        <v>163</v>
      </c>
      <c r="Z60" t="s">
        <v>34</v>
      </c>
      <c r="AA60" t="s">
        <v>35</v>
      </c>
    </row>
    <row r="61" spans="1:27" x14ac:dyDescent="0.25">
      <c r="A61" t="s">
        <v>298</v>
      </c>
      <c r="C61">
        <v>3</v>
      </c>
      <c r="D61" t="s">
        <v>299</v>
      </c>
      <c r="E61" t="s">
        <v>58</v>
      </c>
      <c r="F61" t="s">
        <v>59</v>
      </c>
      <c r="G61" s="3">
        <v>78510</v>
      </c>
      <c r="H61" s="2">
        <v>42390</v>
      </c>
      <c r="I61" s="2">
        <v>42423</v>
      </c>
      <c r="J61" s="2">
        <v>42419</v>
      </c>
      <c r="K61" s="2">
        <v>42735</v>
      </c>
      <c r="L61" t="s">
        <v>31</v>
      </c>
      <c r="M61">
        <v>50</v>
      </c>
      <c r="P61">
        <v>0</v>
      </c>
      <c r="Q61">
        <v>290</v>
      </c>
      <c r="R61" s="3">
        <v>77697.16</v>
      </c>
      <c r="S61">
        <v>0</v>
      </c>
      <c r="T61">
        <v>0</v>
      </c>
      <c r="U61">
        <v>0</v>
      </c>
      <c r="X61" t="s">
        <v>300</v>
      </c>
      <c r="Y61" t="s">
        <v>301</v>
      </c>
      <c r="Z61" t="s">
        <v>302</v>
      </c>
      <c r="AA61" t="s">
        <v>35</v>
      </c>
    </row>
    <row r="62" spans="1:27" x14ac:dyDescent="0.25">
      <c r="A62" t="s">
        <v>311</v>
      </c>
      <c r="C62">
        <v>3</v>
      </c>
      <c r="D62" t="s">
        <v>312</v>
      </c>
      <c r="E62" t="s">
        <v>65</v>
      </c>
      <c r="F62" t="s">
        <v>80</v>
      </c>
      <c r="G62" s="3">
        <v>114870</v>
      </c>
      <c r="H62" s="2">
        <v>42391</v>
      </c>
      <c r="I62" s="2">
        <v>42436</v>
      </c>
      <c r="J62" s="2">
        <v>42433</v>
      </c>
      <c r="K62" s="2">
        <v>42460</v>
      </c>
      <c r="L62" t="s">
        <v>31</v>
      </c>
      <c r="M62">
        <v>50</v>
      </c>
      <c r="P62">
        <v>0</v>
      </c>
      <c r="Q62" s="3">
        <v>1934.5</v>
      </c>
      <c r="R62" s="3">
        <v>112874.15</v>
      </c>
      <c r="S62">
        <v>0</v>
      </c>
      <c r="T62" s="3">
        <v>0</v>
      </c>
      <c r="U62">
        <v>0</v>
      </c>
      <c r="V62" s="2"/>
      <c r="W62" s="2"/>
      <c r="X62" t="s">
        <v>81</v>
      </c>
      <c r="Y62" t="s">
        <v>313</v>
      </c>
      <c r="Z62" t="s">
        <v>235</v>
      </c>
      <c r="AA62" t="s">
        <v>35</v>
      </c>
    </row>
    <row r="63" spans="1:27" x14ac:dyDescent="0.25">
      <c r="A63" t="s">
        <v>314</v>
      </c>
      <c r="C63">
        <v>3</v>
      </c>
      <c r="D63" t="s">
        <v>315</v>
      </c>
      <c r="E63" t="s">
        <v>29</v>
      </c>
      <c r="F63" t="s">
        <v>308</v>
      </c>
      <c r="G63" s="3">
        <v>121400</v>
      </c>
      <c r="H63" s="2">
        <v>42394</v>
      </c>
      <c r="I63" s="2">
        <v>42444</v>
      </c>
      <c r="J63" s="2">
        <v>42444</v>
      </c>
      <c r="K63" s="2">
        <v>42582</v>
      </c>
      <c r="L63" t="s">
        <v>31</v>
      </c>
      <c r="M63">
        <v>90</v>
      </c>
      <c r="P63">
        <v>0</v>
      </c>
      <c r="Q63">
        <v>0</v>
      </c>
      <c r="R63" s="3">
        <v>0</v>
      </c>
      <c r="S63">
        <v>0</v>
      </c>
      <c r="T63" s="3">
        <v>0</v>
      </c>
      <c r="U63">
        <v>0</v>
      </c>
      <c r="X63" t="s">
        <v>316</v>
      </c>
      <c r="Y63" t="s">
        <v>93</v>
      </c>
      <c r="Z63" t="s">
        <v>34</v>
      </c>
      <c r="AA63" t="s">
        <v>35</v>
      </c>
    </row>
    <row r="64" spans="1:27" x14ac:dyDescent="0.25">
      <c r="A64" t="s">
        <v>317</v>
      </c>
      <c r="C64">
        <v>3</v>
      </c>
      <c r="D64" t="s">
        <v>318</v>
      </c>
      <c r="E64" t="s">
        <v>29</v>
      </c>
      <c r="F64" t="s">
        <v>38</v>
      </c>
      <c r="G64" s="3">
        <v>6500</v>
      </c>
      <c r="H64" s="2">
        <v>42395</v>
      </c>
      <c r="J64" s="2">
        <v>42392</v>
      </c>
      <c r="L64" t="s">
        <v>31</v>
      </c>
      <c r="M64">
        <v>50</v>
      </c>
      <c r="P64">
        <v>0</v>
      </c>
      <c r="Q64">
        <v>80</v>
      </c>
      <c r="R64" s="3">
        <v>6500.2</v>
      </c>
      <c r="S64">
        <v>0</v>
      </c>
      <c r="T64">
        <v>0</v>
      </c>
      <c r="U64">
        <v>0</v>
      </c>
      <c r="X64" t="s">
        <v>319</v>
      </c>
      <c r="Y64" t="s">
        <v>258</v>
      </c>
      <c r="Z64" t="s">
        <v>34</v>
      </c>
      <c r="AA64" t="s">
        <v>35</v>
      </c>
    </row>
    <row r="65" spans="1:27" x14ac:dyDescent="0.25">
      <c r="A65" t="s">
        <v>320</v>
      </c>
      <c r="B65">
        <v>164217</v>
      </c>
      <c r="C65">
        <v>4</v>
      </c>
      <c r="D65" t="s">
        <v>321</v>
      </c>
      <c r="E65" t="s">
        <v>29</v>
      </c>
      <c r="F65" t="s">
        <v>38</v>
      </c>
      <c r="G65" s="3">
        <v>880</v>
      </c>
      <c r="H65" s="2">
        <v>42395</v>
      </c>
      <c r="I65" s="2"/>
      <c r="J65" s="2">
        <v>42392</v>
      </c>
      <c r="K65" s="2"/>
      <c r="L65" t="s">
        <v>31</v>
      </c>
      <c r="M65">
        <v>50</v>
      </c>
      <c r="N65">
        <v>164217</v>
      </c>
      <c r="P65">
        <v>0</v>
      </c>
      <c r="Q65">
        <v>18</v>
      </c>
      <c r="R65" s="3">
        <v>880.03</v>
      </c>
      <c r="S65">
        <v>18</v>
      </c>
      <c r="T65" s="3">
        <v>880</v>
      </c>
      <c r="U65">
        <v>0</v>
      </c>
      <c r="V65" s="2"/>
      <c r="W65" s="2"/>
      <c r="X65" t="s">
        <v>322</v>
      </c>
      <c r="Y65" t="s">
        <v>258</v>
      </c>
      <c r="Z65" t="s">
        <v>34</v>
      </c>
      <c r="AA65" t="s">
        <v>35</v>
      </c>
    </row>
    <row r="66" spans="1:27" x14ac:dyDescent="0.25">
      <c r="A66" t="s">
        <v>331</v>
      </c>
      <c r="B66">
        <v>160009</v>
      </c>
      <c r="C66">
        <v>4</v>
      </c>
      <c r="D66" t="s">
        <v>332</v>
      </c>
      <c r="E66" t="s">
        <v>65</v>
      </c>
      <c r="F66" t="s">
        <v>66</v>
      </c>
      <c r="G66" s="3">
        <v>9980</v>
      </c>
      <c r="H66" s="2">
        <v>42395</v>
      </c>
      <c r="I66" s="2">
        <v>42403</v>
      </c>
      <c r="J66" s="2">
        <v>42402</v>
      </c>
      <c r="K66" s="2">
        <v>42430</v>
      </c>
      <c r="L66" t="s">
        <v>31</v>
      </c>
      <c r="M66">
        <v>50</v>
      </c>
      <c r="N66">
        <v>160009</v>
      </c>
      <c r="P66">
        <v>0</v>
      </c>
      <c r="Q66">
        <v>106</v>
      </c>
      <c r="R66" s="3">
        <v>9976.43</v>
      </c>
      <c r="S66">
        <v>106</v>
      </c>
      <c r="T66" s="3">
        <v>9980</v>
      </c>
      <c r="U66">
        <v>83.5</v>
      </c>
      <c r="V66" s="2">
        <v>42423</v>
      </c>
      <c r="W66" s="2">
        <v>42435</v>
      </c>
      <c r="X66" t="s">
        <v>67</v>
      </c>
      <c r="Y66" t="s">
        <v>333</v>
      </c>
      <c r="Z66" t="s">
        <v>334</v>
      </c>
      <c r="AA66" t="s">
        <v>35</v>
      </c>
    </row>
    <row r="67" spans="1:27" x14ac:dyDescent="0.25">
      <c r="A67" t="s">
        <v>335</v>
      </c>
      <c r="B67">
        <v>160612</v>
      </c>
      <c r="C67">
        <v>4</v>
      </c>
      <c r="D67" t="s">
        <v>336</v>
      </c>
      <c r="E67" t="s">
        <v>58</v>
      </c>
      <c r="F67" t="s">
        <v>59</v>
      </c>
      <c r="G67" s="3">
        <v>7597</v>
      </c>
      <c r="H67" s="2">
        <v>42396</v>
      </c>
      <c r="I67" s="2">
        <v>42410</v>
      </c>
      <c r="J67" s="2">
        <v>42410</v>
      </c>
      <c r="K67" s="2">
        <v>42614</v>
      </c>
      <c r="L67" t="s">
        <v>31</v>
      </c>
      <c r="M67">
        <v>50</v>
      </c>
      <c r="N67">
        <v>160612</v>
      </c>
      <c r="P67">
        <v>0</v>
      </c>
      <c r="Q67">
        <v>132.5</v>
      </c>
      <c r="R67" s="3">
        <v>7596.1</v>
      </c>
      <c r="S67">
        <v>132.5</v>
      </c>
      <c r="T67" s="3">
        <v>7597</v>
      </c>
      <c r="U67">
        <v>0</v>
      </c>
      <c r="X67">
        <v>6000463359</v>
      </c>
      <c r="Y67" t="s">
        <v>337</v>
      </c>
      <c r="Z67" t="s">
        <v>202</v>
      </c>
      <c r="AA67" t="s">
        <v>35</v>
      </c>
    </row>
    <row r="68" spans="1:27" x14ac:dyDescent="0.25">
      <c r="A68" t="s">
        <v>338</v>
      </c>
      <c r="C68">
        <v>5</v>
      </c>
      <c r="D68" t="s">
        <v>339</v>
      </c>
      <c r="E68" t="s">
        <v>29</v>
      </c>
      <c r="F68" t="s">
        <v>38</v>
      </c>
      <c r="G68" s="3">
        <v>18600</v>
      </c>
      <c r="H68" s="2">
        <v>42396</v>
      </c>
      <c r="I68" s="2"/>
      <c r="J68" s="2">
        <v>42397</v>
      </c>
      <c r="K68" s="2"/>
      <c r="L68" t="s">
        <v>31</v>
      </c>
      <c r="M68">
        <v>50</v>
      </c>
      <c r="P68">
        <v>0</v>
      </c>
      <c r="Q68">
        <v>320</v>
      </c>
      <c r="R68" s="3">
        <v>18600.78</v>
      </c>
      <c r="S68">
        <v>0</v>
      </c>
      <c r="T68" s="3">
        <v>0</v>
      </c>
      <c r="U68">
        <v>0</v>
      </c>
      <c r="X68" t="s">
        <v>340</v>
      </c>
      <c r="Y68" t="s">
        <v>163</v>
      </c>
      <c r="Z68" t="s">
        <v>34</v>
      </c>
      <c r="AA68" t="s">
        <v>35</v>
      </c>
    </row>
    <row r="69" spans="1:27" x14ac:dyDescent="0.25">
      <c r="A69" t="s">
        <v>341</v>
      </c>
      <c r="B69">
        <v>160609</v>
      </c>
      <c r="C69">
        <v>4</v>
      </c>
      <c r="D69" t="s">
        <v>342</v>
      </c>
      <c r="E69" t="s">
        <v>58</v>
      </c>
      <c r="F69" t="s">
        <v>59</v>
      </c>
      <c r="G69" s="3">
        <v>2280</v>
      </c>
      <c r="H69" s="2">
        <v>42397</v>
      </c>
      <c r="I69" s="2">
        <v>42401</v>
      </c>
      <c r="J69" s="2">
        <v>42401</v>
      </c>
      <c r="K69" s="2">
        <v>42408</v>
      </c>
      <c r="L69" t="s">
        <v>31</v>
      </c>
      <c r="M69">
        <v>60</v>
      </c>
      <c r="N69">
        <v>160609</v>
      </c>
      <c r="P69">
        <v>0</v>
      </c>
      <c r="Q69">
        <v>32</v>
      </c>
      <c r="R69" s="3">
        <v>2269.4</v>
      </c>
      <c r="S69">
        <v>32</v>
      </c>
      <c r="T69" s="3">
        <v>2280</v>
      </c>
      <c r="U69">
        <v>45</v>
      </c>
      <c r="V69" s="2">
        <v>42408</v>
      </c>
      <c r="W69" s="2">
        <v>42409</v>
      </c>
      <c r="X69" t="s">
        <v>100</v>
      </c>
      <c r="Y69" t="s">
        <v>343</v>
      </c>
      <c r="Z69" t="s">
        <v>344</v>
      </c>
      <c r="AA69" t="s">
        <v>35</v>
      </c>
    </row>
    <row r="70" spans="1:27" x14ac:dyDescent="0.25">
      <c r="A70" t="s">
        <v>345</v>
      </c>
      <c r="B70">
        <v>160619</v>
      </c>
      <c r="C70">
        <v>4</v>
      </c>
      <c r="D70" t="s">
        <v>346</v>
      </c>
      <c r="E70" t="s">
        <v>58</v>
      </c>
      <c r="F70" t="s">
        <v>59</v>
      </c>
      <c r="G70" s="3">
        <v>3922</v>
      </c>
      <c r="H70" s="2">
        <v>42397</v>
      </c>
      <c r="I70" s="2">
        <v>42419</v>
      </c>
      <c r="J70" s="2">
        <v>42415</v>
      </c>
      <c r="K70" s="2">
        <v>42475</v>
      </c>
      <c r="L70" t="s">
        <v>31</v>
      </c>
      <c r="M70">
        <v>0</v>
      </c>
      <c r="N70">
        <v>160619</v>
      </c>
      <c r="P70">
        <v>0</v>
      </c>
      <c r="Q70">
        <v>64</v>
      </c>
      <c r="R70" s="3">
        <v>3920.26</v>
      </c>
      <c r="S70">
        <v>64</v>
      </c>
      <c r="T70" s="3">
        <v>3922</v>
      </c>
      <c r="U70">
        <v>21</v>
      </c>
      <c r="V70" s="2">
        <v>42472</v>
      </c>
      <c r="W70" s="2">
        <v>42475</v>
      </c>
      <c r="X70">
        <v>6000462522</v>
      </c>
      <c r="Y70" t="s">
        <v>347</v>
      </c>
      <c r="Z70" t="s">
        <v>239</v>
      </c>
      <c r="AA70" t="s">
        <v>35</v>
      </c>
    </row>
    <row r="71" spans="1:27" x14ac:dyDescent="0.25">
      <c r="A71" t="s">
        <v>351</v>
      </c>
      <c r="C71">
        <v>5</v>
      </c>
      <c r="D71" t="s">
        <v>352</v>
      </c>
      <c r="E71" t="s">
        <v>51</v>
      </c>
      <c r="F71" t="s">
        <v>52</v>
      </c>
      <c r="G71" s="3">
        <v>69810</v>
      </c>
      <c r="H71" s="2">
        <v>42397</v>
      </c>
      <c r="I71" s="2">
        <v>42398</v>
      </c>
      <c r="J71" s="2">
        <v>42397</v>
      </c>
      <c r="K71" s="2">
        <v>42673</v>
      </c>
      <c r="L71" t="s">
        <v>31</v>
      </c>
      <c r="M71">
        <v>15</v>
      </c>
      <c r="P71">
        <v>0</v>
      </c>
      <c r="Q71">
        <v>446</v>
      </c>
      <c r="R71" s="3">
        <v>35815.51</v>
      </c>
      <c r="S71">
        <v>0</v>
      </c>
      <c r="T71">
        <v>0</v>
      </c>
      <c r="U71">
        <v>0</v>
      </c>
      <c r="X71" t="s">
        <v>353</v>
      </c>
      <c r="Y71" t="s">
        <v>354</v>
      </c>
      <c r="Z71" t="s">
        <v>55</v>
      </c>
      <c r="AA71" t="s">
        <v>35</v>
      </c>
    </row>
    <row r="72" spans="1:27" x14ac:dyDescent="0.25">
      <c r="A72" t="s">
        <v>355</v>
      </c>
      <c r="C72">
        <v>3</v>
      </c>
      <c r="D72" t="s">
        <v>356</v>
      </c>
      <c r="E72" t="s">
        <v>65</v>
      </c>
      <c r="F72" t="s">
        <v>30</v>
      </c>
      <c r="G72" s="3">
        <v>34700</v>
      </c>
      <c r="H72" s="2">
        <v>42398</v>
      </c>
      <c r="I72" s="2">
        <v>42417</v>
      </c>
      <c r="J72" s="2">
        <v>42417</v>
      </c>
      <c r="K72" s="2">
        <v>42475</v>
      </c>
      <c r="L72" t="s">
        <v>31</v>
      </c>
      <c r="M72">
        <v>30</v>
      </c>
      <c r="P72">
        <v>0</v>
      </c>
      <c r="Q72">
        <v>160</v>
      </c>
      <c r="R72" s="3">
        <v>34700.06</v>
      </c>
      <c r="S72">
        <v>0</v>
      </c>
      <c r="T72">
        <v>0</v>
      </c>
      <c r="U72">
        <v>0</v>
      </c>
      <c r="X72" t="s">
        <v>357</v>
      </c>
      <c r="Y72" t="s">
        <v>358</v>
      </c>
      <c r="Z72" t="s">
        <v>83</v>
      </c>
      <c r="AA72" t="s">
        <v>35</v>
      </c>
    </row>
    <row r="73" spans="1:27" x14ac:dyDescent="0.25">
      <c r="A73" t="s">
        <v>359</v>
      </c>
      <c r="B73">
        <v>160263</v>
      </c>
      <c r="C73">
        <v>4</v>
      </c>
      <c r="D73" t="s">
        <v>360</v>
      </c>
      <c r="E73" t="s">
        <v>29</v>
      </c>
      <c r="F73" t="s">
        <v>308</v>
      </c>
      <c r="G73" s="3">
        <v>2400</v>
      </c>
      <c r="H73" s="2">
        <v>42398</v>
      </c>
      <c r="I73" s="2">
        <v>42403</v>
      </c>
      <c r="J73" s="2">
        <v>42402</v>
      </c>
      <c r="K73" s="2">
        <v>42410</v>
      </c>
      <c r="L73" t="s">
        <v>305</v>
      </c>
      <c r="M73">
        <v>99</v>
      </c>
      <c r="N73">
        <v>160263</v>
      </c>
      <c r="P73">
        <v>0</v>
      </c>
      <c r="Q73">
        <v>0</v>
      </c>
      <c r="R73" s="3">
        <v>0</v>
      </c>
      <c r="S73">
        <v>1</v>
      </c>
      <c r="T73" s="3">
        <v>2400</v>
      </c>
      <c r="U73">
        <v>3</v>
      </c>
      <c r="V73" s="2"/>
      <c r="W73" s="2"/>
      <c r="X73" t="s">
        <v>361</v>
      </c>
      <c r="Y73" t="s">
        <v>33</v>
      </c>
      <c r="Z73" t="s">
        <v>34</v>
      </c>
      <c r="AA73" t="s">
        <v>35</v>
      </c>
    </row>
    <row r="74" spans="1:27" x14ac:dyDescent="0.25">
      <c r="A74" t="s">
        <v>362</v>
      </c>
      <c r="C74">
        <v>3</v>
      </c>
      <c r="D74" t="s">
        <v>363</v>
      </c>
      <c r="E74" t="s">
        <v>29</v>
      </c>
      <c r="F74" t="s">
        <v>364</v>
      </c>
      <c r="G74">
        <v>0</v>
      </c>
      <c r="H74" s="2">
        <v>42401</v>
      </c>
      <c r="I74" s="2">
        <v>42402</v>
      </c>
      <c r="J74" s="2">
        <v>42401</v>
      </c>
      <c r="K74" s="2">
        <v>42429</v>
      </c>
      <c r="L74" t="s">
        <v>305</v>
      </c>
      <c r="M74">
        <v>80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X74" t="s">
        <v>365</v>
      </c>
      <c r="Y74" t="s">
        <v>366</v>
      </c>
      <c r="Z74" t="s">
        <v>367</v>
      </c>
      <c r="AA74" t="s">
        <v>35</v>
      </c>
    </row>
    <row r="75" spans="1:27" x14ac:dyDescent="0.25">
      <c r="A75" t="s">
        <v>368</v>
      </c>
      <c r="C75">
        <v>3</v>
      </c>
      <c r="D75" t="s">
        <v>369</v>
      </c>
      <c r="E75" t="s">
        <v>29</v>
      </c>
      <c r="F75" t="s">
        <v>364</v>
      </c>
      <c r="G75" s="3">
        <v>3355</v>
      </c>
      <c r="H75" s="2">
        <v>42401</v>
      </c>
      <c r="I75" s="2">
        <v>42402</v>
      </c>
      <c r="J75" s="2">
        <v>42403</v>
      </c>
      <c r="K75" s="2">
        <v>42429</v>
      </c>
      <c r="L75" t="s">
        <v>31</v>
      </c>
      <c r="M75">
        <v>50</v>
      </c>
      <c r="P75">
        <v>0</v>
      </c>
      <c r="Q75">
        <v>0</v>
      </c>
      <c r="R75" s="3">
        <v>0</v>
      </c>
      <c r="S75">
        <v>0</v>
      </c>
      <c r="T75">
        <v>0</v>
      </c>
      <c r="U75">
        <v>0</v>
      </c>
      <c r="X75" t="s">
        <v>365</v>
      </c>
      <c r="Y75" t="s">
        <v>366</v>
      </c>
      <c r="Z75" t="s">
        <v>367</v>
      </c>
      <c r="AA75" t="s">
        <v>35</v>
      </c>
    </row>
    <row r="76" spans="1:27" x14ac:dyDescent="0.25">
      <c r="A76" t="s">
        <v>370</v>
      </c>
      <c r="C76">
        <v>3</v>
      </c>
      <c r="D76" t="s">
        <v>371</v>
      </c>
      <c r="E76" t="s">
        <v>58</v>
      </c>
      <c r="F76" t="s">
        <v>59</v>
      </c>
      <c r="G76" s="3">
        <v>3180</v>
      </c>
      <c r="H76" s="2">
        <v>42402</v>
      </c>
      <c r="I76" s="2">
        <v>42418</v>
      </c>
      <c r="J76" s="2">
        <v>42423</v>
      </c>
      <c r="K76" s="2">
        <v>42430</v>
      </c>
      <c r="L76" t="s">
        <v>31</v>
      </c>
      <c r="M76">
        <v>60</v>
      </c>
      <c r="P76">
        <v>0</v>
      </c>
      <c r="Q76">
        <v>24</v>
      </c>
      <c r="R76" s="3">
        <v>3338.93</v>
      </c>
      <c r="S76">
        <v>0</v>
      </c>
      <c r="T76" s="3">
        <v>0</v>
      </c>
      <c r="U76">
        <v>0</v>
      </c>
      <c r="V76" s="2"/>
      <c r="W76" s="2"/>
      <c r="X76" t="s">
        <v>100</v>
      </c>
      <c r="Y76" t="s">
        <v>201</v>
      </c>
      <c r="Z76" t="s">
        <v>202</v>
      </c>
      <c r="AA76" t="s">
        <v>35</v>
      </c>
    </row>
    <row r="77" spans="1:27" x14ac:dyDescent="0.25">
      <c r="A77" t="s">
        <v>372</v>
      </c>
      <c r="C77">
        <v>3</v>
      </c>
      <c r="D77" t="s">
        <v>373</v>
      </c>
      <c r="E77" t="s">
        <v>58</v>
      </c>
      <c r="F77" t="s">
        <v>30</v>
      </c>
      <c r="G77" s="3">
        <v>3110</v>
      </c>
      <c r="H77" s="2">
        <v>42402</v>
      </c>
      <c r="I77" s="2">
        <v>42405</v>
      </c>
      <c r="J77" s="2">
        <v>42408</v>
      </c>
      <c r="K77" s="2">
        <v>42415</v>
      </c>
      <c r="L77" t="s">
        <v>31</v>
      </c>
      <c r="M77">
        <v>30</v>
      </c>
      <c r="P77">
        <v>0</v>
      </c>
      <c r="Q77">
        <v>48</v>
      </c>
      <c r="R77" s="3">
        <v>3112.4</v>
      </c>
      <c r="S77">
        <v>0</v>
      </c>
      <c r="T77" s="3">
        <v>0</v>
      </c>
      <c r="U77">
        <v>0</v>
      </c>
      <c r="X77" t="s">
        <v>32</v>
      </c>
      <c r="Y77" t="s">
        <v>374</v>
      </c>
      <c r="Z77" t="s">
        <v>375</v>
      </c>
      <c r="AA77" t="s">
        <v>35</v>
      </c>
    </row>
    <row r="78" spans="1:27" x14ac:dyDescent="0.25">
      <c r="A78" t="s">
        <v>379</v>
      </c>
      <c r="B78">
        <v>160007</v>
      </c>
      <c r="C78">
        <v>4</v>
      </c>
      <c r="D78" t="s">
        <v>380</v>
      </c>
      <c r="E78" t="s">
        <v>65</v>
      </c>
      <c r="F78" t="s">
        <v>80</v>
      </c>
      <c r="G78" s="3">
        <v>3985</v>
      </c>
      <c r="H78" s="2">
        <v>42402</v>
      </c>
      <c r="I78" s="2">
        <v>42403</v>
      </c>
      <c r="J78" s="2">
        <v>42404</v>
      </c>
      <c r="K78" s="2">
        <v>42415</v>
      </c>
      <c r="L78" t="s">
        <v>31</v>
      </c>
      <c r="M78">
        <v>60</v>
      </c>
      <c r="N78">
        <v>160007</v>
      </c>
      <c r="P78">
        <v>0</v>
      </c>
      <c r="Q78">
        <v>38</v>
      </c>
      <c r="R78" s="3">
        <v>4002.53</v>
      </c>
      <c r="S78">
        <v>38</v>
      </c>
      <c r="T78" s="3">
        <v>3985</v>
      </c>
      <c r="U78">
        <v>42.5</v>
      </c>
      <c r="V78" s="2">
        <v>42417</v>
      </c>
      <c r="W78" s="2">
        <v>42418</v>
      </c>
      <c r="X78" t="s">
        <v>81</v>
      </c>
      <c r="Y78" t="s">
        <v>381</v>
      </c>
      <c r="Z78" t="s">
        <v>382</v>
      </c>
      <c r="AA78" t="s">
        <v>35</v>
      </c>
    </row>
    <row r="79" spans="1:27" x14ac:dyDescent="0.25">
      <c r="A79" t="s">
        <v>383</v>
      </c>
      <c r="B79">
        <v>160620</v>
      </c>
      <c r="C79">
        <v>4</v>
      </c>
      <c r="D79" t="s">
        <v>384</v>
      </c>
      <c r="E79" t="s">
        <v>58</v>
      </c>
      <c r="F79" t="s">
        <v>59</v>
      </c>
      <c r="G79" s="3">
        <v>14500</v>
      </c>
      <c r="H79" s="2">
        <v>42402</v>
      </c>
      <c r="I79" s="2">
        <v>42419</v>
      </c>
      <c r="J79" s="2">
        <v>42417</v>
      </c>
      <c r="K79" s="2">
        <v>42475</v>
      </c>
      <c r="L79" t="s">
        <v>31</v>
      </c>
      <c r="M79">
        <v>0</v>
      </c>
      <c r="N79">
        <v>160620</v>
      </c>
      <c r="P79">
        <v>0</v>
      </c>
      <c r="Q79">
        <v>182</v>
      </c>
      <c r="R79" s="3">
        <v>14294.51</v>
      </c>
      <c r="S79">
        <v>182</v>
      </c>
      <c r="T79" s="3">
        <v>14500</v>
      </c>
      <c r="U79">
        <v>13</v>
      </c>
      <c r="X79">
        <v>6000462865</v>
      </c>
      <c r="Y79" t="s">
        <v>385</v>
      </c>
      <c r="Z79" t="s">
        <v>386</v>
      </c>
      <c r="AA79" t="s">
        <v>35</v>
      </c>
    </row>
    <row r="80" spans="1:27" x14ac:dyDescent="0.25">
      <c r="A80" t="s">
        <v>387</v>
      </c>
      <c r="C80">
        <v>3</v>
      </c>
      <c r="D80" t="s">
        <v>388</v>
      </c>
      <c r="E80" t="s">
        <v>58</v>
      </c>
      <c r="F80" t="s">
        <v>87</v>
      </c>
      <c r="G80" s="3">
        <v>0</v>
      </c>
      <c r="H80" s="2">
        <v>42402</v>
      </c>
      <c r="I80" s="2">
        <v>42423</v>
      </c>
      <c r="J80" s="2">
        <v>42426</v>
      </c>
      <c r="L80" t="s">
        <v>31</v>
      </c>
      <c r="M80">
        <v>0</v>
      </c>
      <c r="P80">
        <v>0</v>
      </c>
      <c r="Q80">
        <v>0</v>
      </c>
      <c r="R80" s="3">
        <v>0</v>
      </c>
      <c r="S80">
        <v>0</v>
      </c>
      <c r="T80">
        <v>0</v>
      </c>
      <c r="U80">
        <v>0</v>
      </c>
      <c r="X80" t="s">
        <v>389</v>
      </c>
      <c r="Y80" t="s">
        <v>390</v>
      </c>
      <c r="Z80" t="s">
        <v>391</v>
      </c>
      <c r="AA80" t="s">
        <v>35</v>
      </c>
    </row>
    <row r="81" spans="1:27" x14ac:dyDescent="0.25">
      <c r="A81" t="s">
        <v>392</v>
      </c>
      <c r="C81">
        <v>3</v>
      </c>
      <c r="D81" t="s">
        <v>393</v>
      </c>
      <c r="E81" t="s">
        <v>58</v>
      </c>
      <c r="F81" t="s">
        <v>30</v>
      </c>
      <c r="G81" s="3">
        <v>1175</v>
      </c>
      <c r="H81" s="2">
        <v>42403</v>
      </c>
      <c r="I81" s="2">
        <v>42405</v>
      </c>
      <c r="J81" s="2">
        <v>42404</v>
      </c>
      <c r="K81" s="2">
        <v>42415</v>
      </c>
      <c r="L81" t="s">
        <v>31</v>
      </c>
      <c r="M81">
        <v>30</v>
      </c>
      <c r="P81">
        <v>0</v>
      </c>
      <c r="Q81">
        <v>20</v>
      </c>
      <c r="R81" s="3">
        <v>1175.0999999999999</v>
      </c>
      <c r="S81">
        <v>0</v>
      </c>
      <c r="T81">
        <v>0</v>
      </c>
      <c r="U81">
        <v>0</v>
      </c>
      <c r="X81" t="s">
        <v>32</v>
      </c>
      <c r="Y81" t="s">
        <v>394</v>
      </c>
      <c r="Z81" t="s">
        <v>395</v>
      </c>
      <c r="AA81" t="s">
        <v>35</v>
      </c>
    </row>
    <row r="82" spans="1:27" x14ac:dyDescent="0.25">
      <c r="A82" t="s">
        <v>396</v>
      </c>
      <c r="B82">
        <v>160614</v>
      </c>
      <c r="C82">
        <v>4</v>
      </c>
      <c r="D82" t="s">
        <v>397</v>
      </c>
      <c r="E82" t="s">
        <v>58</v>
      </c>
      <c r="F82" t="s">
        <v>30</v>
      </c>
      <c r="G82" s="3">
        <v>3150</v>
      </c>
      <c r="H82" s="2">
        <v>42403</v>
      </c>
      <c r="I82" s="2">
        <v>42402</v>
      </c>
      <c r="J82" s="2">
        <v>42403</v>
      </c>
      <c r="K82" s="2">
        <v>42415</v>
      </c>
      <c r="L82" t="s">
        <v>31</v>
      </c>
      <c r="M82">
        <v>30</v>
      </c>
      <c r="N82">
        <v>160614</v>
      </c>
      <c r="P82">
        <v>0</v>
      </c>
      <c r="Q82">
        <v>32</v>
      </c>
      <c r="R82" s="3">
        <v>2565.0300000000002</v>
      </c>
      <c r="S82">
        <v>32</v>
      </c>
      <c r="T82" s="3">
        <v>3150</v>
      </c>
      <c r="U82">
        <v>29.5</v>
      </c>
      <c r="V82" s="2">
        <v>42419</v>
      </c>
      <c r="W82" s="2">
        <v>42423</v>
      </c>
      <c r="X82" t="s">
        <v>32</v>
      </c>
      <c r="Y82" t="s">
        <v>398</v>
      </c>
      <c r="Z82" t="s">
        <v>399</v>
      </c>
      <c r="AA82" t="s">
        <v>35</v>
      </c>
    </row>
    <row r="83" spans="1:27" x14ac:dyDescent="0.25">
      <c r="A83" t="s">
        <v>400</v>
      </c>
      <c r="B83">
        <v>160617</v>
      </c>
      <c r="C83">
        <v>4</v>
      </c>
      <c r="D83" t="s">
        <v>401</v>
      </c>
      <c r="E83" t="s">
        <v>58</v>
      </c>
      <c r="F83" t="s">
        <v>59</v>
      </c>
      <c r="G83" s="3">
        <v>11090</v>
      </c>
      <c r="H83" s="2">
        <v>42404</v>
      </c>
      <c r="I83" s="2">
        <v>42412</v>
      </c>
      <c r="J83" s="2">
        <v>42417</v>
      </c>
      <c r="K83" s="2">
        <v>42430</v>
      </c>
      <c r="L83" t="s">
        <v>31</v>
      </c>
      <c r="M83">
        <v>80</v>
      </c>
      <c r="N83">
        <v>160617</v>
      </c>
      <c r="P83">
        <v>0</v>
      </c>
      <c r="Q83">
        <v>48</v>
      </c>
      <c r="R83" s="3">
        <v>4476.0600000000004</v>
      </c>
      <c r="S83">
        <v>98</v>
      </c>
      <c r="T83" s="3">
        <v>11090</v>
      </c>
      <c r="U83">
        <v>2.5</v>
      </c>
      <c r="X83" t="s">
        <v>100</v>
      </c>
      <c r="Y83" t="s">
        <v>402</v>
      </c>
      <c r="Z83" t="s">
        <v>202</v>
      </c>
      <c r="AA83" t="s">
        <v>35</v>
      </c>
    </row>
    <row r="84" spans="1:27" x14ac:dyDescent="0.25">
      <c r="A84" t="s">
        <v>403</v>
      </c>
      <c r="C84">
        <v>5</v>
      </c>
      <c r="D84" t="s">
        <v>404</v>
      </c>
      <c r="E84" t="s">
        <v>58</v>
      </c>
      <c r="F84" t="s">
        <v>87</v>
      </c>
      <c r="G84" s="3">
        <v>6665</v>
      </c>
      <c r="H84" s="2">
        <v>42404</v>
      </c>
      <c r="I84" s="2">
        <v>42405</v>
      </c>
      <c r="J84" s="2">
        <v>42405</v>
      </c>
      <c r="K84" s="2"/>
      <c r="L84" t="s">
        <v>31</v>
      </c>
      <c r="M84">
        <v>50</v>
      </c>
      <c r="P84">
        <v>0</v>
      </c>
      <c r="Q84">
        <v>200</v>
      </c>
      <c r="R84" s="3">
        <v>278189.12</v>
      </c>
      <c r="S84">
        <v>0</v>
      </c>
      <c r="T84">
        <v>0</v>
      </c>
      <c r="U84">
        <v>0</v>
      </c>
      <c r="X84" t="s">
        <v>405</v>
      </c>
      <c r="Y84" t="s">
        <v>406</v>
      </c>
      <c r="Z84" t="s">
        <v>407</v>
      </c>
      <c r="AA84" t="s">
        <v>35</v>
      </c>
    </row>
    <row r="85" spans="1:27" x14ac:dyDescent="0.25">
      <c r="A85" t="s">
        <v>408</v>
      </c>
      <c r="C85">
        <v>3</v>
      </c>
      <c r="D85" t="s">
        <v>409</v>
      </c>
      <c r="E85" t="s">
        <v>58</v>
      </c>
      <c r="F85" t="s">
        <v>59</v>
      </c>
      <c r="G85" s="3">
        <v>7602</v>
      </c>
      <c r="H85" s="2">
        <v>42404</v>
      </c>
      <c r="I85" s="2">
        <v>42412</v>
      </c>
      <c r="J85" s="2">
        <v>42416</v>
      </c>
      <c r="K85" s="2">
        <v>42430</v>
      </c>
      <c r="L85" t="s">
        <v>31</v>
      </c>
      <c r="M85">
        <v>50</v>
      </c>
      <c r="P85">
        <v>0</v>
      </c>
      <c r="Q85">
        <v>66</v>
      </c>
      <c r="R85" s="3">
        <v>7602.13</v>
      </c>
      <c r="S85">
        <v>0</v>
      </c>
      <c r="T85">
        <v>0</v>
      </c>
      <c r="U85">
        <v>0</v>
      </c>
      <c r="X85" t="s">
        <v>100</v>
      </c>
      <c r="Y85" t="s">
        <v>410</v>
      </c>
      <c r="Z85" t="s">
        <v>411</v>
      </c>
      <c r="AA85" t="s">
        <v>35</v>
      </c>
    </row>
    <row r="86" spans="1:27" x14ac:dyDescent="0.25">
      <c r="A86" t="s">
        <v>412</v>
      </c>
      <c r="B86">
        <v>160108</v>
      </c>
      <c r="C86">
        <v>4</v>
      </c>
      <c r="D86" t="s">
        <v>413</v>
      </c>
      <c r="E86" t="s">
        <v>51</v>
      </c>
      <c r="F86" t="s">
        <v>52</v>
      </c>
      <c r="G86" s="3">
        <v>1915</v>
      </c>
      <c r="H86" s="2">
        <v>42404</v>
      </c>
      <c r="I86" s="2">
        <v>42398</v>
      </c>
      <c r="J86" s="2">
        <v>42394</v>
      </c>
      <c r="K86" s="2">
        <v>42415</v>
      </c>
      <c r="L86" t="s">
        <v>31</v>
      </c>
      <c r="M86">
        <v>50</v>
      </c>
      <c r="N86">
        <v>160108</v>
      </c>
      <c r="P86">
        <v>0</v>
      </c>
      <c r="Q86">
        <v>23.25</v>
      </c>
      <c r="R86" s="3">
        <v>1912.93</v>
      </c>
      <c r="S86">
        <v>23.25</v>
      </c>
      <c r="T86" s="3">
        <v>1915</v>
      </c>
      <c r="U86">
        <v>0</v>
      </c>
      <c r="X86" t="s">
        <v>316</v>
      </c>
      <c r="Y86" t="s">
        <v>414</v>
      </c>
      <c r="Z86" t="s">
        <v>55</v>
      </c>
      <c r="AA86" t="s">
        <v>35</v>
      </c>
    </row>
    <row r="87" spans="1:27" x14ac:dyDescent="0.25">
      <c r="A87" t="s">
        <v>415</v>
      </c>
      <c r="C87">
        <v>3</v>
      </c>
      <c r="D87" t="s">
        <v>416</v>
      </c>
      <c r="E87" t="s">
        <v>29</v>
      </c>
      <c r="F87" t="s">
        <v>38</v>
      </c>
      <c r="G87" s="3">
        <v>4750</v>
      </c>
      <c r="H87" s="2">
        <v>42404</v>
      </c>
      <c r="J87" s="2">
        <v>42404</v>
      </c>
      <c r="L87" t="s">
        <v>31</v>
      </c>
      <c r="M87">
        <v>50</v>
      </c>
      <c r="P87">
        <v>0</v>
      </c>
      <c r="Q87">
        <v>50</v>
      </c>
      <c r="R87" s="3">
        <v>4749.8500000000004</v>
      </c>
      <c r="S87">
        <v>0</v>
      </c>
      <c r="T87">
        <v>0</v>
      </c>
      <c r="U87">
        <v>0</v>
      </c>
      <c r="X87" t="s">
        <v>417</v>
      </c>
      <c r="Y87" t="s">
        <v>93</v>
      </c>
      <c r="Z87" t="s">
        <v>34</v>
      </c>
      <c r="AA87" t="s">
        <v>35</v>
      </c>
    </row>
    <row r="88" spans="1:27" x14ac:dyDescent="0.25">
      <c r="A88" t="s">
        <v>418</v>
      </c>
      <c r="C88">
        <v>5</v>
      </c>
      <c r="D88" t="s">
        <v>419</v>
      </c>
      <c r="E88" t="s">
        <v>29</v>
      </c>
      <c r="F88" t="s">
        <v>30</v>
      </c>
      <c r="G88" s="3">
        <v>9545</v>
      </c>
      <c r="H88" s="2">
        <v>42409</v>
      </c>
      <c r="I88" s="2">
        <v>42405</v>
      </c>
      <c r="J88" s="2">
        <v>42415</v>
      </c>
      <c r="L88" t="s">
        <v>31</v>
      </c>
      <c r="M88">
        <v>0</v>
      </c>
      <c r="P88">
        <v>0</v>
      </c>
      <c r="Q88">
        <v>64</v>
      </c>
      <c r="R88" s="3">
        <v>9544.56</v>
      </c>
      <c r="S88">
        <v>0</v>
      </c>
      <c r="T88">
        <v>0</v>
      </c>
      <c r="U88">
        <v>0</v>
      </c>
      <c r="X88" t="s">
        <v>420</v>
      </c>
      <c r="Y88" t="s">
        <v>163</v>
      </c>
      <c r="Z88" t="s">
        <v>34</v>
      </c>
      <c r="AA88" t="s">
        <v>35</v>
      </c>
    </row>
    <row r="89" spans="1:27" x14ac:dyDescent="0.25">
      <c r="A89" t="s">
        <v>421</v>
      </c>
      <c r="B89">
        <v>164032</v>
      </c>
      <c r="C89">
        <v>4</v>
      </c>
      <c r="D89" t="s">
        <v>422</v>
      </c>
      <c r="E89" t="s">
        <v>29</v>
      </c>
      <c r="F89" t="s">
        <v>138</v>
      </c>
      <c r="G89" s="3">
        <v>965</v>
      </c>
      <c r="H89" s="2">
        <v>42409</v>
      </c>
      <c r="I89" s="2">
        <v>42416</v>
      </c>
      <c r="J89" s="2">
        <v>42416</v>
      </c>
      <c r="K89" s="2">
        <v>42460</v>
      </c>
      <c r="L89" t="s">
        <v>31</v>
      </c>
      <c r="M89">
        <v>50</v>
      </c>
      <c r="N89">
        <v>164032</v>
      </c>
      <c r="P89">
        <v>0</v>
      </c>
      <c r="Q89">
        <v>18</v>
      </c>
      <c r="R89">
        <v>967.21</v>
      </c>
      <c r="S89">
        <v>18</v>
      </c>
      <c r="T89" s="3">
        <v>965</v>
      </c>
      <c r="U89">
        <v>9.5</v>
      </c>
      <c r="V89" s="2">
        <v>42430</v>
      </c>
      <c r="W89" s="2">
        <v>42430</v>
      </c>
      <c r="X89" t="s">
        <v>139</v>
      </c>
      <c r="Y89" t="s">
        <v>166</v>
      </c>
      <c r="Z89" t="s">
        <v>34</v>
      </c>
      <c r="AA89" t="s">
        <v>35</v>
      </c>
    </row>
    <row r="90" spans="1:27" x14ac:dyDescent="0.25">
      <c r="A90" t="s">
        <v>423</v>
      </c>
      <c r="B90">
        <v>164061</v>
      </c>
      <c r="C90">
        <v>4</v>
      </c>
      <c r="D90" t="s">
        <v>424</v>
      </c>
      <c r="E90" t="s">
        <v>29</v>
      </c>
      <c r="F90" t="s">
        <v>138</v>
      </c>
      <c r="G90" s="3">
        <v>2900</v>
      </c>
      <c r="H90" s="2">
        <v>42409</v>
      </c>
      <c r="I90" s="2">
        <v>42418</v>
      </c>
      <c r="J90" s="2">
        <v>42418</v>
      </c>
      <c r="K90" s="2">
        <v>42460</v>
      </c>
      <c r="L90" t="s">
        <v>31</v>
      </c>
      <c r="M90">
        <v>30</v>
      </c>
      <c r="N90">
        <v>164061</v>
      </c>
      <c r="P90">
        <v>0</v>
      </c>
      <c r="Q90">
        <v>2</v>
      </c>
      <c r="R90" s="3">
        <v>2993.34</v>
      </c>
      <c r="S90">
        <v>2</v>
      </c>
      <c r="T90" s="3">
        <v>2900</v>
      </c>
      <c r="U90">
        <v>0</v>
      </c>
      <c r="V90" s="2"/>
      <c r="W90" s="2"/>
      <c r="X90" t="s">
        <v>353</v>
      </c>
      <c r="Y90" t="s">
        <v>149</v>
      </c>
      <c r="Z90" t="s">
        <v>34</v>
      </c>
      <c r="AA90" t="s">
        <v>35</v>
      </c>
    </row>
    <row r="91" spans="1:27" x14ac:dyDescent="0.25">
      <c r="A91" t="s">
        <v>425</v>
      </c>
      <c r="C91">
        <v>3</v>
      </c>
      <c r="D91" t="s">
        <v>426</v>
      </c>
      <c r="E91" t="s">
        <v>29</v>
      </c>
      <c r="F91" t="s">
        <v>138</v>
      </c>
      <c r="G91" s="3">
        <v>4995</v>
      </c>
      <c r="H91" s="2">
        <v>42409</v>
      </c>
      <c r="I91" s="2">
        <v>42418</v>
      </c>
      <c r="J91" s="2">
        <v>42418</v>
      </c>
      <c r="K91" s="2">
        <v>42460</v>
      </c>
      <c r="L91" t="s">
        <v>31</v>
      </c>
      <c r="M91">
        <v>30</v>
      </c>
      <c r="P91">
        <v>0</v>
      </c>
      <c r="Q91">
        <v>2</v>
      </c>
      <c r="R91" s="3">
        <v>4995.29</v>
      </c>
      <c r="S91">
        <v>0</v>
      </c>
      <c r="T91">
        <v>0</v>
      </c>
      <c r="U91">
        <v>0</v>
      </c>
      <c r="X91" t="s">
        <v>353</v>
      </c>
      <c r="Y91" t="s">
        <v>149</v>
      </c>
      <c r="Z91" t="s">
        <v>34</v>
      </c>
      <c r="AA91" t="s">
        <v>35</v>
      </c>
    </row>
    <row r="92" spans="1:27" x14ac:dyDescent="0.25">
      <c r="A92" t="s">
        <v>427</v>
      </c>
      <c r="C92">
        <v>5</v>
      </c>
      <c r="D92" t="s">
        <v>428</v>
      </c>
      <c r="E92" t="s">
        <v>29</v>
      </c>
      <c r="F92" t="s">
        <v>138</v>
      </c>
      <c r="G92" s="3">
        <v>5500</v>
      </c>
      <c r="H92" s="2">
        <v>42409</v>
      </c>
      <c r="I92" s="2">
        <v>42424</v>
      </c>
      <c r="J92" s="2">
        <v>42424</v>
      </c>
      <c r="K92" s="2">
        <v>42460</v>
      </c>
      <c r="L92" t="s">
        <v>31</v>
      </c>
      <c r="M92">
        <v>25</v>
      </c>
      <c r="P92">
        <v>0</v>
      </c>
      <c r="Q92">
        <v>108</v>
      </c>
      <c r="R92" s="3">
        <v>5507.32</v>
      </c>
      <c r="S92">
        <v>0</v>
      </c>
      <c r="T92" s="3">
        <v>0</v>
      </c>
      <c r="U92">
        <v>0</v>
      </c>
      <c r="X92" t="s">
        <v>429</v>
      </c>
      <c r="Y92" t="s">
        <v>430</v>
      </c>
      <c r="Z92" t="s">
        <v>34</v>
      </c>
      <c r="AA92" t="s">
        <v>35</v>
      </c>
    </row>
    <row r="93" spans="1:27" x14ac:dyDescent="0.25">
      <c r="A93" t="s">
        <v>431</v>
      </c>
      <c r="C93">
        <v>3</v>
      </c>
      <c r="D93" t="s">
        <v>432</v>
      </c>
      <c r="E93" t="s">
        <v>29</v>
      </c>
      <c r="F93" t="s">
        <v>138</v>
      </c>
      <c r="G93" s="3">
        <v>775</v>
      </c>
      <c r="H93" s="2">
        <v>42409</v>
      </c>
      <c r="I93" s="2">
        <v>42425</v>
      </c>
      <c r="J93" s="2">
        <v>42425</v>
      </c>
      <c r="K93" s="2">
        <v>42460</v>
      </c>
      <c r="L93" t="s">
        <v>31</v>
      </c>
      <c r="M93">
        <v>50</v>
      </c>
      <c r="P93">
        <v>0</v>
      </c>
      <c r="Q93">
        <v>12</v>
      </c>
      <c r="R93">
        <v>775.98</v>
      </c>
      <c r="S93">
        <v>0</v>
      </c>
      <c r="T93" s="3">
        <v>0</v>
      </c>
      <c r="U93">
        <v>0</v>
      </c>
      <c r="X93" t="s">
        <v>353</v>
      </c>
      <c r="Y93" t="s">
        <v>140</v>
      </c>
      <c r="Z93" t="s">
        <v>34</v>
      </c>
      <c r="AA93" t="s">
        <v>35</v>
      </c>
    </row>
    <row r="94" spans="1:27" x14ac:dyDescent="0.25">
      <c r="A94" t="s">
        <v>433</v>
      </c>
      <c r="C94">
        <v>3</v>
      </c>
      <c r="D94" t="s">
        <v>434</v>
      </c>
      <c r="E94" t="s">
        <v>29</v>
      </c>
      <c r="F94" t="s">
        <v>138</v>
      </c>
      <c r="G94" s="3">
        <v>7590</v>
      </c>
      <c r="H94" s="2">
        <v>42409</v>
      </c>
      <c r="I94" s="2"/>
      <c r="J94" s="2">
        <v>42436</v>
      </c>
      <c r="K94" s="2"/>
      <c r="L94" t="s">
        <v>31</v>
      </c>
      <c r="M94">
        <v>50</v>
      </c>
      <c r="P94">
        <v>0</v>
      </c>
      <c r="Q94">
        <v>64</v>
      </c>
      <c r="R94" s="3">
        <v>7585.11</v>
      </c>
      <c r="S94">
        <v>0</v>
      </c>
      <c r="T94">
        <v>0</v>
      </c>
      <c r="U94">
        <v>0</v>
      </c>
      <c r="X94" t="s">
        <v>353</v>
      </c>
      <c r="Y94" t="s">
        <v>140</v>
      </c>
      <c r="Z94" t="s">
        <v>34</v>
      </c>
      <c r="AA94" t="s">
        <v>35</v>
      </c>
    </row>
    <row r="95" spans="1:27" x14ac:dyDescent="0.25">
      <c r="A95" t="s">
        <v>435</v>
      </c>
      <c r="B95">
        <v>164042</v>
      </c>
      <c r="C95">
        <v>4</v>
      </c>
      <c r="D95" t="s">
        <v>436</v>
      </c>
      <c r="E95" t="s">
        <v>29</v>
      </c>
      <c r="F95" t="s">
        <v>138</v>
      </c>
      <c r="G95" s="3">
        <v>795</v>
      </c>
      <c r="H95" s="2">
        <v>42409</v>
      </c>
      <c r="I95" s="2">
        <v>42425</v>
      </c>
      <c r="J95" s="2">
        <v>42425</v>
      </c>
      <c r="L95" t="s">
        <v>31</v>
      </c>
      <c r="M95">
        <v>50</v>
      </c>
      <c r="N95">
        <v>164042</v>
      </c>
      <c r="P95">
        <v>0</v>
      </c>
      <c r="Q95">
        <v>1</v>
      </c>
      <c r="R95" s="3">
        <v>798.6</v>
      </c>
      <c r="S95">
        <v>1</v>
      </c>
      <c r="T95">
        <v>795</v>
      </c>
      <c r="U95">
        <v>0.5</v>
      </c>
      <c r="X95" t="s">
        <v>353</v>
      </c>
      <c r="Y95" t="s">
        <v>140</v>
      </c>
      <c r="Z95" t="s">
        <v>34</v>
      </c>
      <c r="AA95" t="s">
        <v>35</v>
      </c>
    </row>
    <row r="96" spans="1:27" x14ac:dyDescent="0.25">
      <c r="A96" t="s">
        <v>437</v>
      </c>
      <c r="B96">
        <v>164055</v>
      </c>
      <c r="C96">
        <v>4</v>
      </c>
      <c r="D96" t="s">
        <v>438</v>
      </c>
      <c r="E96" t="s">
        <v>29</v>
      </c>
      <c r="F96" t="s">
        <v>138</v>
      </c>
      <c r="G96" s="3">
        <v>1032</v>
      </c>
      <c r="H96" s="2">
        <v>42409</v>
      </c>
      <c r="I96" s="2">
        <v>42426</v>
      </c>
      <c r="J96" s="2">
        <v>42426</v>
      </c>
      <c r="K96" s="2">
        <v>42460</v>
      </c>
      <c r="L96" t="s">
        <v>31</v>
      </c>
      <c r="M96">
        <v>50</v>
      </c>
      <c r="N96">
        <v>164055</v>
      </c>
      <c r="P96">
        <v>0</v>
      </c>
      <c r="Q96">
        <v>0</v>
      </c>
      <c r="R96" s="3">
        <v>0</v>
      </c>
      <c r="S96">
        <v>1</v>
      </c>
      <c r="T96" s="3">
        <v>1032</v>
      </c>
      <c r="U96">
        <v>0</v>
      </c>
      <c r="X96" t="s">
        <v>353</v>
      </c>
      <c r="Y96" t="s">
        <v>149</v>
      </c>
      <c r="Z96" t="s">
        <v>34</v>
      </c>
      <c r="AA96" t="s">
        <v>35</v>
      </c>
    </row>
    <row r="97" spans="1:27" x14ac:dyDescent="0.25">
      <c r="A97" t="s">
        <v>439</v>
      </c>
      <c r="B97">
        <v>164056</v>
      </c>
      <c r="C97">
        <v>4</v>
      </c>
      <c r="D97" t="s">
        <v>440</v>
      </c>
      <c r="E97" t="s">
        <v>29</v>
      </c>
      <c r="F97" t="s">
        <v>138</v>
      </c>
      <c r="G97" s="3">
        <v>1290</v>
      </c>
      <c r="H97" s="2">
        <v>42409</v>
      </c>
      <c r="I97" s="2">
        <v>42433</v>
      </c>
      <c r="J97" s="2">
        <v>42433</v>
      </c>
      <c r="K97" s="2">
        <v>42460</v>
      </c>
      <c r="L97" t="s">
        <v>31</v>
      </c>
      <c r="M97">
        <v>50</v>
      </c>
      <c r="N97">
        <v>164056</v>
      </c>
      <c r="P97">
        <v>0</v>
      </c>
      <c r="Q97">
        <v>18</v>
      </c>
      <c r="R97" s="3">
        <v>1263.8599999999999</v>
      </c>
      <c r="S97">
        <v>19</v>
      </c>
      <c r="T97" s="3">
        <v>1500</v>
      </c>
      <c r="U97">
        <v>17</v>
      </c>
      <c r="V97" s="2">
        <v>42442</v>
      </c>
      <c r="W97" s="2">
        <v>42442</v>
      </c>
      <c r="X97" t="s">
        <v>353</v>
      </c>
      <c r="Y97" t="s">
        <v>430</v>
      </c>
      <c r="Z97" t="s">
        <v>34</v>
      </c>
      <c r="AA97" t="s">
        <v>35</v>
      </c>
    </row>
    <row r="98" spans="1:27" x14ac:dyDescent="0.25">
      <c r="A98" t="s">
        <v>441</v>
      </c>
      <c r="C98">
        <v>3</v>
      </c>
      <c r="D98" t="s">
        <v>442</v>
      </c>
      <c r="E98" t="s">
        <v>29</v>
      </c>
      <c r="F98" t="s">
        <v>138</v>
      </c>
      <c r="G98" s="3">
        <v>11650</v>
      </c>
      <c r="H98" s="2">
        <v>42409</v>
      </c>
      <c r="I98" s="2">
        <v>42440</v>
      </c>
      <c r="J98" s="2">
        <v>42437</v>
      </c>
      <c r="K98" s="2">
        <v>42490</v>
      </c>
      <c r="L98" t="s">
        <v>31</v>
      </c>
      <c r="M98">
        <v>30</v>
      </c>
      <c r="P98">
        <v>0</v>
      </c>
      <c r="Q98">
        <v>192</v>
      </c>
      <c r="R98" s="3">
        <v>11647.94</v>
      </c>
      <c r="S98">
        <v>0</v>
      </c>
      <c r="T98">
        <v>0</v>
      </c>
      <c r="U98">
        <v>0</v>
      </c>
      <c r="X98" t="s">
        <v>443</v>
      </c>
      <c r="Y98" t="s">
        <v>163</v>
      </c>
      <c r="Z98" t="s">
        <v>34</v>
      </c>
      <c r="AA98" t="s">
        <v>35</v>
      </c>
    </row>
    <row r="99" spans="1:27" x14ac:dyDescent="0.25">
      <c r="A99" t="s">
        <v>444</v>
      </c>
      <c r="B99">
        <v>164059</v>
      </c>
      <c r="C99">
        <v>4</v>
      </c>
      <c r="D99" t="s">
        <v>445</v>
      </c>
      <c r="E99" t="s">
        <v>29</v>
      </c>
      <c r="F99" t="s">
        <v>138</v>
      </c>
      <c r="G99" s="3">
        <v>1375</v>
      </c>
      <c r="H99" s="2">
        <v>42409</v>
      </c>
      <c r="I99" s="2">
        <v>42440</v>
      </c>
      <c r="J99" s="2">
        <v>42440</v>
      </c>
      <c r="K99" s="2">
        <v>42490</v>
      </c>
      <c r="L99" t="s">
        <v>31</v>
      </c>
      <c r="M99">
        <v>30</v>
      </c>
      <c r="N99">
        <v>164059</v>
      </c>
      <c r="P99">
        <v>0</v>
      </c>
      <c r="Q99">
        <v>16</v>
      </c>
      <c r="R99" s="3">
        <v>1375.82</v>
      </c>
      <c r="S99">
        <v>16</v>
      </c>
      <c r="T99" s="3">
        <v>1375</v>
      </c>
      <c r="U99">
        <v>2</v>
      </c>
      <c r="X99" t="s">
        <v>353</v>
      </c>
      <c r="Y99" t="s">
        <v>140</v>
      </c>
      <c r="Z99" t="s">
        <v>34</v>
      </c>
      <c r="AA99" t="s">
        <v>35</v>
      </c>
    </row>
    <row r="100" spans="1:27" x14ac:dyDescent="0.25">
      <c r="A100" t="s">
        <v>446</v>
      </c>
      <c r="B100">
        <v>164057</v>
      </c>
      <c r="C100">
        <v>4</v>
      </c>
      <c r="D100" t="s">
        <v>447</v>
      </c>
      <c r="E100" t="s">
        <v>29</v>
      </c>
      <c r="F100" t="s">
        <v>138</v>
      </c>
      <c r="G100" s="3">
        <v>3560</v>
      </c>
      <c r="H100" s="2">
        <v>42409</v>
      </c>
      <c r="I100" s="2">
        <v>42439</v>
      </c>
      <c r="J100" s="2">
        <v>42439</v>
      </c>
      <c r="K100" s="2">
        <v>42460</v>
      </c>
      <c r="L100" s="2" t="s">
        <v>31</v>
      </c>
      <c r="M100">
        <v>50</v>
      </c>
      <c r="N100">
        <v>164057</v>
      </c>
      <c r="P100">
        <v>0</v>
      </c>
      <c r="Q100">
        <v>0</v>
      </c>
      <c r="R100">
        <v>0</v>
      </c>
      <c r="S100">
        <v>1</v>
      </c>
      <c r="T100" s="3">
        <v>3560</v>
      </c>
      <c r="U100">
        <v>42</v>
      </c>
      <c r="V100" s="2">
        <v>42451</v>
      </c>
      <c r="W100" s="2">
        <v>42452</v>
      </c>
      <c r="X100" t="s">
        <v>353</v>
      </c>
      <c r="Y100" t="s">
        <v>140</v>
      </c>
      <c r="Z100" t="s">
        <v>34</v>
      </c>
      <c r="AA100" t="s">
        <v>35</v>
      </c>
    </row>
    <row r="101" spans="1:27" x14ac:dyDescent="0.25">
      <c r="A101" t="s">
        <v>448</v>
      </c>
      <c r="B101">
        <v>164047</v>
      </c>
      <c r="C101">
        <v>4</v>
      </c>
      <c r="D101" t="s">
        <v>449</v>
      </c>
      <c r="E101" t="s">
        <v>29</v>
      </c>
      <c r="F101" t="s">
        <v>138</v>
      </c>
      <c r="G101" s="3">
        <v>1196</v>
      </c>
      <c r="H101" s="2">
        <v>42409</v>
      </c>
      <c r="I101" s="2">
        <v>42443</v>
      </c>
      <c r="J101" s="2">
        <v>42443</v>
      </c>
      <c r="K101" s="2">
        <v>42460</v>
      </c>
      <c r="L101" t="s">
        <v>31</v>
      </c>
      <c r="M101">
        <v>50</v>
      </c>
      <c r="N101">
        <v>164047</v>
      </c>
      <c r="P101">
        <v>0</v>
      </c>
      <c r="Q101">
        <v>0</v>
      </c>
      <c r="R101" s="3">
        <v>0</v>
      </c>
      <c r="S101">
        <v>1</v>
      </c>
      <c r="T101" s="3">
        <v>1196</v>
      </c>
      <c r="U101">
        <v>16</v>
      </c>
      <c r="V101" s="2">
        <v>42471</v>
      </c>
      <c r="W101" s="2">
        <v>42475</v>
      </c>
      <c r="X101" t="s">
        <v>353</v>
      </c>
      <c r="Y101" t="s">
        <v>140</v>
      </c>
      <c r="Z101" t="s">
        <v>34</v>
      </c>
      <c r="AA101" t="s">
        <v>35</v>
      </c>
    </row>
    <row r="102" spans="1:27" x14ac:dyDescent="0.25">
      <c r="A102" t="s">
        <v>450</v>
      </c>
      <c r="C102">
        <v>3</v>
      </c>
      <c r="D102" t="s">
        <v>451</v>
      </c>
      <c r="E102" t="s">
        <v>29</v>
      </c>
      <c r="F102" t="s">
        <v>138</v>
      </c>
      <c r="G102" s="3">
        <v>1196</v>
      </c>
      <c r="H102" s="2">
        <v>42409</v>
      </c>
      <c r="I102" s="2">
        <v>42443</v>
      </c>
      <c r="J102" s="2">
        <v>42443</v>
      </c>
      <c r="K102" s="2">
        <v>42551</v>
      </c>
      <c r="L102" t="s">
        <v>31</v>
      </c>
      <c r="M102">
        <v>30</v>
      </c>
      <c r="P102">
        <v>0</v>
      </c>
      <c r="Q102">
        <v>0</v>
      </c>
      <c r="R102" s="3">
        <v>0</v>
      </c>
      <c r="S102">
        <v>0</v>
      </c>
      <c r="T102">
        <v>0</v>
      </c>
      <c r="U102">
        <v>0</v>
      </c>
      <c r="X102" t="s">
        <v>353</v>
      </c>
      <c r="Y102" t="s">
        <v>140</v>
      </c>
      <c r="Z102" t="s">
        <v>34</v>
      </c>
      <c r="AA102" t="s">
        <v>35</v>
      </c>
    </row>
    <row r="103" spans="1:27" x14ac:dyDescent="0.25">
      <c r="A103" t="s">
        <v>452</v>
      </c>
      <c r="C103">
        <v>3</v>
      </c>
      <c r="D103" t="s">
        <v>453</v>
      </c>
      <c r="E103" t="s">
        <v>29</v>
      </c>
      <c r="F103" t="s">
        <v>138</v>
      </c>
      <c r="G103" s="3">
        <v>1995</v>
      </c>
      <c r="H103" s="2">
        <v>42409</v>
      </c>
      <c r="J103" s="2">
        <v>42447</v>
      </c>
      <c r="L103" t="s">
        <v>31</v>
      </c>
      <c r="M103">
        <v>50</v>
      </c>
      <c r="P103">
        <v>0</v>
      </c>
      <c r="Q103">
        <v>32</v>
      </c>
      <c r="R103" s="3">
        <v>1998.8</v>
      </c>
      <c r="S103">
        <v>0</v>
      </c>
      <c r="T103">
        <v>0</v>
      </c>
      <c r="U103">
        <v>0</v>
      </c>
      <c r="X103" t="s">
        <v>353</v>
      </c>
      <c r="Y103" t="s">
        <v>140</v>
      </c>
      <c r="Z103" t="s">
        <v>34</v>
      </c>
      <c r="AA103" t="s">
        <v>35</v>
      </c>
    </row>
    <row r="104" spans="1:27" x14ac:dyDescent="0.25">
      <c r="A104" t="s">
        <v>454</v>
      </c>
      <c r="C104">
        <v>3</v>
      </c>
      <c r="D104" t="s">
        <v>455</v>
      </c>
      <c r="E104" t="s">
        <v>29</v>
      </c>
      <c r="F104" t="s">
        <v>138</v>
      </c>
      <c r="G104" s="3">
        <v>12490</v>
      </c>
      <c r="H104" s="2">
        <v>42409</v>
      </c>
      <c r="I104" s="2">
        <v>42450</v>
      </c>
      <c r="J104" s="2">
        <v>42450</v>
      </c>
      <c r="K104" s="2">
        <v>42551</v>
      </c>
      <c r="L104" t="s">
        <v>31</v>
      </c>
      <c r="M104">
        <v>50</v>
      </c>
      <c r="P104">
        <v>0</v>
      </c>
      <c r="Q104">
        <v>2</v>
      </c>
      <c r="R104" s="3">
        <v>12485.26</v>
      </c>
      <c r="S104">
        <v>0</v>
      </c>
      <c r="T104">
        <v>0</v>
      </c>
      <c r="U104">
        <v>0</v>
      </c>
      <c r="X104" t="s">
        <v>353</v>
      </c>
      <c r="Y104" t="s">
        <v>456</v>
      </c>
      <c r="Z104" t="s">
        <v>34</v>
      </c>
      <c r="AA104" t="s">
        <v>35</v>
      </c>
    </row>
    <row r="105" spans="1:27" x14ac:dyDescent="0.25">
      <c r="A105" t="s">
        <v>457</v>
      </c>
      <c r="B105">
        <v>164060</v>
      </c>
      <c r="C105">
        <v>4</v>
      </c>
      <c r="D105" t="s">
        <v>458</v>
      </c>
      <c r="E105" t="s">
        <v>29</v>
      </c>
      <c r="F105" t="s">
        <v>138</v>
      </c>
      <c r="G105" s="3">
        <v>4418</v>
      </c>
      <c r="H105" s="2">
        <v>42409</v>
      </c>
      <c r="I105" s="2">
        <v>42452</v>
      </c>
      <c r="J105" s="2">
        <v>42452</v>
      </c>
      <c r="K105" s="2">
        <v>42490</v>
      </c>
      <c r="L105" t="s">
        <v>31</v>
      </c>
      <c r="M105">
        <v>30</v>
      </c>
      <c r="N105">
        <v>164060</v>
      </c>
      <c r="P105">
        <v>0</v>
      </c>
      <c r="Q105">
        <v>0</v>
      </c>
      <c r="R105">
        <v>0</v>
      </c>
      <c r="S105">
        <v>1</v>
      </c>
      <c r="T105" s="3">
        <v>4418</v>
      </c>
      <c r="U105">
        <v>57.5</v>
      </c>
      <c r="V105" s="2">
        <v>42459</v>
      </c>
      <c r="W105" s="2">
        <v>42460</v>
      </c>
      <c r="X105" t="s">
        <v>353</v>
      </c>
      <c r="Y105" t="s">
        <v>140</v>
      </c>
      <c r="Z105" t="s">
        <v>34</v>
      </c>
      <c r="AA105" t="s">
        <v>35</v>
      </c>
    </row>
    <row r="106" spans="1:27" x14ac:dyDescent="0.25">
      <c r="A106" t="s">
        <v>459</v>
      </c>
      <c r="C106">
        <v>3</v>
      </c>
      <c r="D106" t="s">
        <v>460</v>
      </c>
      <c r="E106" t="s">
        <v>29</v>
      </c>
      <c r="F106" t="s">
        <v>138</v>
      </c>
      <c r="G106" s="3">
        <v>14450</v>
      </c>
      <c r="H106" s="2">
        <v>42409</v>
      </c>
      <c r="I106" s="2">
        <v>42458</v>
      </c>
      <c r="J106" s="2">
        <v>42454</v>
      </c>
      <c r="K106" s="2">
        <v>42613</v>
      </c>
      <c r="L106" t="s">
        <v>31</v>
      </c>
      <c r="M106">
        <v>50</v>
      </c>
      <c r="P106">
        <v>0</v>
      </c>
      <c r="Q106">
        <v>144</v>
      </c>
      <c r="R106" s="3">
        <v>14467.37</v>
      </c>
      <c r="S106">
        <v>0</v>
      </c>
      <c r="T106">
        <v>0</v>
      </c>
      <c r="U106">
        <v>0</v>
      </c>
      <c r="X106" t="s">
        <v>353</v>
      </c>
      <c r="Y106" t="s">
        <v>430</v>
      </c>
      <c r="Z106" t="s">
        <v>34</v>
      </c>
      <c r="AA106" t="s">
        <v>35</v>
      </c>
    </row>
    <row r="107" spans="1:27" x14ac:dyDescent="0.25">
      <c r="A107" t="s">
        <v>461</v>
      </c>
      <c r="C107">
        <v>3</v>
      </c>
      <c r="D107" t="s">
        <v>462</v>
      </c>
      <c r="E107" t="s">
        <v>29</v>
      </c>
      <c r="F107" t="s">
        <v>138</v>
      </c>
      <c r="G107" s="3">
        <v>2995</v>
      </c>
      <c r="H107" s="2">
        <v>42409</v>
      </c>
      <c r="I107" s="2">
        <v>42454</v>
      </c>
      <c r="J107" s="2">
        <v>42454</v>
      </c>
      <c r="K107" s="2">
        <v>42490</v>
      </c>
      <c r="L107" t="s">
        <v>31</v>
      </c>
      <c r="M107">
        <v>50</v>
      </c>
      <c r="P107">
        <v>0</v>
      </c>
      <c r="Q107">
        <v>32</v>
      </c>
      <c r="R107" s="3">
        <v>2996.44</v>
      </c>
      <c r="S107">
        <v>0</v>
      </c>
      <c r="T107">
        <v>0</v>
      </c>
      <c r="U107">
        <v>0</v>
      </c>
      <c r="X107" t="s">
        <v>353</v>
      </c>
      <c r="Y107" t="s">
        <v>140</v>
      </c>
      <c r="Z107" t="s">
        <v>34</v>
      </c>
      <c r="AA107" t="s">
        <v>35</v>
      </c>
    </row>
    <row r="108" spans="1:27" x14ac:dyDescent="0.25">
      <c r="A108" t="s">
        <v>463</v>
      </c>
      <c r="C108">
        <v>3</v>
      </c>
      <c r="D108" t="s">
        <v>464</v>
      </c>
      <c r="E108" t="s">
        <v>29</v>
      </c>
      <c r="F108" t="s">
        <v>138</v>
      </c>
      <c r="G108" s="3">
        <v>2995</v>
      </c>
      <c r="H108" s="2">
        <v>42409</v>
      </c>
      <c r="I108" s="2">
        <v>42454</v>
      </c>
      <c r="J108" s="2">
        <v>42454</v>
      </c>
      <c r="K108" s="2">
        <v>42490</v>
      </c>
      <c r="L108" t="s">
        <v>31</v>
      </c>
      <c r="M108">
        <v>50</v>
      </c>
      <c r="P108">
        <v>0</v>
      </c>
      <c r="Q108">
        <v>32</v>
      </c>
      <c r="R108" s="3">
        <v>2996.44</v>
      </c>
      <c r="S108">
        <v>0</v>
      </c>
      <c r="T108">
        <v>0</v>
      </c>
      <c r="U108">
        <v>0</v>
      </c>
      <c r="X108" t="s">
        <v>353</v>
      </c>
      <c r="Y108" t="s">
        <v>140</v>
      </c>
      <c r="Z108" t="s">
        <v>34</v>
      </c>
      <c r="AA108" t="s">
        <v>35</v>
      </c>
    </row>
    <row r="109" spans="1:27" x14ac:dyDescent="0.25">
      <c r="A109" t="s">
        <v>469</v>
      </c>
      <c r="B109">
        <v>160610</v>
      </c>
      <c r="C109">
        <v>4</v>
      </c>
      <c r="D109" t="s">
        <v>470</v>
      </c>
      <c r="E109" t="s">
        <v>58</v>
      </c>
      <c r="F109" t="s">
        <v>30</v>
      </c>
      <c r="G109" s="3">
        <v>13180</v>
      </c>
      <c r="H109" s="2">
        <v>42410</v>
      </c>
      <c r="J109" s="2">
        <v>42409</v>
      </c>
      <c r="K109" s="2">
        <v>42408</v>
      </c>
      <c r="L109" t="s">
        <v>31</v>
      </c>
      <c r="M109">
        <v>0</v>
      </c>
      <c r="N109">
        <v>160610</v>
      </c>
      <c r="P109">
        <v>0</v>
      </c>
      <c r="Q109">
        <v>136</v>
      </c>
      <c r="R109" s="3">
        <v>13115.96</v>
      </c>
      <c r="S109">
        <v>136</v>
      </c>
      <c r="T109" s="3">
        <v>13180</v>
      </c>
      <c r="U109">
        <v>60.5</v>
      </c>
      <c r="V109" s="2">
        <v>42408</v>
      </c>
      <c r="W109" s="2">
        <v>42416</v>
      </c>
      <c r="X109" t="s">
        <v>32</v>
      </c>
      <c r="Y109" t="s">
        <v>471</v>
      </c>
      <c r="Z109" t="s">
        <v>472</v>
      </c>
      <c r="AA109" t="s">
        <v>35</v>
      </c>
    </row>
    <row r="110" spans="1:27" x14ac:dyDescent="0.25">
      <c r="A110" t="s">
        <v>473</v>
      </c>
      <c r="C110">
        <v>5</v>
      </c>
      <c r="D110" t="s">
        <v>474</v>
      </c>
      <c r="E110" t="s">
        <v>58</v>
      </c>
      <c r="F110" t="s">
        <v>30</v>
      </c>
      <c r="G110" s="3">
        <v>30190</v>
      </c>
      <c r="H110" s="2">
        <v>42410</v>
      </c>
      <c r="I110" s="2">
        <v>42551</v>
      </c>
      <c r="J110" s="2">
        <v>42430</v>
      </c>
      <c r="L110" t="s">
        <v>31</v>
      </c>
      <c r="M110">
        <v>0</v>
      </c>
      <c r="P110">
        <v>0</v>
      </c>
      <c r="Q110">
        <v>508</v>
      </c>
      <c r="R110" s="3">
        <v>30186.639999999999</v>
      </c>
      <c r="S110">
        <v>0</v>
      </c>
      <c r="T110" s="3">
        <v>0</v>
      </c>
      <c r="U110">
        <v>0</v>
      </c>
      <c r="V110" s="2"/>
      <c r="W110" s="2"/>
      <c r="X110" t="s">
        <v>475</v>
      </c>
      <c r="Y110" t="s">
        <v>476</v>
      </c>
      <c r="Z110" t="s">
        <v>62</v>
      </c>
      <c r="AA110" t="s">
        <v>35</v>
      </c>
    </row>
    <row r="111" spans="1:27" x14ac:dyDescent="0.25">
      <c r="A111" t="s">
        <v>477</v>
      </c>
      <c r="B111">
        <v>164220</v>
      </c>
      <c r="C111">
        <v>4</v>
      </c>
      <c r="D111" t="s">
        <v>478</v>
      </c>
      <c r="E111" t="s">
        <v>29</v>
      </c>
      <c r="F111" t="s">
        <v>38</v>
      </c>
      <c r="G111" s="3">
        <v>1640</v>
      </c>
      <c r="H111" s="2">
        <v>42411</v>
      </c>
      <c r="J111" s="2">
        <v>42410</v>
      </c>
      <c r="L111" t="s">
        <v>31</v>
      </c>
      <c r="M111">
        <v>50</v>
      </c>
      <c r="N111">
        <v>164220</v>
      </c>
      <c r="P111">
        <v>0</v>
      </c>
      <c r="Q111">
        <v>32</v>
      </c>
      <c r="R111" s="3">
        <v>1640.43</v>
      </c>
      <c r="S111">
        <v>32</v>
      </c>
      <c r="T111" s="3">
        <v>1640</v>
      </c>
      <c r="U111">
        <v>0</v>
      </c>
      <c r="V111" s="2"/>
      <c r="W111" s="2"/>
      <c r="X111" t="s">
        <v>479</v>
      </c>
      <c r="Y111" t="s">
        <v>480</v>
      </c>
      <c r="Z111" t="s">
        <v>34</v>
      </c>
      <c r="AA111" t="s">
        <v>35</v>
      </c>
    </row>
    <row r="112" spans="1:27" x14ac:dyDescent="0.25">
      <c r="A112" t="s">
        <v>481</v>
      </c>
      <c r="C112">
        <v>3</v>
      </c>
      <c r="D112" t="s">
        <v>482</v>
      </c>
      <c r="E112" t="s">
        <v>58</v>
      </c>
      <c r="F112" t="s">
        <v>30</v>
      </c>
      <c r="G112" s="3">
        <v>3250</v>
      </c>
      <c r="H112" s="2">
        <v>42411</v>
      </c>
      <c r="I112" s="2">
        <v>42551</v>
      </c>
      <c r="J112" s="2">
        <v>42461</v>
      </c>
      <c r="L112" t="s">
        <v>31</v>
      </c>
      <c r="M112">
        <v>0</v>
      </c>
      <c r="P112">
        <v>0</v>
      </c>
      <c r="Q112">
        <v>32</v>
      </c>
      <c r="R112" s="3">
        <v>3246.64</v>
      </c>
      <c r="S112">
        <v>0</v>
      </c>
      <c r="T112">
        <v>0</v>
      </c>
      <c r="U112">
        <v>0</v>
      </c>
      <c r="X112">
        <v>6000463554</v>
      </c>
      <c r="Y112" t="s">
        <v>483</v>
      </c>
      <c r="Z112" t="s">
        <v>202</v>
      </c>
      <c r="AA112" t="s">
        <v>35</v>
      </c>
    </row>
    <row r="113" spans="1:27" x14ac:dyDescent="0.25">
      <c r="A113" t="s">
        <v>489</v>
      </c>
      <c r="C113">
        <v>3</v>
      </c>
      <c r="D113" t="s">
        <v>490</v>
      </c>
      <c r="E113" t="s">
        <v>65</v>
      </c>
      <c r="F113" t="s">
        <v>66</v>
      </c>
      <c r="G113" s="3">
        <v>5550</v>
      </c>
      <c r="H113" s="2">
        <v>42411</v>
      </c>
      <c r="I113" s="2">
        <v>42424</v>
      </c>
      <c r="J113" s="2">
        <v>42416</v>
      </c>
      <c r="K113" s="2">
        <v>42454</v>
      </c>
      <c r="L113" t="s">
        <v>31</v>
      </c>
      <c r="M113">
        <v>25</v>
      </c>
      <c r="P113">
        <v>0</v>
      </c>
      <c r="Q113">
        <v>23</v>
      </c>
      <c r="R113" s="3">
        <v>5543.11</v>
      </c>
      <c r="S113">
        <v>0</v>
      </c>
      <c r="T113">
        <v>0</v>
      </c>
      <c r="U113">
        <v>0</v>
      </c>
      <c r="X113" t="s">
        <v>491</v>
      </c>
      <c r="Y113" t="s">
        <v>492</v>
      </c>
      <c r="Z113" t="s">
        <v>129</v>
      </c>
      <c r="AA113" t="s">
        <v>35</v>
      </c>
    </row>
    <row r="114" spans="1:27" x14ac:dyDescent="0.25">
      <c r="A114" t="s">
        <v>493</v>
      </c>
      <c r="C114">
        <v>3</v>
      </c>
      <c r="D114" t="s">
        <v>494</v>
      </c>
      <c r="E114" t="s">
        <v>29</v>
      </c>
      <c r="F114" t="s">
        <v>38</v>
      </c>
      <c r="G114" s="3">
        <v>2750</v>
      </c>
      <c r="H114" s="2">
        <v>42411</v>
      </c>
      <c r="I114" s="2"/>
      <c r="J114" s="2">
        <v>42411</v>
      </c>
      <c r="K114" s="2"/>
      <c r="L114" t="s">
        <v>31</v>
      </c>
      <c r="M114">
        <v>50</v>
      </c>
      <c r="P114">
        <v>0</v>
      </c>
      <c r="Q114">
        <v>32</v>
      </c>
      <c r="R114" s="3">
        <v>2751.4</v>
      </c>
      <c r="S114">
        <v>0</v>
      </c>
      <c r="T114" s="3">
        <v>0</v>
      </c>
      <c r="U114">
        <v>0</v>
      </c>
      <c r="V114" s="2"/>
      <c r="W114" s="2"/>
      <c r="X114" t="s">
        <v>495</v>
      </c>
      <c r="Y114" t="s">
        <v>480</v>
      </c>
      <c r="Z114" t="s">
        <v>34</v>
      </c>
      <c r="AA114" t="s">
        <v>35</v>
      </c>
    </row>
    <row r="115" spans="1:27" x14ac:dyDescent="0.25">
      <c r="A115" t="s">
        <v>500</v>
      </c>
      <c r="C115">
        <v>3</v>
      </c>
      <c r="D115" t="s">
        <v>501</v>
      </c>
      <c r="E115" t="s">
        <v>58</v>
      </c>
      <c r="F115" t="s">
        <v>30</v>
      </c>
      <c r="G115" s="3">
        <v>5380</v>
      </c>
      <c r="H115" s="2">
        <v>42412</v>
      </c>
      <c r="I115" s="2">
        <v>42551</v>
      </c>
      <c r="J115" s="2">
        <v>42454</v>
      </c>
      <c r="K115" s="2">
        <v>42522</v>
      </c>
      <c r="L115" t="s">
        <v>31</v>
      </c>
      <c r="M115">
        <v>30</v>
      </c>
      <c r="P115">
        <v>0</v>
      </c>
      <c r="Q115">
        <v>50</v>
      </c>
      <c r="R115" s="3">
        <v>5386.52</v>
      </c>
      <c r="S115">
        <v>0</v>
      </c>
      <c r="T115">
        <v>0</v>
      </c>
      <c r="U115">
        <v>0</v>
      </c>
      <c r="X115" t="s">
        <v>502</v>
      </c>
      <c r="Y115" t="s">
        <v>337</v>
      </c>
      <c r="Z115" t="s">
        <v>202</v>
      </c>
      <c r="AA115" t="s">
        <v>35</v>
      </c>
    </row>
    <row r="116" spans="1:27" x14ac:dyDescent="0.25">
      <c r="A116" t="s">
        <v>503</v>
      </c>
      <c r="B116">
        <v>164023</v>
      </c>
      <c r="C116">
        <v>4</v>
      </c>
      <c r="D116" t="s">
        <v>504</v>
      </c>
      <c r="E116" t="s">
        <v>29</v>
      </c>
      <c r="F116" t="s">
        <v>138</v>
      </c>
      <c r="G116" s="3">
        <v>2390</v>
      </c>
      <c r="H116" s="2">
        <v>42412</v>
      </c>
      <c r="I116" s="2"/>
      <c r="J116" s="2">
        <v>42411</v>
      </c>
      <c r="K116" s="2"/>
      <c r="L116" t="s">
        <v>31</v>
      </c>
      <c r="M116">
        <v>50</v>
      </c>
      <c r="N116">
        <v>164023</v>
      </c>
      <c r="P116">
        <v>0</v>
      </c>
      <c r="Q116">
        <v>1</v>
      </c>
      <c r="R116" s="3">
        <v>2400.3000000000002</v>
      </c>
      <c r="S116">
        <v>1</v>
      </c>
      <c r="T116" s="3">
        <v>2390</v>
      </c>
      <c r="U116">
        <v>6.5</v>
      </c>
      <c r="X116" t="s">
        <v>505</v>
      </c>
      <c r="Y116" t="s">
        <v>149</v>
      </c>
      <c r="Z116" t="s">
        <v>34</v>
      </c>
      <c r="AA116" t="s">
        <v>35</v>
      </c>
    </row>
    <row r="117" spans="1:27" x14ac:dyDescent="0.25">
      <c r="A117" t="s">
        <v>506</v>
      </c>
      <c r="B117">
        <v>164222</v>
      </c>
      <c r="C117">
        <v>4</v>
      </c>
      <c r="D117" t="s">
        <v>507</v>
      </c>
      <c r="E117" t="s">
        <v>29</v>
      </c>
      <c r="F117" t="s">
        <v>38</v>
      </c>
      <c r="G117" s="3">
        <v>1525</v>
      </c>
      <c r="H117" s="2">
        <v>42412</v>
      </c>
      <c r="I117" s="2"/>
      <c r="J117" s="2">
        <v>42411</v>
      </c>
      <c r="K117" s="2"/>
      <c r="L117" t="s">
        <v>31</v>
      </c>
      <c r="M117">
        <v>50</v>
      </c>
      <c r="N117">
        <v>164222</v>
      </c>
      <c r="P117">
        <v>0</v>
      </c>
      <c r="Q117">
        <v>32</v>
      </c>
      <c r="R117" s="3">
        <v>1525.99</v>
      </c>
      <c r="S117">
        <v>32</v>
      </c>
      <c r="T117" s="3">
        <v>1525</v>
      </c>
      <c r="U117">
        <v>32</v>
      </c>
      <c r="V117" s="2">
        <v>42418</v>
      </c>
      <c r="W117" s="2">
        <v>42423</v>
      </c>
      <c r="X117" t="s">
        <v>508</v>
      </c>
      <c r="Y117" t="s">
        <v>48</v>
      </c>
      <c r="Z117" t="s">
        <v>34</v>
      </c>
      <c r="AA117" t="s">
        <v>35</v>
      </c>
    </row>
    <row r="118" spans="1:27" x14ac:dyDescent="0.25">
      <c r="A118" t="s">
        <v>509</v>
      </c>
      <c r="B118">
        <v>164223</v>
      </c>
      <c r="C118">
        <v>4</v>
      </c>
      <c r="D118" t="s">
        <v>510</v>
      </c>
      <c r="E118" t="s">
        <v>29</v>
      </c>
      <c r="F118" t="s">
        <v>38</v>
      </c>
      <c r="G118" s="3">
        <v>1900</v>
      </c>
      <c r="H118" s="2">
        <v>42412</v>
      </c>
      <c r="I118" s="2"/>
      <c r="J118" s="2">
        <v>42411</v>
      </c>
      <c r="K118" s="2"/>
      <c r="L118" t="s">
        <v>31</v>
      </c>
      <c r="M118">
        <v>50</v>
      </c>
      <c r="N118">
        <v>164223</v>
      </c>
      <c r="P118">
        <v>0</v>
      </c>
      <c r="Q118">
        <v>34</v>
      </c>
      <c r="R118" s="3">
        <v>2100.6999999999998</v>
      </c>
      <c r="S118">
        <v>34</v>
      </c>
      <c r="T118" s="3">
        <v>1900</v>
      </c>
      <c r="U118">
        <v>27.5</v>
      </c>
      <c r="V118" s="2">
        <v>42460</v>
      </c>
      <c r="W118" s="2">
        <v>42464</v>
      </c>
      <c r="X118" t="s">
        <v>511</v>
      </c>
      <c r="Y118" t="s">
        <v>512</v>
      </c>
      <c r="Z118" t="s">
        <v>34</v>
      </c>
      <c r="AA118" t="s">
        <v>35</v>
      </c>
    </row>
    <row r="119" spans="1:27" x14ac:dyDescent="0.25">
      <c r="A119" t="s">
        <v>516</v>
      </c>
      <c r="B119">
        <v>160016</v>
      </c>
      <c r="C119">
        <v>4</v>
      </c>
      <c r="D119" t="s">
        <v>517</v>
      </c>
      <c r="E119" t="s">
        <v>65</v>
      </c>
      <c r="F119" t="s">
        <v>80</v>
      </c>
      <c r="G119" s="3">
        <v>21920</v>
      </c>
      <c r="H119" s="2">
        <v>42415</v>
      </c>
      <c r="I119" s="2">
        <v>42440</v>
      </c>
      <c r="J119" s="2">
        <v>42440</v>
      </c>
      <c r="K119" s="2">
        <v>42551</v>
      </c>
      <c r="L119" t="s">
        <v>31</v>
      </c>
      <c r="M119">
        <v>0</v>
      </c>
      <c r="N119">
        <v>160016</v>
      </c>
      <c r="P119">
        <v>0</v>
      </c>
      <c r="Q119">
        <v>1</v>
      </c>
      <c r="R119" s="3">
        <v>21940.5</v>
      </c>
      <c r="S119">
        <v>1</v>
      </c>
      <c r="T119" s="3">
        <v>21920</v>
      </c>
      <c r="U119">
        <v>0</v>
      </c>
      <c r="X119" t="s">
        <v>518</v>
      </c>
      <c r="Y119" t="s">
        <v>519</v>
      </c>
      <c r="Z119" t="s">
        <v>520</v>
      </c>
      <c r="AA119" t="s">
        <v>35</v>
      </c>
    </row>
    <row r="120" spans="1:27" x14ac:dyDescent="0.25">
      <c r="A120" t="s">
        <v>521</v>
      </c>
      <c r="C120">
        <v>3</v>
      </c>
      <c r="D120" t="s">
        <v>522</v>
      </c>
      <c r="E120" t="s">
        <v>188</v>
      </c>
      <c r="F120" t="s">
        <v>523</v>
      </c>
      <c r="G120">
        <v>0</v>
      </c>
      <c r="H120" s="2">
        <v>42415</v>
      </c>
      <c r="I120" s="2">
        <v>42433</v>
      </c>
      <c r="J120" s="2">
        <v>42433</v>
      </c>
      <c r="K120" s="2">
        <v>42444</v>
      </c>
      <c r="L120" t="s">
        <v>305</v>
      </c>
      <c r="M120">
        <v>45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X120" t="s">
        <v>524</v>
      </c>
      <c r="Y120" t="s">
        <v>525</v>
      </c>
      <c r="Z120" t="s">
        <v>526</v>
      </c>
      <c r="AA120" t="s">
        <v>35</v>
      </c>
    </row>
    <row r="121" spans="1:27" x14ac:dyDescent="0.25">
      <c r="A121" t="s">
        <v>527</v>
      </c>
      <c r="B121">
        <v>160105</v>
      </c>
      <c r="C121">
        <v>4</v>
      </c>
      <c r="D121" t="s">
        <v>528</v>
      </c>
      <c r="E121" t="s">
        <v>51</v>
      </c>
      <c r="F121" t="s">
        <v>52</v>
      </c>
      <c r="G121" s="3">
        <v>9675</v>
      </c>
      <c r="H121" s="2">
        <v>42416</v>
      </c>
      <c r="I121" s="2">
        <v>42416</v>
      </c>
      <c r="J121" s="2">
        <v>42416</v>
      </c>
      <c r="K121" s="2">
        <v>42422</v>
      </c>
      <c r="L121" t="s">
        <v>305</v>
      </c>
      <c r="M121">
        <v>50</v>
      </c>
      <c r="N121">
        <v>160105</v>
      </c>
      <c r="P121">
        <v>0</v>
      </c>
      <c r="Q121">
        <v>148</v>
      </c>
      <c r="R121" s="3">
        <v>9676.73</v>
      </c>
      <c r="S121">
        <v>148</v>
      </c>
      <c r="T121" s="3">
        <v>9675</v>
      </c>
      <c r="U121">
        <v>125.25</v>
      </c>
      <c r="V121" s="2">
        <v>42429</v>
      </c>
      <c r="W121" s="2">
        <v>42433</v>
      </c>
      <c r="X121" t="s">
        <v>316</v>
      </c>
      <c r="Y121" t="s">
        <v>529</v>
      </c>
      <c r="Z121" t="s">
        <v>55</v>
      </c>
      <c r="AA121" t="s">
        <v>35</v>
      </c>
    </row>
    <row r="122" spans="1:27" x14ac:dyDescent="0.25">
      <c r="A122" t="s">
        <v>533</v>
      </c>
      <c r="C122">
        <v>3</v>
      </c>
      <c r="D122" t="s">
        <v>534</v>
      </c>
      <c r="E122" t="s">
        <v>65</v>
      </c>
      <c r="F122" t="s">
        <v>80</v>
      </c>
      <c r="G122" s="3">
        <v>111160</v>
      </c>
      <c r="H122" s="2">
        <v>42417</v>
      </c>
      <c r="I122" s="2">
        <v>42450</v>
      </c>
      <c r="J122" s="2">
        <v>42450</v>
      </c>
      <c r="K122" s="2">
        <v>42644</v>
      </c>
      <c r="L122" t="s">
        <v>31</v>
      </c>
      <c r="M122">
        <v>30</v>
      </c>
      <c r="P122">
        <v>0</v>
      </c>
      <c r="Q122">
        <v>835</v>
      </c>
      <c r="R122" s="3">
        <v>111163.68</v>
      </c>
      <c r="S122">
        <v>0</v>
      </c>
      <c r="T122">
        <v>0</v>
      </c>
      <c r="U122">
        <v>0</v>
      </c>
      <c r="X122" t="s">
        <v>81</v>
      </c>
      <c r="Y122" t="s">
        <v>535</v>
      </c>
      <c r="Z122" t="s">
        <v>536</v>
      </c>
      <c r="AA122" t="s">
        <v>35</v>
      </c>
    </row>
    <row r="123" spans="1:27" x14ac:dyDescent="0.25">
      <c r="A123" t="s">
        <v>537</v>
      </c>
      <c r="C123">
        <v>3</v>
      </c>
      <c r="D123" t="s">
        <v>538</v>
      </c>
      <c r="E123" t="s">
        <v>58</v>
      </c>
      <c r="F123" t="s">
        <v>30</v>
      </c>
      <c r="G123" s="3">
        <v>8680</v>
      </c>
      <c r="H123" s="2">
        <v>42417</v>
      </c>
      <c r="I123" s="2">
        <v>42424</v>
      </c>
      <c r="J123" s="2">
        <v>42419</v>
      </c>
      <c r="K123" s="2">
        <v>42461</v>
      </c>
      <c r="L123" t="s">
        <v>31</v>
      </c>
      <c r="M123">
        <v>30</v>
      </c>
      <c r="P123">
        <v>0</v>
      </c>
      <c r="Q123">
        <v>136</v>
      </c>
      <c r="R123" s="3">
        <v>8678.2800000000007</v>
      </c>
      <c r="S123">
        <v>0</v>
      </c>
      <c r="T123" s="3">
        <v>0</v>
      </c>
      <c r="U123">
        <v>0</v>
      </c>
      <c r="V123" s="2"/>
      <c r="W123" s="2"/>
      <c r="X123" t="s">
        <v>539</v>
      </c>
      <c r="Y123" t="s">
        <v>476</v>
      </c>
      <c r="Z123" t="s">
        <v>62</v>
      </c>
      <c r="AA123" t="s">
        <v>35</v>
      </c>
    </row>
    <row r="124" spans="1:27" x14ac:dyDescent="0.25">
      <c r="A124" t="s">
        <v>540</v>
      </c>
      <c r="B124">
        <v>160260</v>
      </c>
      <c r="C124">
        <v>4</v>
      </c>
      <c r="D124" t="s">
        <v>541</v>
      </c>
      <c r="E124" t="s">
        <v>29</v>
      </c>
      <c r="F124" t="s">
        <v>30</v>
      </c>
      <c r="G124" s="3">
        <v>785</v>
      </c>
      <c r="H124" s="2">
        <v>42417</v>
      </c>
      <c r="I124" s="2">
        <v>42418</v>
      </c>
      <c r="J124" s="2">
        <v>42418</v>
      </c>
      <c r="K124" s="2">
        <v>42424</v>
      </c>
      <c r="L124" t="s">
        <v>31</v>
      </c>
      <c r="M124">
        <v>30</v>
      </c>
      <c r="N124">
        <v>160260</v>
      </c>
      <c r="P124">
        <v>0</v>
      </c>
      <c r="Q124">
        <v>12</v>
      </c>
      <c r="R124" s="3">
        <v>784.08</v>
      </c>
      <c r="S124">
        <v>12</v>
      </c>
      <c r="T124" s="3">
        <v>785</v>
      </c>
      <c r="U124">
        <v>10.5</v>
      </c>
      <c r="V124" s="2">
        <v>42429</v>
      </c>
      <c r="W124" s="2">
        <v>42429</v>
      </c>
      <c r="X124" t="s">
        <v>32</v>
      </c>
      <c r="Y124" t="s">
        <v>140</v>
      </c>
      <c r="Z124" t="s">
        <v>34</v>
      </c>
      <c r="AA124" t="s">
        <v>35</v>
      </c>
    </row>
    <row r="125" spans="1:27" x14ac:dyDescent="0.25">
      <c r="A125" t="s">
        <v>542</v>
      </c>
      <c r="C125">
        <v>3</v>
      </c>
      <c r="D125" t="s">
        <v>543</v>
      </c>
      <c r="E125" t="s">
        <v>29</v>
      </c>
      <c r="F125" t="s">
        <v>30</v>
      </c>
      <c r="G125" s="3">
        <v>940</v>
      </c>
      <c r="H125" s="2">
        <v>42417</v>
      </c>
      <c r="I125" s="2">
        <v>42418</v>
      </c>
      <c r="J125" s="2">
        <v>42418</v>
      </c>
      <c r="K125" s="2">
        <v>42424</v>
      </c>
      <c r="L125" t="s">
        <v>31</v>
      </c>
      <c r="M125">
        <v>30</v>
      </c>
      <c r="P125">
        <v>0</v>
      </c>
      <c r="Q125">
        <v>12</v>
      </c>
      <c r="R125" s="3">
        <v>936.4</v>
      </c>
      <c r="S125">
        <v>0</v>
      </c>
      <c r="T125">
        <v>0</v>
      </c>
      <c r="U125">
        <v>0</v>
      </c>
      <c r="X125" t="s">
        <v>32</v>
      </c>
      <c r="Y125" t="s">
        <v>140</v>
      </c>
      <c r="Z125" t="s">
        <v>34</v>
      </c>
      <c r="AA125" t="s">
        <v>35</v>
      </c>
    </row>
    <row r="126" spans="1:27" x14ac:dyDescent="0.25">
      <c r="A126" t="s">
        <v>544</v>
      </c>
      <c r="C126">
        <v>3</v>
      </c>
      <c r="D126" t="s">
        <v>545</v>
      </c>
      <c r="E126" t="s">
        <v>29</v>
      </c>
      <c r="F126" t="s">
        <v>30</v>
      </c>
      <c r="G126" s="3">
        <v>6485</v>
      </c>
      <c r="H126" s="2">
        <v>42417</v>
      </c>
      <c r="I126" s="2">
        <v>42418</v>
      </c>
      <c r="J126" s="2">
        <v>42418</v>
      </c>
      <c r="K126" s="2">
        <v>42424</v>
      </c>
      <c r="L126" t="s">
        <v>31</v>
      </c>
      <c r="M126">
        <v>30</v>
      </c>
      <c r="P126">
        <v>0</v>
      </c>
      <c r="Q126">
        <v>96</v>
      </c>
      <c r="R126" s="3">
        <v>6485.68</v>
      </c>
      <c r="S126">
        <v>0</v>
      </c>
      <c r="T126" s="3">
        <v>0</v>
      </c>
      <c r="U126">
        <v>0</v>
      </c>
      <c r="V126" s="2"/>
      <c r="W126" s="2"/>
      <c r="X126" t="s">
        <v>32</v>
      </c>
      <c r="Y126" t="s">
        <v>140</v>
      </c>
      <c r="Z126" t="s">
        <v>34</v>
      </c>
      <c r="AA126" t="s">
        <v>35</v>
      </c>
    </row>
    <row r="127" spans="1:27" x14ac:dyDescent="0.25">
      <c r="A127" t="s">
        <v>554</v>
      </c>
      <c r="C127">
        <v>3</v>
      </c>
      <c r="D127" t="s">
        <v>555</v>
      </c>
      <c r="E127" t="s">
        <v>29</v>
      </c>
      <c r="F127" t="s">
        <v>38</v>
      </c>
      <c r="G127" s="3">
        <v>2175</v>
      </c>
      <c r="H127" s="2">
        <v>42418</v>
      </c>
      <c r="J127" s="2">
        <v>42416</v>
      </c>
      <c r="L127" t="s">
        <v>31</v>
      </c>
      <c r="M127">
        <v>50</v>
      </c>
      <c r="P127">
        <v>0</v>
      </c>
      <c r="Q127">
        <v>46</v>
      </c>
      <c r="R127" s="3">
        <v>2174.87</v>
      </c>
      <c r="S127">
        <v>0</v>
      </c>
      <c r="T127">
        <v>0</v>
      </c>
      <c r="U127">
        <v>0</v>
      </c>
      <c r="X127" t="s">
        <v>556</v>
      </c>
      <c r="Y127" t="s">
        <v>48</v>
      </c>
      <c r="Z127" t="s">
        <v>34</v>
      </c>
      <c r="AA127" t="s">
        <v>35</v>
      </c>
    </row>
    <row r="128" spans="1:27" x14ac:dyDescent="0.25">
      <c r="A128" t="s">
        <v>557</v>
      </c>
      <c r="B128">
        <v>164225</v>
      </c>
      <c r="C128">
        <v>4</v>
      </c>
      <c r="D128" t="s">
        <v>558</v>
      </c>
      <c r="E128" t="s">
        <v>29</v>
      </c>
      <c r="F128" t="s">
        <v>38</v>
      </c>
      <c r="G128" s="3">
        <v>1950</v>
      </c>
      <c r="H128" s="2">
        <v>42418</v>
      </c>
      <c r="J128" s="2">
        <v>42416</v>
      </c>
      <c r="L128" t="s">
        <v>31</v>
      </c>
      <c r="M128">
        <v>50</v>
      </c>
      <c r="N128">
        <v>164225</v>
      </c>
      <c r="P128">
        <v>0</v>
      </c>
      <c r="Q128">
        <v>26</v>
      </c>
      <c r="R128" s="3">
        <v>1950.22</v>
      </c>
      <c r="S128">
        <v>26</v>
      </c>
      <c r="T128" s="3">
        <v>1950</v>
      </c>
      <c r="U128">
        <v>24.5</v>
      </c>
      <c r="V128" s="2">
        <v>42466</v>
      </c>
      <c r="W128" s="2">
        <v>42468</v>
      </c>
      <c r="X128" t="s">
        <v>559</v>
      </c>
      <c r="Y128" t="s">
        <v>48</v>
      </c>
      <c r="Z128" t="s">
        <v>34</v>
      </c>
      <c r="AA128" t="s">
        <v>35</v>
      </c>
    </row>
    <row r="129" spans="1:27" x14ac:dyDescent="0.25">
      <c r="A129" t="s">
        <v>560</v>
      </c>
      <c r="C129">
        <v>3</v>
      </c>
      <c r="D129" t="s">
        <v>561</v>
      </c>
      <c r="E129" t="s">
        <v>58</v>
      </c>
      <c r="F129" t="s">
        <v>59</v>
      </c>
      <c r="G129" s="3">
        <v>15689</v>
      </c>
      <c r="H129" s="2">
        <v>42418</v>
      </c>
      <c r="I129" s="2">
        <v>42440</v>
      </c>
      <c r="J129" s="2">
        <v>42440</v>
      </c>
      <c r="L129" t="s">
        <v>31</v>
      </c>
      <c r="M129">
        <v>0</v>
      </c>
      <c r="P129">
        <v>0</v>
      </c>
      <c r="Q129">
        <v>120</v>
      </c>
      <c r="R129" s="3">
        <v>15689.05</v>
      </c>
      <c r="S129">
        <v>0</v>
      </c>
      <c r="T129">
        <v>0</v>
      </c>
      <c r="U129">
        <v>0</v>
      </c>
      <c r="X129" t="s">
        <v>562</v>
      </c>
      <c r="Y129" t="s">
        <v>563</v>
      </c>
      <c r="Z129" t="s">
        <v>564</v>
      </c>
      <c r="AA129" t="s">
        <v>35</v>
      </c>
    </row>
    <row r="130" spans="1:27" x14ac:dyDescent="0.25">
      <c r="A130" t="s">
        <v>565</v>
      </c>
      <c r="B130">
        <v>160252</v>
      </c>
      <c r="C130">
        <v>4</v>
      </c>
      <c r="D130" t="s">
        <v>566</v>
      </c>
      <c r="E130" t="s">
        <v>29</v>
      </c>
      <c r="F130" t="s">
        <v>30</v>
      </c>
      <c r="G130" s="3">
        <v>14200</v>
      </c>
      <c r="H130" s="2">
        <v>42419</v>
      </c>
      <c r="I130" s="2">
        <v>42426</v>
      </c>
      <c r="J130" s="2">
        <v>42420</v>
      </c>
      <c r="K130" s="2">
        <v>42409</v>
      </c>
      <c r="L130" t="s">
        <v>31</v>
      </c>
      <c r="M130">
        <v>50</v>
      </c>
      <c r="N130">
        <v>160252</v>
      </c>
      <c r="P130">
        <v>0</v>
      </c>
      <c r="Q130">
        <v>182</v>
      </c>
      <c r="R130" s="3">
        <v>14178.5</v>
      </c>
      <c r="S130">
        <v>183</v>
      </c>
      <c r="T130" s="3">
        <v>14853.96</v>
      </c>
      <c r="U130">
        <v>212</v>
      </c>
      <c r="V130" s="2">
        <v>42429</v>
      </c>
      <c r="W130" s="2">
        <v>42437</v>
      </c>
      <c r="X130" t="s">
        <v>32</v>
      </c>
      <c r="Y130" t="s">
        <v>163</v>
      </c>
      <c r="Z130" t="s">
        <v>34</v>
      </c>
      <c r="AA130" t="s">
        <v>35</v>
      </c>
    </row>
    <row r="131" spans="1:27" x14ac:dyDescent="0.25">
      <c r="A131" t="s">
        <v>567</v>
      </c>
      <c r="B131">
        <v>160266</v>
      </c>
      <c r="C131">
        <v>4</v>
      </c>
      <c r="D131" t="s">
        <v>568</v>
      </c>
      <c r="E131" t="s">
        <v>29</v>
      </c>
      <c r="F131" t="s">
        <v>30</v>
      </c>
      <c r="G131" s="3">
        <v>13965</v>
      </c>
      <c r="H131" s="2">
        <v>42422</v>
      </c>
      <c r="I131" s="2">
        <v>42423</v>
      </c>
      <c r="J131" s="2">
        <v>42423</v>
      </c>
      <c r="K131" s="2">
        <v>42433</v>
      </c>
      <c r="L131" t="s">
        <v>31</v>
      </c>
      <c r="M131">
        <v>90</v>
      </c>
      <c r="N131">
        <v>160266</v>
      </c>
      <c r="P131">
        <v>0</v>
      </c>
      <c r="Q131">
        <v>193</v>
      </c>
      <c r="R131" s="3">
        <v>16197.98</v>
      </c>
      <c r="S131">
        <v>178</v>
      </c>
      <c r="T131" s="3">
        <v>13965</v>
      </c>
      <c r="U131">
        <v>104</v>
      </c>
      <c r="V131" s="2">
        <v>42458</v>
      </c>
      <c r="W131" s="2">
        <v>42474</v>
      </c>
      <c r="X131" t="s">
        <v>32</v>
      </c>
      <c r="Y131" t="s">
        <v>33</v>
      </c>
      <c r="Z131" t="s">
        <v>34</v>
      </c>
      <c r="AA131" t="s">
        <v>35</v>
      </c>
    </row>
    <row r="132" spans="1:27" x14ac:dyDescent="0.25">
      <c r="A132" t="s">
        <v>569</v>
      </c>
      <c r="C132">
        <v>3</v>
      </c>
      <c r="D132" t="s">
        <v>570</v>
      </c>
      <c r="E132" t="s">
        <v>29</v>
      </c>
      <c r="F132" t="s">
        <v>30</v>
      </c>
      <c r="G132" s="3">
        <v>22500</v>
      </c>
      <c r="H132" s="2">
        <v>42422</v>
      </c>
      <c r="I132" s="2">
        <v>42440</v>
      </c>
      <c r="J132" s="2">
        <v>42438</v>
      </c>
      <c r="K132" s="2">
        <v>42460</v>
      </c>
      <c r="L132" t="s">
        <v>31</v>
      </c>
      <c r="M132">
        <v>50</v>
      </c>
      <c r="P132">
        <v>0</v>
      </c>
      <c r="Q132">
        <v>307</v>
      </c>
      <c r="R132" s="3">
        <v>22516.560000000001</v>
      </c>
      <c r="S132">
        <v>0</v>
      </c>
      <c r="T132" s="3">
        <v>0</v>
      </c>
      <c r="U132">
        <v>0</v>
      </c>
      <c r="V132" s="2"/>
      <c r="W132" s="2"/>
      <c r="X132" t="s">
        <v>32</v>
      </c>
      <c r="Y132" t="s">
        <v>33</v>
      </c>
      <c r="Z132" t="s">
        <v>34</v>
      </c>
      <c r="AA132" t="s">
        <v>35</v>
      </c>
    </row>
    <row r="133" spans="1:27" x14ac:dyDescent="0.25">
      <c r="A133" t="s">
        <v>571</v>
      </c>
      <c r="B133">
        <v>160618</v>
      </c>
      <c r="C133">
        <v>4</v>
      </c>
      <c r="D133" t="s">
        <v>572</v>
      </c>
      <c r="E133" t="s">
        <v>58</v>
      </c>
      <c r="F133" t="s">
        <v>59</v>
      </c>
      <c r="G133" s="3">
        <v>6575</v>
      </c>
      <c r="H133" s="2">
        <v>42423</v>
      </c>
      <c r="I133" s="2">
        <v>42433</v>
      </c>
      <c r="J133" s="2">
        <v>42423</v>
      </c>
      <c r="K133" s="2">
        <v>42436</v>
      </c>
      <c r="L133" t="s">
        <v>31</v>
      </c>
      <c r="M133">
        <v>65</v>
      </c>
      <c r="N133">
        <v>160618</v>
      </c>
      <c r="P133">
        <v>0</v>
      </c>
      <c r="Q133">
        <v>48</v>
      </c>
      <c r="R133" s="3">
        <v>5591.01</v>
      </c>
      <c r="S133">
        <v>48</v>
      </c>
      <c r="T133" s="3">
        <v>6575</v>
      </c>
      <c r="U133">
        <v>71</v>
      </c>
      <c r="V133" s="2">
        <v>42461</v>
      </c>
      <c r="W133" s="2">
        <v>42465</v>
      </c>
      <c r="X133" t="s">
        <v>100</v>
      </c>
      <c r="Y133" t="s">
        <v>337</v>
      </c>
      <c r="Z133" t="s">
        <v>202</v>
      </c>
      <c r="AA133" t="s">
        <v>35</v>
      </c>
    </row>
    <row r="134" spans="1:27" x14ac:dyDescent="0.25">
      <c r="A134" t="s">
        <v>573</v>
      </c>
      <c r="C134">
        <v>4</v>
      </c>
      <c r="D134" t="s">
        <v>574</v>
      </c>
      <c r="E134" t="s">
        <v>58</v>
      </c>
      <c r="F134" t="s">
        <v>59</v>
      </c>
      <c r="G134" s="3">
        <v>9420</v>
      </c>
      <c r="H134" s="2">
        <v>42423</v>
      </c>
      <c r="I134" s="2">
        <v>42527</v>
      </c>
      <c r="J134" s="2">
        <v>42423</v>
      </c>
      <c r="K134" s="2">
        <v>42529</v>
      </c>
      <c r="L134" t="s">
        <v>31</v>
      </c>
      <c r="M134">
        <v>60</v>
      </c>
      <c r="P134">
        <v>0</v>
      </c>
      <c r="Q134">
        <v>160</v>
      </c>
      <c r="R134" s="3">
        <v>9419.2099999999991</v>
      </c>
      <c r="S134">
        <v>0</v>
      </c>
      <c r="T134">
        <v>0</v>
      </c>
      <c r="U134">
        <v>0</v>
      </c>
      <c r="X134" t="s">
        <v>100</v>
      </c>
      <c r="Y134" t="s">
        <v>337</v>
      </c>
      <c r="Z134" t="s">
        <v>202</v>
      </c>
      <c r="AA134" t="s">
        <v>35</v>
      </c>
    </row>
    <row r="135" spans="1:27" x14ac:dyDescent="0.25">
      <c r="A135" t="s">
        <v>575</v>
      </c>
      <c r="B135">
        <v>164226</v>
      </c>
      <c r="C135">
        <v>4</v>
      </c>
      <c r="D135" t="s">
        <v>576</v>
      </c>
      <c r="E135" t="s">
        <v>29</v>
      </c>
      <c r="F135" t="s">
        <v>38</v>
      </c>
      <c r="G135" s="3">
        <v>1850</v>
      </c>
      <c r="H135" s="2">
        <v>42423</v>
      </c>
      <c r="J135" s="2">
        <v>42423</v>
      </c>
      <c r="K135" s="2"/>
      <c r="L135" s="2" t="s">
        <v>31</v>
      </c>
      <c r="M135" s="2">
        <v>50</v>
      </c>
      <c r="N135" s="2">
        <v>164226</v>
      </c>
      <c r="P135">
        <v>0</v>
      </c>
      <c r="Q135">
        <v>5</v>
      </c>
      <c r="R135" s="3">
        <v>1951.4</v>
      </c>
      <c r="S135">
        <v>5</v>
      </c>
      <c r="T135" s="3">
        <v>1850</v>
      </c>
      <c r="U135" s="3">
        <v>4.5</v>
      </c>
      <c r="V135" s="2">
        <v>42440</v>
      </c>
      <c r="W135" s="2">
        <v>42440</v>
      </c>
      <c r="X135" t="s">
        <v>577</v>
      </c>
      <c r="Y135" t="s">
        <v>93</v>
      </c>
      <c r="Z135" t="s">
        <v>34</v>
      </c>
      <c r="AA135" t="s">
        <v>35</v>
      </c>
    </row>
    <row r="136" spans="1:27" x14ac:dyDescent="0.25">
      <c r="A136" t="s">
        <v>578</v>
      </c>
      <c r="C136">
        <v>3</v>
      </c>
      <c r="D136" t="s">
        <v>579</v>
      </c>
      <c r="E136" t="s">
        <v>29</v>
      </c>
      <c r="F136" t="s">
        <v>308</v>
      </c>
      <c r="G136" s="3">
        <v>27520</v>
      </c>
      <c r="H136" s="2">
        <v>42423</v>
      </c>
      <c r="I136" s="2"/>
      <c r="J136" s="2">
        <v>42423</v>
      </c>
      <c r="K136" s="2"/>
      <c r="L136" t="s">
        <v>31</v>
      </c>
      <c r="M136">
        <v>50</v>
      </c>
      <c r="P136">
        <v>0</v>
      </c>
      <c r="Q136">
        <v>0</v>
      </c>
      <c r="R136" s="3">
        <v>0</v>
      </c>
      <c r="S136">
        <v>0</v>
      </c>
      <c r="T136" s="3">
        <v>0</v>
      </c>
      <c r="U136">
        <v>0</v>
      </c>
      <c r="X136" t="s">
        <v>580</v>
      </c>
      <c r="Y136" t="s">
        <v>33</v>
      </c>
      <c r="Z136" t="s">
        <v>34</v>
      </c>
      <c r="AA136" t="s">
        <v>35</v>
      </c>
    </row>
    <row r="137" spans="1:27" x14ac:dyDescent="0.25">
      <c r="A137" t="s">
        <v>588</v>
      </c>
      <c r="B137">
        <v>164227</v>
      </c>
      <c r="C137">
        <v>4</v>
      </c>
      <c r="D137" t="s">
        <v>589</v>
      </c>
      <c r="E137" t="s">
        <v>29</v>
      </c>
      <c r="F137" t="s">
        <v>38</v>
      </c>
      <c r="G137" s="3">
        <v>1480</v>
      </c>
      <c r="H137" s="2">
        <v>42423</v>
      </c>
      <c r="I137" s="2"/>
      <c r="J137" s="2">
        <v>42423</v>
      </c>
      <c r="K137" s="2"/>
      <c r="L137" t="s">
        <v>31</v>
      </c>
      <c r="M137">
        <v>50</v>
      </c>
      <c r="N137">
        <v>164227</v>
      </c>
      <c r="P137">
        <v>0</v>
      </c>
      <c r="Q137">
        <v>26</v>
      </c>
      <c r="R137" s="3">
        <v>1480.62</v>
      </c>
      <c r="S137">
        <v>26</v>
      </c>
      <c r="T137" s="3">
        <v>1480</v>
      </c>
      <c r="U137">
        <v>24</v>
      </c>
      <c r="V137" s="2">
        <v>42430</v>
      </c>
      <c r="W137" s="2">
        <v>42438</v>
      </c>
      <c r="X137" t="s">
        <v>590</v>
      </c>
      <c r="Y137" t="s">
        <v>48</v>
      </c>
      <c r="Z137" t="s">
        <v>34</v>
      </c>
      <c r="AA137" t="s">
        <v>35</v>
      </c>
    </row>
    <row r="138" spans="1:27" x14ac:dyDescent="0.25">
      <c r="A138" t="s">
        <v>591</v>
      </c>
      <c r="B138">
        <v>164228</v>
      </c>
      <c r="C138">
        <v>4</v>
      </c>
      <c r="D138" t="s">
        <v>592</v>
      </c>
      <c r="E138" t="s">
        <v>29</v>
      </c>
      <c r="F138" t="s">
        <v>38</v>
      </c>
      <c r="G138" s="3">
        <v>4695</v>
      </c>
      <c r="H138" s="2">
        <v>42423</v>
      </c>
      <c r="I138" s="2"/>
      <c r="J138" s="2">
        <v>42423</v>
      </c>
      <c r="K138" s="2"/>
      <c r="L138" t="s">
        <v>31</v>
      </c>
      <c r="M138">
        <v>50</v>
      </c>
      <c r="N138">
        <v>164228</v>
      </c>
      <c r="P138">
        <v>0</v>
      </c>
      <c r="Q138">
        <v>120</v>
      </c>
      <c r="R138" s="3">
        <v>5900.83</v>
      </c>
      <c r="S138">
        <v>80</v>
      </c>
      <c r="T138" s="3">
        <v>4695</v>
      </c>
      <c r="U138">
        <v>77.75</v>
      </c>
      <c r="V138" s="2">
        <v>42429</v>
      </c>
      <c r="W138" s="2">
        <v>42433</v>
      </c>
      <c r="X138" t="s">
        <v>593</v>
      </c>
      <c r="Y138" t="s">
        <v>48</v>
      </c>
      <c r="Z138" t="s">
        <v>34</v>
      </c>
      <c r="AA138" t="s">
        <v>35</v>
      </c>
    </row>
    <row r="139" spans="1:27" x14ac:dyDescent="0.25">
      <c r="A139" t="s">
        <v>594</v>
      </c>
      <c r="B139">
        <v>160262</v>
      </c>
      <c r="C139">
        <v>4</v>
      </c>
      <c r="D139" t="s">
        <v>595</v>
      </c>
      <c r="E139" t="s">
        <v>29</v>
      </c>
      <c r="F139" t="s">
        <v>30</v>
      </c>
      <c r="G139" s="3">
        <v>1813</v>
      </c>
      <c r="H139" s="2">
        <v>42424</v>
      </c>
      <c r="I139" s="2">
        <v>42426</v>
      </c>
      <c r="J139" s="2">
        <v>42426</v>
      </c>
      <c r="K139" s="2">
        <v>42444</v>
      </c>
      <c r="L139" t="s">
        <v>31</v>
      </c>
      <c r="M139">
        <v>30</v>
      </c>
      <c r="N139">
        <v>160262</v>
      </c>
      <c r="P139">
        <v>0</v>
      </c>
      <c r="Q139">
        <v>20</v>
      </c>
      <c r="R139" s="3">
        <v>1601.63</v>
      </c>
      <c r="S139">
        <v>20</v>
      </c>
      <c r="T139" s="3">
        <v>1813</v>
      </c>
      <c r="U139">
        <v>25</v>
      </c>
      <c r="V139" s="2">
        <v>42431</v>
      </c>
      <c r="W139" s="2">
        <v>42431</v>
      </c>
      <c r="X139" t="s">
        <v>32</v>
      </c>
      <c r="Y139" t="s">
        <v>140</v>
      </c>
      <c r="Z139" t="s">
        <v>34</v>
      </c>
      <c r="AA139" t="s">
        <v>35</v>
      </c>
    </row>
    <row r="140" spans="1:27" x14ac:dyDescent="0.25">
      <c r="A140" t="s">
        <v>596</v>
      </c>
      <c r="C140">
        <v>3</v>
      </c>
      <c r="D140" t="s">
        <v>597</v>
      </c>
      <c r="E140" t="s">
        <v>29</v>
      </c>
      <c r="F140" t="s">
        <v>30</v>
      </c>
      <c r="G140" s="3">
        <v>3550</v>
      </c>
      <c r="H140" s="2">
        <v>42424</v>
      </c>
      <c r="I140" s="2">
        <v>42426</v>
      </c>
      <c r="J140" s="2">
        <v>42426</v>
      </c>
      <c r="K140" s="2">
        <v>42444</v>
      </c>
      <c r="L140" t="s">
        <v>31</v>
      </c>
      <c r="M140">
        <v>30</v>
      </c>
      <c r="P140">
        <v>0</v>
      </c>
      <c r="Q140">
        <v>44</v>
      </c>
      <c r="R140" s="3">
        <v>3548.51</v>
      </c>
      <c r="S140">
        <v>0</v>
      </c>
      <c r="T140">
        <v>0</v>
      </c>
      <c r="U140">
        <v>0</v>
      </c>
      <c r="X140" t="s">
        <v>32</v>
      </c>
      <c r="Y140" t="s">
        <v>598</v>
      </c>
      <c r="Z140" t="s">
        <v>34</v>
      </c>
      <c r="AA140" t="s">
        <v>35</v>
      </c>
    </row>
    <row r="141" spans="1:27" x14ac:dyDescent="0.25">
      <c r="A141" t="s">
        <v>599</v>
      </c>
      <c r="C141">
        <v>3</v>
      </c>
      <c r="D141" t="s">
        <v>600</v>
      </c>
      <c r="E141" t="s">
        <v>29</v>
      </c>
      <c r="F141" t="s">
        <v>30</v>
      </c>
      <c r="G141" s="3">
        <v>20400</v>
      </c>
      <c r="H141" s="2">
        <v>42424</v>
      </c>
      <c r="I141" s="2">
        <v>42433</v>
      </c>
      <c r="J141" s="2">
        <v>42432</v>
      </c>
      <c r="K141" s="2">
        <v>42460</v>
      </c>
      <c r="L141" t="s">
        <v>31</v>
      </c>
      <c r="M141">
        <v>30</v>
      </c>
      <c r="P141">
        <v>0</v>
      </c>
      <c r="Q141">
        <v>282</v>
      </c>
      <c r="R141" s="3">
        <v>20397.669999999998</v>
      </c>
      <c r="S141">
        <v>0</v>
      </c>
      <c r="T141">
        <v>0</v>
      </c>
      <c r="U141">
        <v>0</v>
      </c>
      <c r="X141" t="s">
        <v>32</v>
      </c>
      <c r="Y141" t="s">
        <v>140</v>
      </c>
      <c r="Z141" t="s">
        <v>34</v>
      </c>
      <c r="AA141" t="s">
        <v>35</v>
      </c>
    </row>
    <row r="142" spans="1:27" x14ac:dyDescent="0.25">
      <c r="A142" t="s">
        <v>601</v>
      </c>
      <c r="B142">
        <v>160261</v>
      </c>
      <c r="C142">
        <v>4</v>
      </c>
      <c r="D142" t="s">
        <v>602</v>
      </c>
      <c r="E142" t="s">
        <v>29</v>
      </c>
      <c r="F142" t="s">
        <v>30</v>
      </c>
      <c r="G142" s="3">
        <v>900</v>
      </c>
      <c r="H142" s="2">
        <v>42424</v>
      </c>
      <c r="I142" s="2">
        <v>42425</v>
      </c>
      <c r="J142" s="2">
        <v>42424</v>
      </c>
      <c r="K142" s="2">
        <v>42426</v>
      </c>
      <c r="L142" t="s">
        <v>31</v>
      </c>
      <c r="M142">
        <v>30</v>
      </c>
      <c r="N142">
        <v>160261</v>
      </c>
      <c r="P142">
        <v>0</v>
      </c>
      <c r="Q142">
        <v>12</v>
      </c>
      <c r="R142" s="3">
        <v>900.87</v>
      </c>
      <c r="S142">
        <v>12</v>
      </c>
      <c r="T142" s="3">
        <v>900</v>
      </c>
      <c r="U142">
        <v>12</v>
      </c>
      <c r="V142" s="2">
        <v>42426</v>
      </c>
      <c r="W142" s="2">
        <v>42426</v>
      </c>
      <c r="X142" t="s">
        <v>32</v>
      </c>
      <c r="Y142" t="s">
        <v>603</v>
      </c>
      <c r="Z142" t="s">
        <v>604</v>
      </c>
      <c r="AA142" t="s">
        <v>35</v>
      </c>
    </row>
    <row r="143" spans="1:27" x14ac:dyDescent="0.25">
      <c r="A143" t="s">
        <v>605</v>
      </c>
      <c r="C143">
        <v>3</v>
      </c>
      <c r="D143" t="s">
        <v>606</v>
      </c>
      <c r="E143" t="s">
        <v>58</v>
      </c>
      <c r="F143" t="s">
        <v>30</v>
      </c>
      <c r="G143" s="3">
        <v>11090</v>
      </c>
      <c r="H143" s="2">
        <v>42424</v>
      </c>
      <c r="I143" s="2">
        <v>42431</v>
      </c>
      <c r="J143" s="2">
        <v>42426</v>
      </c>
      <c r="K143" s="2">
        <v>42475</v>
      </c>
      <c r="L143" t="s">
        <v>31</v>
      </c>
      <c r="M143">
        <v>30</v>
      </c>
      <c r="P143">
        <v>0</v>
      </c>
      <c r="Q143">
        <v>181</v>
      </c>
      <c r="R143" s="3">
        <v>11088.71</v>
      </c>
      <c r="S143">
        <v>0</v>
      </c>
      <c r="T143">
        <v>0</v>
      </c>
      <c r="U143">
        <v>0</v>
      </c>
      <c r="X143" t="s">
        <v>607</v>
      </c>
      <c r="Y143" t="s">
        <v>608</v>
      </c>
      <c r="Z143" t="s">
        <v>488</v>
      </c>
      <c r="AA143" t="s">
        <v>35</v>
      </c>
    </row>
    <row r="144" spans="1:27" x14ac:dyDescent="0.25">
      <c r="A144" t="s">
        <v>609</v>
      </c>
      <c r="B144">
        <v>160015</v>
      </c>
      <c r="C144">
        <v>4</v>
      </c>
      <c r="D144" t="s">
        <v>610</v>
      </c>
      <c r="E144" t="s">
        <v>65</v>
      </c>
      <c r="F144" t="s">
        <v>80</v>
      </c>
      <c r="G144" s="3">
        <v>10175</v>
      </c>
      <c r="H144" s="2">
        <v>42425</v>
      </c>
      <c r="I144" s="2">
        <v>42436</v>
      </c>
      <c r="J144" s="2">
        <v>42436</v>
      </c>
      <c r="K144" s="2">
        <v>42597</v>
      </c>
      <c r="L144" t="s">
        <v>31</v>
      </c>
      <c r="M144">
        <v>33</v>
      </c>
      <c r="N144">
        <v>160015</v>
      </c>
      <c r="P144">
        <v>0</v>
      </c>
      <c r="Q144">
        <v>138</v>
      </c>
      <c r="R144" s="3">
        <v>10176.1</v>
      </c>
      <c r="S144">
        <v>138</v>
      </c>
      <c r="T144" s="3">
        <v>10175</v>
      </c>
      <c r="U144">
        <v>1</v>
      </c>
      <c r="X144" t="s">
        <v>611</v>
      </c>
      <c r="Y144" t="s">
        <v>612</v>
      </c>
      <c r="Z144" t="s">
        <v>235</v>
      </c>
      <c r="AA144" t="s">
        <v>35</v>
      </c>
    </row>
    <row r="145" spans="1:27" x14ac:dyDescent="0.25">
      <c r="A145" t="s">
        <v>617</v>
      </c>
      <c r="C145">
        <v>3</v>
      </c>
      <c r="D145" t="s">
        <v>618</v>
      </c>
      <c r="E145" t="s">
        <v>29</v>
      </c>
      <c r="F145" t="s">
        <v>38</v>
      </c>
      <c r="G145" s="3">
        <v>4850</v>
      </c>
      <c r="H145" s="2">
        <v>42425</v>
      </c>
      <c r="J145" s="2">
        <v>42424</v>
      </c>
      <c r="L145" t="s">
        <v>31</v>
      </c>
      <c r="M145">
        <v>50</v>
      </c>
      <c r="P145">
        <v>0</v>
      </c>
      <c r="Q145">
        <v>100</v>
      </c>
      <c r="R145" s="3">
        <v>4850.34</v>
      </c>
      <c r="S145">
        <v>0</v>
      </c>
      <c r="T145" s="3">
        <v>0</v>
      </c>
      <c r="U145">
        <v>0</v>
      </c>
      <c r="V145" s="2"/>
      <c r="W145" s="2"/>
      <c r="X145" t="s">
        <v>619</v>
      </c>
      <c r="Y145" t="s">
        <v>163</v>
      </c>
      <c r="Z145" t="s">
        <v>34</v>
      </c>
      <c r="AA145" t="s">
        <v>35</v>
      </c>
    </row>
    <row r="146" spans="1:27" x14ac:dyDescent="0.25">
      <c r="A146" t="s">
        <v>620</v>
      </c>
      <c r="B146">
        <v>160106</v>
      </c>
      <c r="C146">
        <v>4</v>
      </c>
      <c r="D146" t="s">
        <v>621</v>
      </c>
      <c r="E146" t="s">
        <v>51</v>
      </c>
      <c r="F146" t="s">
        <v>132</v>
      </c>
      <c r="G146" s="3">
        <v>1563</v>
      </c>
      <c r="H146" s="2">
        <v>42425</v>
      </c>
      <c r="I146" s="2">
        <v>42437</v>
      </c>
      <c r="J146" s="2">
        <v>42438</v>
      </c>
      <c r="K146" s="2">
        <v>42444</v>
      </c>
      <c r="L146" t="s">
        <v>31</v>
      </c>
      <c r="M146">
        <v>100</v>
      </c>
      <c r="N146">
        <v>160106</v>
      </c>
      <c r="P146">
        <v>0</v>
      </c>
      <c r="Q146">
        <v>0</v>
      </c>
      <c r="R146" s="3">
        <v>0</v>
      </c>
      <c r="S146">
        <v>27</v>
      </c>
      <c r="T146" s="3">
        <v>1563</v>
      </c>
      <c r="U146">
        <v>26.25</v>
      </c>
      <c r="V146" s="2">
        <v>42445</v>
      </c>
      <c r="W146" s="2">
        <v>42445</v>
      </c>
      <c r="X146" t="s">
        <v>622</v>
      </c>
      <c r="Y146" t="s">
        <v>134</v>
      </c>
      <c r="Z146" t="s">
        <v>135</v>
      </c>
      <c r="AA146" t="s">
        <v>35</v>
      </c>
    </row>
    <row r="147" spans="1:27" x14ac:dyDescent="0.25">
      <c r="A147" t="s">
        <v>623</v>
      </c>
      <c r="C147">
        <v>3</v>
      </c>
      <c r="D147" t="s">
        <v>624</v>
      </c>
      <c r="E147" t="s">
        <v>58</v>
      </c>
      <c r="F147" t="s">
        <v>59</v>
      </c>
      <c r="G147" s="3">
        <v>29124</v>
      </c>
      <c r="H147" s="2">
        <v>42425</v>
      </c>
      <c r="I147" s="2">
        <v>42437</v>
      </c>
      <c r="J147" s="2">
        <v>42447</v>
      </c>
      <c r="K147" s="2">
        <v>42444</v>
      </c>
      <c r="L147" t="s">
        <v>31</v>
      </c>
      <c r="M147">
        <v>40</v>
      </c>
      <c r="P147">
        <v>0</v>
      </c>
      <c r="Q147">
        <v>96</v>
      </c>
      <c r="R147" s="3">
        <v>29124</v>
      </c>
      <c r="S147">
        <v>0</v>
      </c>
      <c r="T147">
        <v>0</v>
      </c>
      <c r="U147">
        <v>0</v>
      </c>
      <c r="X147" t="s">
        <v>100</v>
      </c>
      <c r="Y147" t="s">
        <v>625</v>
      </c>
      <c r="Z147" t="s">
        <v>411</v>
      </c>
      <c r="AA147" t="s">
        <v>35</v>
      </c>
    </row>
    <row r="148" spans="1:27" x14ac:dyDescent="0.25">
      <c r="A148" t="s">
        <v>626</v>
      </c>
      <c r="C148">
        <v>3</v>
      </c>
      <c r="D148" t="s">
        <v>627</v>
      </c>
      <c r="E148" t="s">
        <v>58</v>
      </c>
      <c r="F148" t="s">
        <v>59</v>
      </c>
      <c r="G148" s="3">
        <v>13479</v>
      </c>
      <c r="H148" s="2">
        <v>42425</v>
      </c>
      <c r="I148" s="2">
        <v>42437</v>
      </c>
      <c r="J148" s="2">
        <v>42437</v>
      </c>
      <c r="K148" s="2">
        <v>42444</v>
      </c>
      <c r="L148" t="s">
        <v>31</v>
      </c>
      <c r="M148">
        <v>40</v>
      </c>
      <c r="P148">
        <v>0</v>
      </c>
      <c r="Q148">
        <v>80</v>
      </c>
      <c r="R148" s="3">
        <v>13478.4</v>
      </c>
      <c r="S148">
        <v>0</v>
      </c>
      <c r="T148" s="3">
        <v>0</v>
      </c>
      <c r="U148">
        <v>0</v>
      </c>
      <c r="V148" s="2"/>
      <c r="W148" s="2"/>
      <c r="X148" t="s">
        <v>100</v>
      </c>
      <c r="Y148" t="s">
        <v>625</v>
      </c>
      <c r="Z148" t="s">
        <v>411</v>
      </c>
      <c r="AA148" t="s">
        <v>35</v>
      </c>
    </row>
    <row r="149" spans="1:27" x14ac:dyDescent="0.25">
      <c r="A149" t="s">
        <v>628</v>
      </c>
      <c r="C149">
        <v>3</v>
      </c>
      <c r="D149" t="s">
        <v>629</v>
      </c>
      <c r="E149" t="s">
        <v>58</v>
      </c>
      <c r="F149" t="s">
        <v>59</v>
      </c>
      <c r="G149" s="3">
        <v>2200.8000000000002</v>
      </c>
      <c r="H149" s="2">
        <v>42425</v>
      </c>
      <c r="I149" s="2">
        <v>42437</v>
      </c>
      <c r="J149" s="2">
        <v>42446</v>
      </c>
      <c r="K149" s="2">
        <v>42444</v>
      </c>
      <c r="L149" t="s">
        <v>31</v>
      </c>
      <c r="M149">
        <v>40</v>
      </c>
      <c r="P149">
        <v>0</v>
      </c>
      <c r="Q149">
        <v>0</v>
      </c>
      <c r="R149" s="3">
        <v>0</v>
      </c>
      <c r="S149">
        <v>0</v>
      </c>
      <c r="T149">
        <v>0</v>
      </c>
      <c r="U149">
        <v>0</v>
      </c>
      <c r="X149" t="s">
        <v>100</v>
      </c>
      <c r="Y149" t="s">
        <v>625</v>
      </c>
      <c r="Z149" t="s">
        <v>411</v>
      </c>
      <c r="AA149" t="s">
        <v>35</v>
      </c>
    </row>
    <row r="150" spans="1:27" x14ac:dyDescent="0.25">
      <c r="A150" t="s">
        <v>631</v>
      </c>
      <c r="C150">
        <v>3</v>
      </c>
      <c r="D150" t="s">
        <v>632</v>
      </c>
      <c r="E150" t="s">
        <v>65</v>
      </c>
      <c r="F150" t="s">
        <v>30</v>
      </c>
      <c r="G150" s="3">
        <v>1770</v>
      </c>
      <c r="H150" s="2">
        <v>42425</v>
      </c>
      <c r="I150" s="2">
        <v>42433</v>
      </c>
      <c r="J150" s="2">
        <v>42431</v>
      </c>
      <c r="K150" s="2">
        <v>42475</v>
      </c>
      <c r="L150" t="s">
        <v>31</v>
      </c>
      <c r="M150">
        <v>30</v>
      </c>
      <c r="P150">
        <v>0</v>
      </c>
      <c r="Q150">
        <v>0</v>
      </c>
      <c r="R150" s="3">
        <v>0</v>
      </c>
      <c r="S150">
        <v>0</v>
      </c>
      <c r="T150">
        <v>0</v>
      </c>
      <c r="U150">
        <v>0</v>
      </c>
      <c r="X150" t="s">
        <v>32</v>
      </c>
      <c r="Y150" t="s">
        <v>633</v>
      </c>
      <c r="Z150" t="s">
        <v>634</v>
      </c>
      <c r="AA150" t="s">
        <v>35</v>
      </c>
    </row>
    <row r="151" spans="1:27" x14ac:dyDescent="0.25">
      <c r="A151" t="s">
        <v>635</v>
      </c>
      <c r="B151">
        <v>160109</v>
      </c>
      <c r="C151">
        <v>4</v>
      </c>
      <c r="D151" t="s">
        <v>636</v>
      </c>
      <c r="E151" t="s">
        <v>51</v>
      </c>
      <c r="F151" t="s">
        <v>132</v>
      </c>
      <c r="G151" s="3">
        <v>60718</v>
      </c>
      <c r="H151" s="2">
        <v>42425</v>
      </c>
      <c r="I151" s="2">
        <v>42460</v>
      </c>
      <c r="J151" s="2">
        <v>42433</v>
      </c>
      <c r="K151" s="2">
        <v>42522</v>
      </c>
      <c r="L151" t="s">
        <v>31</v>
      </c>
      <c r="M151">
        <v>0</v>
      </c>
      <c r="N151">
        <v>160109</v>
      </c>
      <c r="P151">
        <v>0</v>
      </c>
      <c r="Q151">
        <v>954.6</v>
      </c>
      <c r="R151" s="3">
        <v>79854.31</v>
      </c>
      <c r="S151">
        <v>598.4</v>
      </c>
      <c r="T151" s="3">
        <v>60718</v>
      </c>
      <c r="U151">
        <v>86</v>
      </c>
      <c r="V151" s="2">
        <v>42465</v>
      </c>
      <c r="W151" s="2">
        <v>42468</v>
      </c>
      <c r="X151">
        <v>6000464584</v>
      </c>
      <c r="Y151" t="s">
        <v>637</v>
      </c>
      <c r="Z151" t="s">
        <v>55</v>
      </c>
      <c r="AA151" t="s">
        <v>35</v>
      </c>
    </row>
    <row r="152" spans="1:27" x14ac:dyDescent="0.25">
      <c r="A152" t="s">
        <v>641</v>
      </c>
      <c r="C152">
        <v>3</v>
      </c>
      <c r="D152" t="s">
        <v>642</v>
      </c>
      <c r="E152" t="s">
        <v>65</v>
      </c>
      <c r="F152" t="s">
        <v>66</v>
      </c>
      <c r="G152" s="3">
        <v>3375</v>
      </c>
      <c r="H152" s="2">
        <v>42426</v>
      </c>
      <c r="I152" s="2">
        <v>42433</v>
      </c>
      <c r="J152" s="2">
        <v>42431</v>
      </c>
      <c r="K152" s="2">
        <v>42444</v>
      </c>
      <c r="L152" t="s">
        <v>31</v>
      </c>
      <c r="M152">
        <v>30</v>
      </c>
      <c r="P152">
        <v>0</v>
      </c>
      <c r="Q152">
        <v>41</v>
      </c>
      <c r="R152" s="3">
        <v>3377.23</v>
      </c>
      <c r="S152">
        <v>0</v>
      </c>
      <c r="T152">
        <v>0</v>
      </c>
      <c r="U152">
        <v>0</v>
      </c>
      <c r="X152" t="s">
        <v>32</v>
      </c>
      <c r="Y152" t="s">
        <v>358</v>
      </c>
      <c r="Z152" t="s">
        <v>83</v>
      </c>
      <c r="AA152" t="s">
        <v>35</v>
      </c>
    </row>
    <row r="153" spans="1:27" x14ac:dyDescent="0.25">
      <c r="A153" t="s">
        <v>643</v>
      </c>
      <c r="C153">
        <v>3</v>
      </c>
      <c r="D153" t="s">
        <v>644</v>
      </c>
      <c r="E153" t="s">
        <v>58</v>
      </c>
      <c r="F153" t="s">
        <v>30</v>
      </c>
      <c r="G153" s="3">
        <v>23815</v>
      </c>
      <c r="H153" s="2">
        <v>42430</v>
      </c>
      <c r="I153" s="2">
        <v>42436</v>
      </c>
      <c r="J153" s="2">
        <v>42436</v>
      </c>
      <c r="K153" s="2">
        <v>42444</v>
      </c>
      <c r="L153" t="s">
        <v>31</v>
      </c>
      <c r="M153">
        <v>30</v>
      </c>
      <c r="P153">
        <v>0</v>
      </c>
      <c r="Q153">
        <v>202</v>
      </c>
      <c r="R153" s="3">
        <v>23815.05</v>
      </c>
      <c r="S153">
        <v>0</v>
      </c>
      <c r="T153">
        <v>0</v>
      </c>
      <c r="U153">
        <v>0</v>
      </c>
      <c r="X153" t="s">
        <v>645</v>
      </c>
      <c r="Y153" t="s">
        <v>646</v>
      </c>
      <c r="Z153" t="s">
        <v>647</v>
      </c>
      <c r="AA153" t="s">
        <v>35</v>
      </c>
    </row>
    <row r="154" spans="1:27" x14ac:dyDescent="0.25">
      <c r="A154" t="s">
        <v>648</v>
      </c>
      <c r="B154">
        <v>164232</v>
      </c>
      <c r="C154">
        <v>4</v>
      </c>
      <c r="D154" t="s">
        <v>649</v>
      </c>
      <c r="E154" t="s">
        <v>29</v>
      </c>
      <c r="F154" t="s">
        <v>38</v>
      </c>
      <c r="G154" s="3">
        <v>2450</v>
      </c>
      <c r="H154" s="2">
        <v>42430</v>
      </c>
      <c r="J154" s="2">
        <v>42426</v>
      </c>
      <c r="L154" t="s">
        <v>31</v>
      </c>
      <c r="M154">
        <v>50</v>
      </c>
      <c r="N154">
        <v>164232</v>
      </c>
      <c r="P154">
        <v>0</v>
      </c>
      <c r="Q154">
        <v>50</v>
      </c>
      <c r="R154" s="3">
        <v>2450.09</v>
      </c>
      <c r="S154">
        <v>50</v>
      </c>
      <c r="T154" s="3">
        <v>2450</v>
      </c>
      <c r="U154">
        <v>50</v>
      </c>
      <c r="V154" s="2">
        <v>42430</v>
      </c>
      <c r="W154" s="2">
        <v>42432</v>
      </c>
      <c r="X154" t="s">
        <v>650</v>
      </c>
      <c r="Y154" t="s">
        <v>48</v>
      </c>
      <c r="Z154" t="s">
        <v>34</v>
      </c>
      <c r="AA154" t="s">
        <v>35</v>
      </c>
    </row>
    <row r="155" spans="1:27" x14ac:dyDescent="0.25">
      <c r="A155" t="s">
        <v>651</v>
      </c>
      <c r="B155">
        <v>164233</v>
      </c>
      <c r="C155">
        <v>4</v>
      </c>
      <c r="D155" t="s">
        <v>652</v>
      </c>
      <c r="E155" t="s">
        <v>29</v>
      </c>
      <c r="F155" t="s">
        <v>38</v>
      </c>
      <c r="G155" s="3">
        <v>1785</v>
      </c>
      <c r="H155" s="2">
        <v>42430</v>
      </c>
      <c r="I155" s="2"/>
      <c r="J155" s="2">
        <v>42427</v>
      </c>
      <c r="K155" s="2"/>
      <c r="L155" t="s">
        <v>31</v>
      </c>
      <c r="M155">
        <v>50</v>
      </c>
      <c r="N155">
        <v>164233</v>
      </c>
      <c r="P155">
        <v>0</v>
      </c>
      <c r="Q155">
        <v>18</v>
      </c>
      <c r="R155" s="3">
        <v>1785.12</v>
      </c>
      <c r="S155">
        <v>18</v>
      </c>
      <c r="T155" s="3">
        <v>1785</v>
      </c>
      <c r="U155">
        <v>16</v>
      </c>
      <c r="V155" s="2">
        <v>42431</v>
      </c>
      <c r="W155" s="2">
        <v>42431</v>
      </c>
      <c r="X155" t="s">
        <v>653</v>
      </c>
      <c r="Y155" t="s">
        <v>93</v>
      </c>
      <c r="Z155" t="s">
        <v>34</v>
      </c>
      <c r="AA155" t="s">
        <v>35</v>
      </c>
    </row>
    <row r="156" spans="1:27" x14ac:dyDescent="0.25">
      <c r="A156" t="s">
        <v>654</v>
      </c>
      <c r="C156">
        <v>7</v>
      </c>
      <c r="D156" t="s">
        <v>655</v>
      </c>
      <c r="E156" t="s">
        <v>58</v>
      </c>
      <c r="F156" t="s">
        <v>87</v>
      </c>
      <c r="G156" s="3">
        <v>27040</v>
      </c>
      <c r="H156" s="2">
        <v>42430</v>
      </c>
      <c r="I156" s="2">
        <v>42440</v>
      </c>
      <c r="J156" s="2">
        <v>42439</v>
      </c>
      <c r="K156" s="2">
        <v>42459</v>
      </c>
      <c r="L156" t="s">
        <v>31</v>
      </c>
      <c r="M156">
        <v>30</v>
      </c>
      <c r="P156">
        <v>0</v>
      </c>
      <c r="Q156">
        <v>240</v>
      </c>
      <c r="R156" s="3">
        <v>25723.360000000001</v>
      </c>
      <c r="S156">
        <v>0</v>
      </c>
      <c r="T156">
        <v>0</v>
      </c>
      <c r="U156">
        <v>0</v>
      </c>
      <c r="X156" t="s">
        <v>656</v>
      </c>
      <c r="Y156" t="s">
        <v>657</v>
      </c>
      <c r="Z156" t="s">
        <v>658</v>
      </c>
      <c r="AA156" t="s">
        <v>35</v>
      </c>
    </row>
    <row r="157" spans="1:27" x14ac:dyDescent="0.25">
      <c r="A157" t="s">
        <v>659</v>
      </c>
      <c r="B157">
        <v>160013</v>
      </c>
      <c r="C157">
        <v>4</v>
      </c>
      <c r="D157" t="s">
        <v>660</v>
      </c>
      <c r="E157" t="s">
        <v>65</v>
      </c>
      <c r="F157" t="s">
        <v>30</v>
      </c>
      <c r="G157" s="3">
        <v>1965</v>
      </c>
      <c r="H157" s="2">
        <v>42431</v>
      </c>
      <c r="I157" s="2">
        <v>42431</v>
      </c>
      <c r="J157" s="2">
        <v>42431</v>
      </c>
      <c r="K157" s="2">
        <v>42436</v>
      </c>
      <c r="L157" t="s">
        <v>31</v>
      </c>
      <c r="M157">
        <v>50</v>
      </c>
      <c r="N157">
        <v>160013</v>
      </c>
      <c r="P157">
        <v>0</v>
      </c>
      <c r="Q157">
        <v>1</v>
      </c>
      <c r="R157" s="3">
        <v>0</v>
      </c>
      <c r="S157">
        <v>12</v>
      </c>
      <c r="T157" s="3">
        <v>1965</v>
      </c>
      <c r="U157">
        <v>9.5</v>
      </c>
      <c r="V157" s="2">
        <v>42439</v>
      </c>
      <c r="W157" s="2">
        <v>42439</v>
      </c>
      <c r="X157" t="s">
        <v>32</v>
      </c>
      <c r="Y157" t="s">
        <v>265</v>
      </c>
      <c r="Z157" t="s">
        <v>266</v>
      </c>
      <c r="AA157" t="s">
        <v>35</v>
      </c>
    </row>
    <row r="158" spans="1:27" x14ac:dyDescent="0.25">
      <c r="A158" t="s">
        <v>661</v>
      </c>
      <c r="C158">
        <v>3</v>
      </c>
      <c r="D158" t="s">
        <v>662</v>
      </c>
      <c r="E158" t="s">
        <v>65</v>
      </c>
      <c r="F158" t="s">
        <v>30</v>
      </c>
      <c r="G158" s="3">
        <v>3880</v>
      </c>
      <c r="H158" s="2">
        <v>42431</v>
      </c>
      <c r="I158" s="2">
        <v>42433</v>
      </c>
      <c r="J158" s="2">
        <v>42431</v>
      </c>
      <c r="K158" s="2">
        <v>42460</v>
      </c>
      <c r="L158" t="s">
        <v>31</v>
      </c>
      <c r="M158">
        <v>30</v>
      </c>
      <c r="P158">
        <v>0</v>
      </c>
      <c r="Q158">
        <v>32</v>
      </c>
      <c r="R158" s="3">
        <v>3881.64</v>
      </c>
      <c r="S158">
        <v>0</v>
      </c>
      <c r="T158">
        <v>0</v>
      </c>
      <c r="U158">
        <v>0</v>
      </c>
      <c r="X158" t="s">
        <v>32</v>
      </c>
      <c r="Y158" t="s">
        <v>265</v>
      </c>
      <c r="Z158" t="s">
        <v>266</v>
      </c>
      <c r="AA158" t="s">
        <v>35</v>
      </c>
    </row>
    <row r="159" spans="1:27" x14ac:dyDescent="0.25">
      <c r="A159" t="s">
        <v>663</v>
      </c>
      <c r="C159">
        <v>3</v>
      </c>
      <c r="D159" t="s">
        <v>664</v>
      </c>
      <c r="E159" t="s">
        <v>65</v>
      </c>
      <c r="F159" t="s">
        <v>30</v>
      </c>
      <c r="G159" s="3">
        <v>15980</v>
      </c>
      <c r="H159" s="2">
        <v>42431</v>
      </c>
      <c r="I159" s="2">
        <v>42440</v>
      </c>
      <c r="J159" s="2">
        <v>42438</v>
      </c>
      <c r="K159" s="2">
        <v>42490</v>
      </c>
      <c r="L159" t="s">
        <v>31</v>
      </c>
      <c r="M159">
        <v>30</v>
      </c>
      <c r="P159">
        <v>0</v>
      </c>
      <c r="Q159" s="3">
        <v>191</v>
      </c>
      <c r="R159" s="3">
        <v>15979.36</v>
      </c>
      <c r="S159">
        <v>0</v>
      </c>
      <c r="T159">
        <v>0</v>
      </c>
      <c r="U159">
        <v>0</v>
      </c>
      <c r="X159" t="s">
        <v>32</v>
      </c>
      <c r="Y159" t="s">
        <v>265</v>
      </c>
      <c r="Z159" t="s">
        <v>266</v>
      </c>
      <c r="AA159" t="s">
        <v>35</v>
      </c>
    </row>
    <row r="160" spans="1:27" x14ac:dyDescent="0.25">
      <c r="A160" t="s">
        <v>665</v>
      </c>
      <c r="C160">
        <v>3</v>
      </c>
      <c r="D160" t="s">
        <v>666</v>
      </c>
      <c r="E160" t="s">
        <v>58</v>
      </c>
      <c r="F160" t="s">
        <v>30</v>
      </c>
      <c r="G160" s="3">
        <v>2630</v>
      </c>
      <c r="H160" s="2">
        <v>42431</v>
      </c>
      <c r="I160" s="2">
        <v>42440</v>
      </c>
      <c r="J160" s="2">
        <v>42437</v>
      </c>
      <c r="K160" s="2">
        <v>42460</v>
      </c>
      <c r="L160" t="s">
        <v>31</v>
      </c>
      <c r="M160">
        <v>30</v>
      </c>
      <c r="P160">
        <v>0</v>
      </c>
      <c r="Q160">
        <v>48</v>
      </c>
      <c r="R160" s="3">
        <v>2629.2</v>
      </c>
      <c r="S160">
        <v>0</v>
      </c>
      <c r="T160">
        <v>0</v>
      </c>
      <c r="U160">
        <v>0</v>
      </c>
      <c r="X160" t="s">
        <v>32</v>
      </c>
      <c r="Y160" t="s">
        <v>402</v>
      </c>
      <c r="Z160" t="s">
        <v>202</v>
      </c>
      <c r="AA160" t="s">
        <v>35</v>
      </c>
    </row>
    <row r="161" spans="1:27" x14ac:dyDescent="0.25">
      <c r="A161" t="s">
        <v>667</v>
      </c>
      <c r="B161">
        <v>160623</v>
      </c>
      <c r="C161">
        <v>4</v>
      </c>
      <c r="D161" t="s">
        <v>668</v>
      </c>
      <c r="E161" t="s">
        <v>58</v>
      </c>
      <c r="F161" t="s">
        <v>30</v>
      </c>
      <c r="G161" s="3">
        <v>9280</v>
      </c>
      <c r="H161" s="2">
        <v>42431</v>
      </c>
      <c r="I161" s="2">
        <v>42471</v>
      </c>
      <c r="J161" s="2">
        <v>42440</v>
      </c>
      <c r="K161" s="2"/>
      <c r="L161" t="s">
        <v>31</v>
      </c>
      <c r="M161">
        <v>30</v>
      </c>
      <c r="N161">
        <v>160623</v>
      </c>
      <c r="P161">
        <v>0</v>
      </c>
      <c r="Q161">
        <v>100</v>
      </c>
      <c r="R161" s="3">
        <v>9281.1200000000008</v>
      </c>
      <c r="S161">
        <v>100</v>
      </c>
      <c r="T161" s="3">
        <v>9280</v>
      </c>
      <c r="U161">
        <v>0</v>
      </c>
      <c r="X161">
        <v>6000464917</v>
      </c>
      <c r="Y161" t="s">
        <v>337</v>
      </c>
      <c r="Z161" t="s">
        <v>202</v>
      </c>
      <c r="AA161" t="s">
        <v>35</v>
      </c>
    </row>
    <row r="162" spans="1:27" x14ac:dyDescent="0.25">
      <c r="A162" t="s">
        <v>669</v>
      </c>
      <c r="C162">
        <v>3</v>
      </c>
      <c r="D162" t="s">
        <v>670</v>
      </c>
      <c r="E162" t="s">
        <v>58</v>
      </c>
      <c r="F162" t="s">
        <v>30</v>
      </c>
      <c r="G162" s="3">
        <v>2915</v>
      </c>
      <c r="H162" s="2">
        <v>42431</v>
      </c>
      <c r="I162" s="2">
        <v>42471</v>
      </c>
      <c r="J162" s="2">
        <v>42447</v>
      </c>
      <c r="K162" s="2">
        <v>42490</v>
      </c>
      <c r="L162" t="s">
        <v>31</v>
      </c>
      <c r="M162">
        <v>30</v>
      </c>
      <c r="P162">
        <v>0</v>
      </c>
      <c r="Q162">
        <v>50</v>
      </c>
      <c r="R162" s="3">
        <v>2914.57</v>
      </c>
      <c r="S162">
        <v>0</v>
      </c>
      <c r="T162" s="3">
        <v>0</v>
      </c>
      <c r="U162">
        <v>0</v>
      </c>
      <c r="X162">
        <v>6000463552</v>
      </c>
      <c r="Y162" t="s">
        <v>337</v>
      </c>
      <c r="Z162" t="s">
        <v>202</v>
      </c>
      <c r="AA162" t="s">
        <v>35</v>
      </c>
    </row>
    <row r="163" spans="1:27" x14ac:dyDescent="0.25">
      <c r="A163" t="s">
        <v>671</v>
      </c>
      <c r="C163">
        <v>3</v>
      </c>
      <c r="D163" t="s">
        <v>672</v>
      </c>
      <c r="E163" t="s">
        <v>65</v>
      </c>
      <c r="F163" t="s">
        <v>66</v>
      </c>
      <c r="G163" s="3">
        <v>149970</v>
      </c>
      <c r="H163" s="2">
        <v>42431</v>
      </c>
      <c r="I163" s="2">
        <v>42445</v>
      </c>
      <c r="J163" s="2">
        <v>42445</v>
      </c>
      <c r="K163" s="2">
        <v>42513</v>
      </c>
      <c r="L163" t="s">
        <v>31</v>
      </c>
      <c r="M163">
        <v>0</v>
      </c>
      <c r="P163">
        <v>0</v>
      </c>
      <c r="Q163">
        <v>848</v>
      </c>
      <c r="R163" s="3">
        <v>149966.91</v>
      </c>
      <c r="S163">
        <v>0</v>
      </c>
      <c r="T163">
        <v>0</v>
      </c>
      <c r="U163">
        <v>0</v>
      </c>
      <c r="X163" t="s">
        <v>673</v>
      </c>
      <c r="Y163" t="s">
        <v>492</v>
      </c>
      <c r="Z163" t="s">
        <v>129</v>
      </c>
      <c r="AA163" t="s">
        <v>35</v>
      </c>
    </row>
    <row r="164" spans="1:27" x14ac:dyDescent="0.25">
      <c r="A164" t="s">
        <v>674</v>
      </c>
      <c r="C164">
        <v>3</v>
      </c>
      <c r="D164" t="s">
        <v>675</v>
      </c>
      <c r="E164" t="s">
        <v>65</v>
      </c>
      <c r="F164" t="s">
        <v>66</v>
      </c>
      <c r="G164" s="3">
        <v>273559</v>
      </c>
      <c r="H164" s="2">
        <v>42431</v>
      </c>
      <c r="I164" s="2">
        <v>42454</v>
      </c>
      <c r="J164" s="2">
        <v>42454</v>
      </c>
      <c r="K164" s="2">
        <v>42478</v>
      </c>
      <c r="L164" t="s">
        <v>31</v>
      </c>
      <c r="M164">
        <v>0</v>
      </c>
      <c r="P164">
        <v>0</v>
      </c>
      <c r="Q164">
        <v>0</v>
      </c>
      <c r="R164" s="3">
        <v>0</v>
      </c>
      <c r="S164">
        <v>0</v>
      </c>
      <c r="T164">
        <v>0</v>
      </c>
      <c r="U164">
        <v>0</v>
      </c>
      <c r="X164" t="s">
        <v>676</v>
      </c>
      <c r="Y164" t="s">
        <v>677</v>
      </c>
      <c r="Z164" t="s">
        <v>520</v>
      </c>
      <c r="AA164" t="s">
        <v>35</v>
      </c>
    </row>
    <row r="165" spans="1:27" x14ac:dyDescent="0.25">
      <c r="A165" t="s">
        <v>678</v>
      </c>
      <c r="B165">
        <v>160624</v>
      </c>
      <c r="C165">
        <v>4</v>
      </c>
      <c r="D165" t="s">
        <v>679</v>
      </c>
      <c r="E165" t="s">
        <v>58</v>
      </c>
      <c r="F165" t="s">
        <v>87</v>
      </c>
      <c r="G165" s="3">
        <v>8500</v>
      </c>
      <c r="H165" s="2">
        <v>42431</v>
      </c>
      <c r="I165" s="2"/>
      <c r="J165" s="2">
        <v>42437</v>
      </c>
      <c r="K165" s="2"/>
      <c r="L165" t="s">
        <v>31</v>
      </c>
      <c r="M165">
        <v>0</v>
      </c>
      <c r="N165">
        <v>160624</v>
      </c>
      <c r="P165">
        <v>0</v>
      </c>
      <c r="Q165">
        <v>48</v>
      </c>
      <c r="R165" s="3">
        <v>8603.32</v>
      </c>
      <c r="S165">
        <v>48</v>
      </c>
      <c r="T165" s="3">
        <v>8500</v>
      </c>
      <c r="U165">
        <v>4.5</v>
      </c>
      <c r="X165" t="s">
        <v>680</v>
      </c>
      <c r="Y165" t="s">
        <v>646</v>
      </c>
      <c r="Z165" t="s">
        <v>647</v>
      </c>
      <c r="AA165" t="s">
        <v>35</v>
      </c>
    </row>
    <row r="166" spans="1:27" x14ac:dyDescent="0.25">
      <c r="A166" t="s">
        <v>681</v>
      </c>
      <c r="C166">
        <v>3</v>
      </c>
      <c r="D166" t="s">
        <v>682</v>
      </c>
      <c r="E166" t="s">
        <v>29</v>
      </c>
      <c r="F166" t="s">
        <v>364</v>
      </c>
      <c r="G166" s="3">
        <v>6880</v>
      </c>
      <c r="H166" s="2">
        <v>42436</v>
      </c>
      <c r="I166" s="2">
        <v>42440</v>
      </c>
      <c r="J166" s="2">
        <v>42440</v>
      </c>
      <c r="K166" s="2">
        <v>42460</v>
      </c>
      <c r="L166" t="s">
        <v>31</v>
      </c>
      <c r="M166">
        <v>80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X166" t="s">
        <v>365</v>
      </c>
      <c r="Y166" t="s">
        <v>683</v>
      </c>
      <c r="Z166" t="s">
        <v>367</v>
      </c>
      <c r="AA166" t="s">
        <v>35</v>
      </c>
    </row>
    <row r="167" spans="1:27" x14ac:dyDescent="0.25">
      <c r="A167" t="s">
        <v>684</v>
      </c>
      <c r="C167">
        <v>3</v>
      </c>
      <c r="D167" t="s">
        <v>685</v>
      </c>
      <c r="E167" t="s">
        <v>65</v>
      </c>
      <c r="F167" t="s">
        <v>80</v>
      </c>
      <c r="G167" s="3">
        <v>14900</v>
      </c>
      <c r="H167" s="2">
        <v>42436</v>
      </c>
      <c r="I167" s="2">
        <v>42436</v>
      </c>
      <c r="J167" s="2">
        <v>42436</v>
      </c>
      <c r="K167" s="2">
        <v>42521</v>
      </c>
      <c r="L167" t="s">
        <v>31</v>
      </c>
      <c r="M167">
        <v>25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 s="2"/>
      <c r="W167" s="2"/>
      <c r="Y167" t="s">
        <v>686</v>
      </c>
      <c r="Z167" t="s">
        <v>687</v>
      </c>
      <c r="AA167" t="s">
        <v>35</v>
      </c>
    </row>
    <row r="168" spans="1:27" x14ac:dyDescent="0.25">
      <c r="A168" t="s">
        <v>688</v>
      </c>
      <c r="B168">
        <v>164235</v>
      </c>
      <c r="C168">
        <v>4</v>
      </c>
      <c r="D168" t="s">
        <v>689</v>
      </c>
      <c r="E168" t="s">
        <v>29</v>
      </c>
      <c r="F168" t="s">
        <v>38</v>
      </c>
      <c r="G168" s="3">
        <v>3560</v>
      </c>
      <c r="H168" s="2">
        <v>42436</v>
      </c>
      <c r="I168" s="2"/>
      <c r="J168" s="2">
        <v>42436</v>
      </c>
      <c r="K168" s="2"/>
      <c r="L168" t="s">
        <v>31</v>
      </c>
      <c r="M168">
        <v>0</v>
      </c>
      <c r="N168">
        <v>164235</v>
      </c>
      <c r="P168">
        <v>0</v>
      </c>
      <c r="Q168">
        <v>4</v>
      </c>
      <c r="R168" s="3">
        <v>3560.82</v>
      </c>
      <c r="S168">
        <v>4</v>
      </c>
      <c r="T168" s="3">
        <v>3560</v>
      </c>
      <c r="U168">
        <v>1</v>
      </c>
      <c r="X168" t="s">
        <v>690</v>
      </c>
      <c r="Y168" t="s">
        <v>155</v>
      </c>
      <c r="Z168" t="s">
        <v>34</v>
      </c>
      <c r="AA168" t="s">
        <v>35</v>
      </c>
    </row>
    <row r="169" spans="1:27" x14ac:dyDescent="0.25">
      <c r="A169" t="s">
        <v>691</v>
      </c>
      <c r="C169">
        <v>3</v>
      </c>
      <c r="D169" t="s">
        <v>692</v>
      </c>
      <c r="E169" t="s">
        <v>29</v>
      </c>
      <c r="F169" t="s">
        <v>30</v>
      </c>
      <c r="G169" s="3">
        <v>6300</v>
      </c>
      <c r="H169" s="2">
        <v>42437</v>
      </c>
      <c r="I169" s="2">
        <v>42447</v>
      </c>
      <c r="J169" s="2">
        <v>42441</v>
      </c>
      <c r="K169" s="2">
        <v>42490</v>
      </c>
      <c r="L169" t="s">
        <v>31</v>
      </c>
      <c r="M169">
        <v>30</v>
      </c>
      <c r="P169">
        <v>0</v>
      </c>
      <c r="Q169">
        <v>109</v>
      </c>
      <c r="R169" s="3">
        <v>6624.94</v>
      </c>
      <c r="S169">
        <v>0</v>
      </c>
      <c r="T169">
        <v>0</v>
      </c>
      <c r="U169">
        <v>0</v>
      </c>
      <c r="X169">
        <v>2036257</v>
      </c>
      <c r="Y169" t="s">
        <v>33</v>
      </c>
      <c r="Z169" t="s">
        <v>34</v>
      </c>
      <c r="AA169" t="s">
        <v>35</v>
      </c>
    </row>
    <row r="170" spans="1:27" x14ac:dyDescent="0.25">
      <c r="A170" t="s">
        <v>693</v>
      </c>
      <c r="C170">
        <v>3</v>
      </c>
      <c r="D170" t="s">
        <v>694</v>
      </c>
      <c r="E170" t="s">
        <v>29</v>
      </c>
      <c r="F170" t="s">
        <v>308</v>
      </c>
      <c r="G170" s="3">
        <v>627228</v>
      </c>
      <c r="H170" s="2">
        <v>42437</v>
      </c>
      <c r="I170" s="2">
        <v>42460</v>
      </c>
      <c r="J170" s="2">
        <v>42460</v>
      </c>
      <c r="K170" s="2">
        <v>42552</v>
      </c>
      <c r="L170" t="s">
        <v>31</v>
      </c>
      <c r="M170">
        <v>80</v>
      </c>
      <c r="P170">
        <v>0</v>
      </c>
      <c r="Q170" s="3">
        <v>4824</v>
      </c>
      <c r="R170" s="3">
        <v>617410.54</v>
      </c>
      <c r="S170">
        <v>0</v>
      </c>
      <c r="T170">
        <v>0</v>
      </c>
      <c r="U170">
        <v>0</v>
      </c>
      <c r="Y170" t="s">
        <v>48</v>
      </c>
      <c r="Z170" t="s">
        <v>34</v>
      </c>
      <c r="AA170" t="s">
        <v>35</v>
      </c>
    </row>
    <row r="171" spans="1:27" x14ac:dyDescent="0.25">
      <c r="A171" t="s">
        <v>695</v>
      </c>
      <c r="C171">
        <v>3</v>
      </c>
      <c r="D171" t="s">
        <v>696</v>
      </c>
      <c r="E171" t="s">
        <v>65</v>
      </c>
      <c r="F171" t="s">
        <v>80</v>
      </c>
      <c r="G171" s="3">
        <v>11350</v>
      </c>
      <c r="H171" s="2">
        <v>42437</v>
      </c>
      <c r="I171" s="2">
        <v>42440</v>
      </c>
      <c r="J171" s="2">
        <v>42438</v>
      </c>
      <c r="K171" s="2">
        <v>42461</v>
      </c>
      <c r="L171" t="s">
        <v>31</v>
      </c>
      <c r="M171">
        <v>30</v>
      </c>
      <c r="P171">
        <v>0</v>
      </c>
      <c r="Q171">
        <v>104</v>
      </c>
      <c r="R171" s="3">
        <v>11299.74</v>
      </c>
      <c r="S171">
        <v>0</v>
      </c>
      <c r="T171">
        <v>0</v>
      </c>
      <c r="U171">
        <v>0</v>
      </c>
      <c r="X171" t="s">
        <v>81</v>
      </c>
      <c r="Y171" t="s">
        <v>234</v>
      </c>
      <c r="Z171" t="s">
        <v>235</v>
      </c>
      <c r="AA171" t="s">
        <v>35</v>
      </c>
    </row>
    <row r="172" spans="1:27" x14ac:dyDescent="0.25">
      <c r="A172" t="s">
        <v>697</v>
      </c>
      <c r="B172">
        <v>160017</v>
      </c>
      <c r="C172">
        <v>4</v>
      </c>
      <c r="D172" t="s">
        <v>698</v>
      </c>
      <c r="E172" t="s">
        <v>65</v>
      </c>
      <c r="F172" t="s">
        <v>80</v>
      </c>
      <c r="G172" s="3">
        <v>5760</v>
      </c>
      <c r="H172" s="2">
        <v>42437</v>
      </c>
      <c r="I172" s="2">
        <v>42447</v>
      </c>
      <c r="J172" s="2">
        <v>42447</v>
      </c>
      <c r="K172" s="2">
        <v>42552</v>
      </c>
      <c r="L172" t="s">
        <v>31</v>
      </c>
      <c r="M172">
        <v>30</v>
      </c>
      <c r="N172">
        <v>160017</v>
      </c>
      <c r="P172">
        <v>0</v>
      </c>
      <c r="Q172">
        <v>96</v>
      </c>
      <c r="R172" s="3">
        <v>5759.01</v>
      </c>
      <c r="S172">
        <v>96</v>
      </c>
      <c r="T172" s="3">
        <v>5760</v>
      </c>
      <c r="U172">
        <v>0</v>
      </c>
      <c r="X172" t="s">
        <v>699</v>
      </c>
      <c r="Y172" t="s">
        <v>700</v>
      </c>
      <c r="Z172" t="s">
        <v>235</v>
      </c>
      <c r="AA172" t="s">
        <v>35</v>
      </c>
    </row>
    <row r="173" spans="1:27" x14ac:dyDescent="0.25">
      <c r="A173" t="s">
        <v>701</v>
      </c>
      <c r="B173">
        <v>164234</v>
      </c>
      <c r="C173">
        <v>4</v>
      </c>
      <c r="D173" t="s">
        <v>702</v>
      </c>
      <c r="E173" t="s">
        <v>29</v>
      </c>
      <c r="F173" t="s">
        <v>38</v>
      </c>
      <c r="G173" s="3">
        <v>5250</v>
      </c>
      <c r="H173" s="2">
        <v>42437</v>
      </c>
      <c r="I173" s="2"/>
      <c r="J173" s="2">
        <v>42435</v>
      </c>
      <c r="K173" s="2"/>
      <c r="L173" t="s">
        <v>31</v>
      </c>
      <c r="M173">
        <v>50</v>
      </c>
      <c r="N173">
        <v>164234</v>
      </c>
      <c r="P173">
        <v>0</v>
      </c>
      <c r="Q173">
        <v>120</v>
      </c>
      <c r="R173" s="3">
        <v>6170.16</v>
      </c>
      <c r="S173">
        <v>104</v>
      </c>
      <c r="T173" s="3">
        <v>5250</v>
      </c>
      <c r="U173">
        <v>33.5</v>
      </c>
      <c r="V173" s="2">
        <v>42464</v>
      </c>
      <c r="W173" s="2">
        <v>42472</v>
      </c>
      <c r="X173" t="s">
        <v>703</v>
      </c>
      <c r="Y173" t="s">
        <v>163</v>
      </c>
      <c r="Z173" t="s">
        <v>34</v>
      </c>
      <c r="AA173" t="s">
        <v>35</v>
      </c>
    </row>
    <row r="174" spans="1:27" x14ac:dyDescent="0.25">
      <c r="A174" t="s">
        <v>704</v>
      </c>
      <c r="B174">
        <v>164236</v>
      </c>
      <c r="C174">
        <v>4</v>
      </c>
      <c r="D174" t="s">
        <v>705</v>
      </c>
      <c r="E174" t="s">
        <v>29</v>
      </c>
      <c r="F174" t="s">
        <v>38</v>
      </c>
      <c r="G174" s="3">
        <v>575</v>
      </c>
      <c r="H174" s="2">
        <v>42437</v>
      </c>
      <c r="I174" s="2"/>
      <c r="J174" s="2">
        <v>42435</v>
      </c>
      <c r="K174" s="2"/>
      <c r="L174" t="s">
        <v>31</v>
      </c>
      <c r="M174">
        <v>50</v>
      </c>
      <c r="N174">
        <v>164236</v>
      </c>
      <c r="P174">
        <v>0</v>
      </c>
      <c r="Q174">
        <v>2</v>
      </c>
      <c r="R174">
        <v>574.87</v>
      </c>
      <c r="S174">
        <v>2</v>
      </c>
      <c r="T174">
        <v>575</v>
      </c>
      <c r="U174">
        <v>2</v>
      </c>
      <c r="V174" s="2">
        <v>42468</v>
      </c>
      <c r="W174" s="2">
        <v>42468</v>
      </c>
      <c r="X174" t="s">
        <v>706</v>
      </c>
      <c r="Y174" t="s">
        <v>48</v>
      </c>
      <c r="Z174" t="s">
        <v>34</v>
      </c>
      <c r="AA174" t="s">
        <v>35</v>
      </c>
    </row>
    <row r="175" spans="1:27" x14ac:dyDescent="0.25">
      <c r="A175" t="s">
        <v>707</v>
      </c>
      <c r="C175">
        <v>3</v>
      </c>
      <c r="D175" t="s">
        <v>708</v>
      </c>
      <c r="E175" t="s">
        <v>51</v>
      </c>
      <c r="F175" t="s">
        <v>52</v>
      </c>
      <c r="G175" s="3">
        <v>24700</v>
      </c>
      <c r="H175" s="2">
        <v>42437</v>
      </c>
      <c r="I175" s="2">
        <v>42438</v>
      </c>
      <c r="J175" s="2">
        <v>42438</v>
      </c>
      <c r="K175" s="2">
        <v>42461</v>
      </c>
      <c r="L175" t="s">
        <v>31</v>
      </c>
      <c r="M175">
        <v>20</v>
      </c>
      <c r="P175">
        <v>0</v>
      </c>
      <c r="Q175">
        <v>150</v>
      </c>
      <c r="R175" s="3">
        <v>24700.62</v>
      </c>
      <c r="S175">
        <v>0</v>
      </c>
      <c r="T175">
        <v>0</v>
      </c>
      <c r="U175">
        <v>0</v>
      </c>
      <c r="V175" s="2"/>
      <c r="W175" s="2"/>
      <c r="X175" t="s">
        <v>316</v>
      </c>
      <c r="Y175" t="s">
        <v>354</v>
      </c>
      <c r="Z175" t="s">
        <v>55</v>
      </c>
      <c r="AA175" t="s">
        <v>35</v>
      </c>
    </row>
    <row r="176" spans="1:27" x14ac:dyDescent="0.25">
      <c r="A176" t="s">
        <v>709</v>
      </c>
      <c r="B176">
        <v>160014</v>
      </c>
      <c r="C176">
        <v>4</v>
      </c>
      <c r="D176" t="s">
        <v>710</v>
      </c>
      <c r="E176" t="s">
        <v>65</v>
      </c>
      <c r="F176" t="s">
        <v>80</v>
      </c>
      <c r="G176" s="3">
        <v>960</v>
      </c>
      <c r="H176" s="2">
        <v>42437</v>
      </c>
      <c r="I176" s="2">
        <v>42437</v>
      </c>
      <c r="J176" s="2">
        <v>42437</v>
      </c>
      <c r="K176" s="2">
        <v>42444</v>
      </c>
      <c r="L176" t="s">
        <v>31</v>
      </c>
      <c r="M176">
        <v>100</v>
      </c>
      <c r="N176">
        <v>160014</v>
      </c>
      <c r="P176">
        <v>0</v>
      </c>
      <c r="Q176">
        <v>1</v>
      </c>
      <c r="R176" s="3">
        <v>958</v>
      </c>
      <c r="S176">
        <v>1</v>
      </c>
      <c r="T176">
        <v>960</v>
      </c>
      <c r="U176">
        <v>0.5</v>
      </c>
      <c r="X176" t="s">
        <v>81</v>
      </c>
      <c r="Y176" t="s">
        <v>711</v>
      </c>
      <c r="Z176" t="s">
        <v>712</v>
      </c>
      <c r="AA176" t="s">
        <v>35</v>
      </c>
    </row>
    <row r="177" spans="1:27" x14ac:dyDescent="0.25">
      <c r="A177" t="s">
        <v>720</v>
      </c>
      <c r="B177">
        <v>160267</v>
      </c>
      <c r="C177">
        <v>4</v>
      </c>
      <c r="D177" t="s">
        <v>721</v>
      </c>
      <c r="E177" t="s">
        <v>29</v>
      </c>
      <c r="F177" t="s">
        <v>364</v>
      </c>
      <c r="G177">
        <v>820</v>
      </c>
      <c r="H177" s="2">
        <v>42437</v>
      </c>
      <c r="I177" s="2">
        <v>42449</v>
      </c>
      <c r="J177" s="2">
        <v>42446</v>
      </c>
      <c r="K177" s="2">
        <v>42460</v>
      </c>
      <c r="L177" t="s">
        <v>31</v>
      </c>
      <c r="M177">
        <v>80</v>
      </c>
      <c r="N177">
        <v>160267</v>
      </c>
      <c r="P177">
        <v>0</v>
      </c>
      <c r="Q177">
        <v>16</v>
      </c>
      <c r="R177">
        <v>819.22</v>
      </c>
      <c r="S177">
        <v>16</v>
      </c>
      <c r="T177">
        <v>820</v>
      </c>
      <c r="U177">
        <v>18</v>
      </c>
      <c r="V177" s="2">
        <v>42460</v>
      </c>
      <c r="W177" s="2">
        <v>42460</v>
      </c>
      <c r="X177" t="s">
        <v>722</v>
      </c>
      <c r="Y177" t="s">
        <v>719</v>
      </c>
      <c r="Z177" t="s">
        <v>367</v>
      </c>
      <c r="AA177" t="s">
        <v>35</v>
      </c>
    </row>
    <row r="178" spans="1:27" x14ac:dyDescent="0.25">
      <c r="A178" t="s">
        <v>725</v>
      </c>
      <c r="C178">
        <v>3</v>
      </c>
      <c r="D178" t="s">
        <v>726</v>
      </c>
      <c r="E178" t="s">
        <v>51</v>
      </c>
      <c r="F178" t="s">
        <v>52</v>
      </c>
      <c r="G178" s="3">
        <v>21900</v>
      </c>
      <c r="H178" s="2">
        <v>42437</v>
      </c>
      <c r="I178" s="2">
        <v>42438</v>
      </c>
      <c r="J178" s="2">
        <v>42438</v>
      </c>
      <c r="K178" s="2">
        <v>42491</v>
      </c>
      <c r="L178" t="s">
        <v>31</v>
      </c>
      <c r="M178">
        <v>15</v>
      </c>
      <c r="P178">
        <v>0</v>
      </c>
      <c r="Q178" s="3">
        <v>196</v>
      </c>
      <c r="R178" s="3">
        <v>20827.689999999999</v>
      </c>
      <c r="S178">
        <v>0</v>
      </c>
      <c r="T178">
        <v>0</v>
      </c>
      <c r="U178">
        <v>0</v>
      </c>
      <c r="X178" t="s">
        <v>316</v>
      </c>
      <c r="Y178" t="s">
        <v>77</v>
      </c>
      <c r="Z178" t="s">
        <v>55</v>
      </c>
      <c r="AA178" t="s">
        <v>35</v>
      </c>
    </row>
    <row r="179" spans="1:27" x14ac:dyDescent="0.25">
      <c r="A179" t="s">
        <v>727</v>
      </c>
      <c r="C179">
        <v>3</v>
      </c>
      <c r="D179" t="s">
        <v>728</v>
      </c>
      <c r="E179" t="s">
        <v>65</v>
      </c>
      <c r="F179" t="s">
        <v>80</v>
      </c>
      <c r="G179" s="3">
        <v>32400</v>
      </c>
      <c r="H179" s="2">
        <v>42438</v>
      </c>
      <c r="I179" s="2">
        <v>42445</v>
      </c>
      <c r="J179" s="2">
        <v>42445</v>
      </c>
      <c r="K179" s="2">
        <v>42461</v>
      </c>
      <c r="L179" t="s">
        <v>31</v>
      </c>
      <c r="M179">
        <v>30</v>
      </c>
      <c r="P179">
        <v>0</v>
      </c>
      <c r="Q179">
        <v>339</v>
      </c>
      <c r="R179" s="3">
        <v>32399.38</v>
      </c>
      <c r="S179">
        <v>0</v>
      </c>
      <c r="T179">
        <v>0</v>
      </c>
      <c r="U179">
        <v>0</v>
      </c>
      <c r="V179" s="2"/>
      <c r="W179" s="2"/>
      <c r="X179" t="s">
        <v>81</v>
      </c>
      <c r="Y179" t="s">
        <v>729</v>
      </c>
      <c r="Z179" t="s">
        <v>520</v>
      </c>
      <c r="AA179" t="s">
        <v>35</v>
      </c>
    </row>
    <row r="180" spans="1:27" x14ac:dyDescent="0.25">
      <c r="A180" t="s">
        <v>741</v>
      </c>
      <c r="C180">
        <v>3</v>
      </c>
      <c r="D180" t="s">
        <v>742</v>
      </c>
      <c r="E180" t="s">
        <v>58</v>
      </c>
      <c r="F180" t="s">
        <v>30</v>
      </c>
      <c r="G180" s="3">
        <v>32140</v>
      </c>
      <c r="H180" s="2">
        <v>42440</v>
      </c>
      <c r="I180" s="2">
        <v>42468</v>
      </c>
      <c r="J180" s="2">
        <v>42472</v>
      </c>
      <c r="K180" s="2">
        <v>42552</v>
      </c>
      <c r="L180" t="s">
        <v>31</v>
      </c>
      <c r="M180">
        <v>25</v>
      </c>
      <c r="P180">
        <v>0</v>
      </c>
      <c r="Q180">
        <v>214</v>
      </c>
      <c r="R180" s="3">
        <v>31340.33</v>
      </c>
      <c r="S180">
        <v>0</v>
      </c>
      <c r="T180" s="3">
        <v>0</v>
      </c>
      <c r="U180">
        <v>0</v>
      </c>
      <c r="X180" t="s">
        <v>743</v>
      </c>
      <c r="Y180" t="s">
        <v>549</v>
      </c>
      <c r="Z180" t="s">
        <v>488</v>
      </c>
      <c r="AA180" t="s">
        <v>35</v>
      </c>
    </row>
    <row r="181" spans="1:27" x14ac:dyDescent="0.25">
      <c r="A181" t="s">
        <v>744</v>
      </c>
      <c r="B181">
        <v>164238</v>
      </c>
      <c r="C181">
        <v>4</v>
      </c>
      <c r="D181" t="s">
        <v>745</v>
      </c>
      <c r="E181" t="s">
        <v>29</v>
      </c>
      <c r="F181" t="s">
        <v>38</v>
      </c>
      <c r="G181" s="3">
        <v>980</v>
      </c>
      <c r="H181" s="2">
        <v>42440</v>
      </c>
      <c r="I181" s="2"/>
      <c r="J181" s="2">
        <v>42437</v>
      </c>
      <c r="L181" t="s">
        <v>31</v>
      </c>
      <c r="M181">
        <v>50</v>
      </c>
      <c r="N181">
        <v>164238</v>
      </c>
      <c r="P181">
        <v>0</v>
      </c>
      <c r="Q181">
        <v>18</v>
      </c>
      <c r="R181">
        <v>980.19</v>
      </c>
      <c r="S181">
        <v>18</v>
      </c>
      <c r="T181">
        <v>980</v>
      </c>
      <c r="U181">
        <v>15</v>
      </c>
      <c r="V181" s="2">
        <v>42446</v>
      </c>
      <c r="W181" s="2">
        <v>42447</v>
      </c>
      <c r="X181" t="s">
        <v>746</v>
      </c>
      <c r="Y181" t="s">
        <v>48</v>
      </c>
      <c r="Z181" t="s">
        <v>34</v>
      </c>
      <c r="AA181" t="s">
        <v>35</v>
      </c>
    </row>
    <row r="182" spans="1:27" x14ac:dyDescent="0.25">
      <c r="A182" t="s">
        <v>747</v>
      </c>
      <c r="C182">
        <v>3</v>
      </c>
      <c r="D182" t="s">
        <v>748</v>
      </c>
      <c r="E182" t="s">
        <v>29</v>
      </c>
      <c r="F182" t="s">
        <v>38</v>
      </c>
      <c r="G182" s="3">
        <v>3875</v>
      </c>
      <c r="H182" s="2">
        <v>42440</v>
      </c>
      <c r="I182" s="2"/>
      <c r="J182" s="2">
        <v>42437</v>
      </c>
      <c r="K182" s="2"/>
      <c r="L182" t="s">
        <v>31</v>
      </c>
      <c r="M182">
        <v>50</v>
      </c>
      <c r="P182">
        <v>0</v>
      </c>
      <c r="Q182">
        <v>85</v>
      </c>
      <c r="R182" s="3">
        <v>3875.07</v>
      </c>
      <c r="S182">
        <v>0</v>
      </c>
      <c r="T182">
        <v>0</v>
      </c>
      <c r="U182">
        <v>0</v>
      </c>
      <c r="X182" t="s">
        <v>749</v>
      </c>
      <c r="Y182" t="s">
        <v>48</v>
      </c>
      <c r="Z182" t="s">
        <v>34</v>
      </c>
      <c r="AA182" t="s">
        <v>35</v>
      </c>
    </row>
    <row r="183" spans="1:27" x14ac:dyDescent="0.25">
      <c r="A183" t="s">
        <v>750</v>
      </c>
      <c r="C183">
        <v>5</v>
      </c>
      <c r="D183" t="s">
        <v>751</v>
      </c>
      <c r="E183" t="s">
        <v>58</v>
      </c>
      <c r="F183" t="s">
        <v>30</v>
      </c>
      <c r="G183" s="3">
        <v>10970</v>
      </c>
      <c r="H183" s="2">
        <v>42440</v>
      </c>
      <c r="I183" s="2">
        <v>42447</v>
      </c>
      <c r="J183" s="2">
        <v>42451</v>
      </c>
      <c r="K183" s="2">
        <v>42460</v>
      </c>
      <c r="L183" t="s">
        <v>31</v>
      </c>
      <c r="M183">
        <v>30</v>
      </c>
      <c r="P183">
        <v>0</v>
      </c>
      <c r="Q183">
        <v>88</v>
      </c>
      <c r="R183" s="3">
        <v>10968.83</v>
      </c>
      <c r="S183">
        <v>0</v>
      </c>
      <c r="T183" s="3">
        <v>0</v>
      </c>
      <c r="U183">
        <v>0</v>
      </c>
      <c r="V183" s="2"/>
      <c r="W183" s="2"/>
      <c r="X183" t="s">
        <v>752</v>
      </c>
      <c r="Y183" t="s">
        <v>753</v>
      </c>
      <c r="Z183" t="s">
        <v>754</v>
      </c>
      <c r="AA183" t="s">
        <v>35</v>
      </c>
    </row>
    <row r="184" spans="1:27" x14ac:dyDescent="0.25">
      <c r="A184" t="s">
        <v>755</v>
      </c>
      <c r="C184">
        <v>3</v>
      </c>
      <c r="D184" t="s">
        <v>756</v>
      </c>
      <c r="E184" t="s">
        <v>29</v>
      </c>
      <c r="F184" t="s">
        <v>38</v>
      </c>
      <c r="G184" s="3">
        <v>2745</v>
      </c>
      <c r="H184" s="2">
        <v>42440</v>
      </c>
      <c r="I184" s="2"/>
      <c r="J184" s="2">
        <v>42438</v>
      </c>
      <c r="K184" s="2"/>
      <c r="L184" t="s">
        <v>31</v>
      </c>
      <c r="M184">
        <v>50</v>
      </c>
      <c r="P184">
        <v>0</v>
      </c>
      <c r="Q184">
        <v>58</v>
      </c>
      <c r="R184" s="3">
        <v>2745.18</v>
      </c>
      <c r="S184">
        <v>0</v>
      </c>
      <c r="T184">
        <v>0</v>
      </c>
      <c r="U184">
        <v>0</v>
      </c>
      <c r="X184" t="s">
        <v>757</v>
      </c>
      <c r="Y184" t="s">
        <v>758</v>
      </c>
      <c r="Z184" t="s">
        <v>34</v>
      </c>
      <c r="AA184" t="s">
        <v>35</v>
      </c>
    </row>
    <row r="185" spans="1:27" x14ac:dyDescent="0.25">
      <c r="A185" t="s">
        <v>759</v>
      </c>
      <c r="B185">
        <v>164242</v>
      </c>
      <c r="C185">
        <v>4</v>
      </c>
      <c r="D185" t="s">
        <v>760</v>
      </c>
      <c r="E185" t="s">
        <v>29</v>
      </c>
      <c r="F185" t="s">
        <v>38</v>
      </c>
      <c r="G185" s="3">
        <v>395</v>
      </c>
      <c r="H185" s="2">
        <v>42440</v>
      </c>
      <c r="I185" s="2"/>
      <c r="J185" s="2">
        <v>42439</v>
      </c>
      <c r="K185" s="2"/>
      <c r="L185" t="s">
        <v>31</v>
      </c>
      <c r="M185">
        <v>50</v>
      </c>
      <c r="N185">
        <v>164242</v>
      </c>
      <c r="P185">
        <v>0</v>
      </c>
      <c r="Q185" s="3">
        <v>8</v>
      </c>
      <c r="R185" s="3">
        <v>395.48</v>
      </c>
      <c r="S185">
        <v>8</v>
      </c>
      <c r="T185">
        <v>395</v>
      </c>
      <c r="U185">
        <v>8</v>
      </c>
      <c r="V185" s="2">
        <v>42473</v>
      </c>
      <c r="W185" s="2">
        <v>42473</v>
      </c>
      <c r="X185" t="s">
        <v>761</v>
      </c>
      <c r="Y185" t="s">
        <v>48</v>
      </c>
      <c r="Z185" t="s">
        <v>34</v>
      </c>
      <c r="AA185" t="s">
        <v>35</v>
      </c>
    </row>
    <row r="186" spans="1:27" x14ac:dyDescent="0.25">
      <c r="A186" t="s">
        <v>762</v>
      </c>
      <c r="C186">
        <v>3</v>
      </c>
      <c r="D186" t="s">
        <v>763</v>
      </c>
      <c r="E186" t="s">
        <v>29</v>
      </c>
      <c r="F186" t="s">
        <v>38</v>
      </c>
      <c r="G186" s="3">
        <v>3980</v>
      </c>
      <c r="H186" s="2">
        <v>42440</v>
      </c>
      <c r="J186" s="2">
        <v>42439</v>
      </c>
      <c r="L186" t="s">
        <v>31</v>
      </c>
      <c r="M186">
        <v>50</v>
      </c>
      <c r="P186">
        <v>0</v>
      </c>
      <c r="Q186">
        <v>74</v>
      </c>
      <c r="R186" s="3">
        <v>3980.12</v>
      </c>
      <c r="S186">
        <v>0</v>
      </c>
      <c r="T186">
        <v>0</v>
      </c>
      <c r="U186">
        <v>0</v>
      </c>
      <c r="X186" t="s">
        <v>764</v>
      </c>
      <c r="Y186" t="s">
        <v>765</v>
      </c>
      <c r="Z186" t="s">
        <v>34</v>
      </c>
      <c r="AA186" t="s">
        <v>35</v>
      </c>
    </row>
    <row r="187" spans="1:27" x14ac:dyDescent="0.25">
      <c r="A187" t="s">
        <v>766</v>
      </c>
      <c r="C187">
        <v>3</v>
      </c>
      <c r="D187" t="s">
        <v>767</v>
      </c>
      <c r="E187" t="s">
        <v>29</v>
      </c>
      <c r="F187" t="s">
        <v>38</v>
      </c>
      <c r="G187" s="3">
        <v>163800</v>
      </c>
      <c r="H187" s="2">
        <v>42440</v>
      </c>
      <c r="J187" s="2">
        <v>42445</v>
      </c>
      <c r="L187" t="s">
        <v>31</v>
      </c>
      <c r="M187">
        <v>50</v>
      </c>
      <c r="P187">
        <v>0</v>
      </c>
      <c r="Q187" s="3">
        <v>1520</v>
      </c>
      <c r="R187" s="3">
        <v>163800.53</v>
      </c>
      <c r="S187">
        <v>0</v>
      </c>
      <c r="T187">
        <v>0</v>
      </c>
      <c r="U187">
        <v>0</v>
      </c>
      <c r="X187" t="s">
        <v>768</v>
      </c>
      <c r="Y187" t="s">
        <v>93</v>
      </c>
      <c r="Z187" t="s">
        <v>34</v>
      </c>
      <c r="AA187" t="s">
        <v>35</v>
      </c>
    </row>
    <row r="188" spans="1:27" x14ac:dyDescent="0.25">
      <c r="A188" t="s">
        <v>769</v>
      </c>
      <c r="B188">
        <v>161163</v>
      </c>
      <c r="C188">
        <v>4</v>
      </c>
      <c r="D188" t="s">
        <v>770</v>
      </c>
      <c r="E188" t="s">
        <v>58</v>
      </c>
      <c r="F188" t="s">
        <v>59</v>
      </c>
      <c r="G188" s="3">
        <v>0</v>
      </c>
      <c r="H188" s="2">
        <v>42443</v>
      </c>
      <c r="J188" s="2">
        <v>42443</v>
      </c>
      <c r="L188" t="s">
        <v>305</v>
      </c>
      <c r="M188">
        <v>0</v>
      </c>
      <c r="N188">
        <v>161163</v>
      </c>
      <c r="P188">
        <v>0</v>
      </c>
      <c r="Q188">
        <v>0</v>
      </c>
      <c r="R188" s="3">
        <v>0</v>
      </c>
      <c r="S188">
        <v>1</v>
      </c>
      <c r="T188">
        <v>0</v>
      </c>
      <c r="U188">
        <v>101.5</v>
      </c>
      <c r="V188" s="2">
        <v>42444</v>
      </c>
      <c r="W188" s="2">
        <v>42462</v>
      </c>
      <c r="X188" t="s">
        <v>100</v>
      </c>
      <c r="Y188" t="s">
        <v>471</v>
      </c>
      <c r="Z188" t="s">
        <v>472</v>
      </c>
      <c r="AA188" t="s">
        <v>35</v>
      </c>
    </row>
    <row r="189" spans="1:27" x14ac:dyDescent="0.25">
      <c r="A189" t="s">
        <v>771</v>
      </c>
      <c r="B189">
        <v>160264</v>
      </c>
      <c r="C189">
        <v>4</v>
      </c>
      <c r="D189" t="s">
        <v>772</v>
      </c>
      <c r="E189" t="s">
        <v>29</v>
      </c>
      <c r="F189" t="s">
        <v>30</v>
      </c>
      <c r="G189" s="3">
        <v>2785</v>
      </c>
      <c r="H189" s="2">
        <v>42444</v>
      </c>
      <c r="I189" s="2">
        <v>42447</v>
      </c>
      <c r="J189" s="2">
        <v>42446</v>
      </c>
      <c r="K189" s="2">
        <v>42451</v>
      </c>
      <c r="L189" t="s">
        <v>31</v>
      </c>
      <c r="M189">
        <v>30</v>
      </c>
      <c r="N189">
        <v>160264</v>
      </c>
      <c r="P189">
        <v>0</v>
      </c>
      <c r="Q189">
        <v>50</v>
      </c>
      <c r="R189" s="3">
        <v>2784.05</v>
      </c>
      <c r="S189">
        <v>50</v>
      </c>
      <c r="T189" s="3">
        <v>2785</v>
      </c>
      <c r="U189">
        <v>52</v>
      </c>
      <c r="V189" s="2">
        <v>42453</v>
      </c>
      <c r="W189" s="2">
        <v>42459</v>
      </c>
      <c r="X189" t="s">
        <v>773</v>
      </c>
      <c r="Y189" t="s">
        <v>603</v>
      </c>
      <c r="Z189" t="s">
        <v>604</v>
      </c>
      <c r="AA189" t="s">
        <v>35</v>
      </c>
    </row>
    <row r="190" spans="1:27" x14ac:dyDescent="0.25">
      <c r="A190" t="s">
        <v>774</v>
      </c>
      <c r="C190">
        <v>3</v>
      </c>
      <c r="D190" t="s">
        <v>775</v>
      </c>
      <c r="E190" t="s">
        <v>65</v>
      </c>
      <c r="F190" t="s">
        <v>66</v>
      </c>
      <c r="G190" s="3">
        <v>20365</v>
      </c>
      <c r="H190" s="2">
        <v>42444</v>
      </c>
      <c r="I190" s="2">
        <v>42451</v>
      </c>
      <c r="J190" s="2">
        <v>42459</v>
      </c>
      <c r="K190" s="2">
        <v>42461</v>
      </c>
      <c r="L190" t="s">
        <v>31</v>
      </c>
      <c r="M190">
        <v>50</v>
      </c>
      <c r="P190">
        <v>0</v>
      </c>
      <c r="Q190">
        <v>328</v>
      </c>
      <c r="R190" s="3">
        <v>20365.79</v>
      </c>
      <c r="S190">
        <v>0</v>
      </c>
      <c r="T190">
        <v>0</v>
      </c>
      <c r="U190">
        <v>0</v>
      </c>
      <c r="X190" t="s">
        <v>67</v>
      </c>
      <c r="Y190" t="s">
        <v>333</v>
      </c>
      <c r="Z190" t="s">
        <v>334</v>
      </c>
      <c r="AA190" t="s">
        <v>35</v>
      </c>
    </row>
    <row r="191" spans="1:27" x14ac:dyDescent="0.25">
      <c r="A191" t="s">
        <v>776</v>
      </c>
      <c r="B191">
        <v>160257</v>
      </c>
      <c r="C191">
        <v>4</v>
      </c>
      <c r="D191" t="s">
        <v>777</v>
      </c>
      <c r="E191" t="s">
        <v>29</v>
      </c>
      <c r="F191" t="s">
        <v>364</v>
      </c>
      <c r="G191" s="3">
        <v>1440</v>
      </c>
      <c r="H191" s="2">
        <v>42445</v>
      </c>
      <c r="I191" s="2">
        <v>42450</v>
      </c>
      <c r="J191" s="2">
        <v>42446</v>
      </c>
      <c r="K191" s="2">
        <v>42460</v>
      </c>
      <c r="L191" t="s">
        <v>31</v>
      </c>
      <c r="M191">
        <v>80</v>
      </c>
      <c r="N191">
        <v>160257</v>
      </c>
      <c r="P191">
        <v>0</v>
      </c>
      <c r="Q191">
        <v>26</v>
      </c>
      <c r="R191" s="3">
        <v>1392.08</v>
      </c>
      <c r="S191">
        <v>26</v>
      </c>
      <c r="T191" s="3">
        <v>1440</v>
      </c>
      <c r="U191">
        <v>0</v>
      </c>
      <c r="X191" t="s">
        <v>778</v>
      </c>
      <c r="Y191" t="s">
        <v>779</v>
      </c>
      <c r="Z191" t="s">
        <v>367</v>
      </c>
      <c r="AA191" t="s">
        <v>35</v>
      </c>
    </row>
    <row r="192" spans="1:27" x14ac:dyDescent="0.25">
      <c r="A192" t="s">
        <v>780</v>
      </c>
      <c r="B192">
        <v>160258</v>
      </c>
      <c r="C192">
        <v>4</v>
      </c>
      <c r="D192" t="s">
        <v>781</v>
      </c>
      <c r="E192" t="s">
        <v>29</v>
      </c>
      <c r="F192" t="s">
        <v>364</v>
      </c>
      <c r="G192" s="3">
        <v>2390</v>
      </c>
      <c r="H192" s="2">
        <v>42445</v>
      </c>
      <c r="I192" s="2">
        <v>42450</v>
      </c>
      <c r="J192" s="2">
        <v>42446</v>
      </c>
      <c r="K192" s="2">
        <v>42460</v>
      </c>
      <c r="L192" t="s">
        <v>31</v>
      </c>
      <c r="M192">
        <v>80</v>
      </c>
      <c r="N192">
        <v>160258</v>
      </c>
      <c r="P192">
        <v>0</v>
      </c>
      <c r="Q192">
        <v>30</v>
      </c>
      <c r="R192" s="3">
        <v>1693.99</v>
      </c>
      <c r="S192">
        <v>1</v>
      </c>
      <c r="T192" s="3">
        <v>2390</v>
      </c>
      <c r="U192">
        <v>0</v>
      </c>
      <c r="X192" t="s">
        <v>778</v>
      </c>
      <c r="Y192" t="s">
        <v>779</v>
      </c>
      <c r="Z192" t="s">
        <v>367</v>
      </c>
      <c r="AA192" t="s">
        <v>35</v>
      </c>
    </row>
    <row r="193" spans="1:27" x14ac:dyDescent="0.25">
      <c r="A193" t="s">
        <v>785</v>
      </c>
      <c r="C193">
        <v>3</v>
      </c>
      <c r="D193" t="s">
        <v>786</v>
      </c>
      <c r="E193" t="s">
        <v>58</v>
      </c>
      <c r="F193" t="s">
        <v>30</v>
      </c>
      <c r="G193" s="3">
        <v>9090</v>
      </c>
      <c r="H193" s="2">
        <v>42446</v>
      </c>
      <c r="I193" s="2">
        <v>42447</v>
      </c>
      <c r="J193" s="2">
        <v>42450</v>
      </c>
      <c r="K193" s="2">
        <v>42491</v>
      </c>
      <c r="L193" t="s">
        <v>31</v>
      </c>
      <c r="M193">
        <v>25</v>
      </c>
      <c r="P193">
        <v>0</v>
      </c>
      <c r="Q193">
        <v>62</v>
      </c>
      <c r="R193" s="3">
        <v>8837.7099999999991</v>
      </c>
      <c r="S193">
        <v>0</v>
      </c>
      <c r="T193">
        <v>0</v>
      </c>
      <c r="U193">
        <v>0</v>
      </c>
      <c r="X193" t="s">
        <v>787</v>
      </c>
      <c r="Y193" t="s">
        <v>788</v>
      </c>
      <c r="Z193" t="s">
        <v>789</v>
      </c>
      <c r="AA193" t="s">
        <v>35</v>
      </c>
    </row>
    <row r="194" spans="1:27" x14ac:dyDescent="0.25">
      <c r="A194" t="s">
        <v>790</v>
      </c>
      <c r="B194">
        <v>160622</v>
      </c>
      <c r="C194">
        <v>4</v>
      </c>
      <c r="D194" t="s">
        <v>791</v>
      </c>
      <c r="E194" t="s">
        <v>58</v>
      </c>
      <c r="F194" t="s">
        <v>87</v>
      </c>
      <c r="G194" s="3">
        <v>26340</v>
      </c>
      <c r="H194" s="2">
        <v>42446</v>
      </c>
      <c r="I194" s="2"/>
      <c r="J194" s="2">
        <v>42446</v>
      </c>
      <c r="K194" s="2"/>
      <c r="L194" t="s">
        <v>31</v>
      </c>
      <c r="M194">
        <v>0</v>
      </c>
      <c r="N194">
        <v>160622</v>
      </c>
      <c r="P194">
        <v>0</v>
      </c>
      <c r="Q194">
        <v>0</v>
      </c>
      <c r="R194">
        <v>0</v>
      </c>
      <c r="S194">
        <v>1</v>
      </c>
      <c r="T194" s="3">
        <v>26340</v>
      </c>
      <c r="U194">
        <v>196</v>
      </c>
      <c r="V194" s="2">
        <v>42446</v>
      </c>
      <c r="W194" s="2">
        <v>42454</v>
      </c>
      <c r="Y194" t="s">
        <v>792</v>
      </c>
      <c r="Z194" t="s">
        <v>793</v>
      </c>
      <c r="AA194" t="s">
        <v>35</v>
      </c>
    </row>
    <row r="195" spans="1:27" x14ac:dyDescent="0.25">
      <c r="A195" t="s">
        <v>797</v>
      </c>
      <c r="C195">
        <v>5</v>
      </c>
      <c r="D195" t="s">
        <v>798</v>
      </c>
      <c r="E195" t="s">
        <v>58</v>
      </c>
      <c r="F195" t="s">
        <v>59</v>
      </c>
      <c r="G195" s="3">
        <v>148045</v>
      </c>
      <c r="H195" s="2">
        <v>42447</v>
      </c>
      <c r="I195" s="2">
        <v>42450</v>
      </c>
      <c r="J195" s="2">
        <v>42450</v>
      </c>
      <c r="K195" s="2">
        <v>42467</v>
      </c>
      <c r="L195" t="s">
        <v>31</v>
      </c>
      <c r="M195">
        <v>0</v>
      </c>
      <c r="P195">
        <v>0</v>
      </c>
      <c r="Q195" s="3">
        <v>3082</v>
      </c>
      <c r="R195" s="3">
        <v>148018.09</v>
      </c>
      <c r="S195">
        <v>0</v>
      </c>
      <c r="T195">
        <v>0</v>
      </c>
      <c r="U195">
        <v>0</v>
      </c>
      <c r="X195" t="s">
        <v>799</v>
      </c>
      <c r="Y195" t="s">
        <v>800</v>
      </c>
      <c r="Z195" t="s">
        <v>488</v>
      </c>
      <c r="AA195" t="s">
        <v>35</v>
      </c>
    </row>
    <row r="196" spans="1:27" x14ac:dyDescent="0.25">
      <c r="A196" t="s">
        <v>801</v>
      </c>
      <c r="C196">
        <v>3</v>
      </c>
      <c r="D196" t="s">
        <v>802</v>
      </c>
      <c r="E196" t="s">
        <v>29</v>
      </c>
      <c r="F196" t="s">
        <v>38</v>
      </c>
      <c r="G196" s="3">
        <v>5850</v>
      </c>
      <c r="H196" s="2">
        <v>42447</v>
      </c>
      <c r="J196" s="2">
        <v>42444</v>
      </c>
      <c r="L196" t="s">
        <v>31</v>
      </c>
      <c r="M196">
        <v>50</v>
      </c>
      <c r="P196">
        <v>0</v>
      </c>
      <c r="Q196">
        <v>60</v>
      </c>
      <c r="R196" s="3">
        <v>5850.21</v>
      </c>
      <c r="S196">
        <v>0</v>
      </c>
      <c r="T196">
        <v>0</v>
      </c>
      <c r="U196">
        <v>0</v>
      </c>
      <c r="X196" t="s">
        <v>803</v>
      </c>
      <c r="Y196" t="s">
        <v>163</v>
      </c>
      <c r="Z196" t="s">
        <v>34</v>
      </c>
      <c r="AA196" t="s">
        <v>35</v>
      </c>
    </row>
    <row r="197" spans="1:27" x14ac:dyDescent="0.25">
      <c r="A197" t="s">
        <v>804</v>
      </c>
      <c r="C197">
        <v>3</v>
      </c>
      <c r="D197" t="s">
        <v>805</v>
      </c>
      <c r="E197" t="s">
        <v>29</v>
      </c>
      <c r="F197" t="s">
        <v>38</v>
      </c>
      <c r="G197" s="3">
        <v>4280</v>
      </c>
      <c r="H197" s="2">
        <v>42447</v>
      </c>
      <c r="J197" s="2">
        <v>42446</v>
      </c>
      <c r="L197" t="s">
        <v>31</v>
      </c>
      <c r="M197">
        <v>50</v>
      </c>
      <c r="P197">
        <v>0</v>
      </c>
      <c r="Q197">
        <v>84</v>
      </c>
      <c r="R197" s="3">
        <v>4280.67</v>
      </c>
      <c r="S197">
        <v>0</v>
      </c>
      <c r="T197">
        <v>0</v>
      </c>
      <c r="U197">
        <v>0</v>
      </c>
      <c r="X197" t="s">
        <v>806</v>
      </c>
      <c r="Y197" t="s">
        <v>163</v>
      </c>
      <c r="Z197" t="s">
        <v>34</v>
      </c>
      <c r="AA197" t="s">
        <v>35</v>
      </c>
    </row>
    <row r="198" spans="1:27" x14ac:dyDescent="0.25">
      <c r="A198" t="s">
        <v>807</v>
      </c>
      <c r="C198">
        <v>3</v>
      </c>
      <c r="D198" t="s">
        <v>808</v>
      </c>
      <c r="E198" t="s">
        <v>29</v>
      </c>
      <c r="F198" t="s">
        <v>38</v>
      </c>
      <c r="G198" s="3">
        <v>2450</v>
      </c>
      <c r="H198" s="2">
        <v>42447</v>
      </c>
      <c r="J198" s="2">
        <v>42444</v>
      </c>
      <c r="L198" t="s">
        <v>31</v>
      </c>
      <c r="M198">
        <v>50</v>
      </c>
      <c r="P198">
        <v>0</v>
      </c>
      <c r="Q198">
        <v>50</v>
      </c>
      <c r="R198" s="3">
        <v>2450.4299999999998</v>
      </c>
      <c r="S198">
        <v>0</v>
      </c>
      <c r="T198">
        <v>0</v>
      </c>
      <c r="U198">
        <v>0</v>
      </c>
      <c r="X198" t="s">
        <v>809</v>
      </c>
      <c r="Y198" t="s">
        <v>810</v>
      </c>
      <c r="Z198" t="s">
        <v>34</v>
      </c>
      <c r="AA198" t="s">
        <v>35</v>
      </c>
    </row>
    <row r="199" spans="1:27" x14ac:dyDescent="0.25">
      <c r="A199" t="s">
        <v>811</v>
      </c>
      <c r="C199">
        <v>3</v>
      </c>
      <c r="D199" t="s">
        <v>812</v>
      </c>
      <c r="E199" t="s">
        <v>65</v>
      </c>
      <c r="F199" t="s">
        <v>66</v>
      </c>
      <c r="G199">
        <v>0</v>
      </c>
      <c r="H199" s="2">
        <v>42447</v>
      </c>
      <c r="I199" s="2">
        <v>42461</v>
      </c>
      <c r="J199" s="2">
        <v>42460</v>
      </c>
      <c r="K199" s="2">
        <v>42480</v>
      </c>
      <c r="L199" t="s">
        <v>305</v>
      </c>
      <c r="M199">
        <v>50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X199" t="s">
        <v>81</v>
      </c>
      <c r="Y199" t="s">
        <v>82</v>
      </c>
      <c r="Z199" t="s">
        <v>83</v>
      </c>
      <c r="AA199" t="s">
        <v>35</v>
      </c>
    </row>
    <row r="200" spans="1:27" x14ac:dyDescent="0.25">
      <c r="A200" t="s">
        <v>815</v>
      </c>
      <c r="C200">
        <v>3</v>
      </c>
      <c r="D200" t="s">
        <v>816</v>
      </c>
      <c r="E200" t="s">
        <v>65</v>
      </c>
      <c r="F200" t="s">
        <v>80</v>
      </c>
      <c r="G200" s="3">
        <v>5360</v>
      </c>
      <c r="H200" s="2">
        <v>42451</v>
      </c>
      <c r="I200" s="2">
        <v>42454</v>
      </c>
      <c r="J200" s="2">
        <v>42454</v>
      </c>
      <c r="L200" t="s">
        <v>31</v>
      </c>
      <c r="M200">
        <v>0</v>
      </c>
      <c r="P200">
        <v>0</v>
      </c>
      <c r="Q200">
        <v>28</v>
      </c>
      <c r="R200" s="3">
        <v>5357.6</v>
      </c>
      <c r="S200">
        <v>0</v>
      </c>
      <c r="T200">
        <v>0</v>
      </c>
      <c r="U200">
        <v>0</v>
      </c>
      <c r="X200" t="s">
        <v>817</v>
      </c>
      <c r="Y200" t="s">
        <v>818</v>
      </c>
      <c r="Z200" t="s">
        <v>520</v>
      </c>
      <c r="AA200" t="s">
        <v>35</v>
      </c>
    </row>
    <row r="201" spans="1:27" x14ac:dyDescent="0.25">
      <c r="A201" t="s">
        <v>819</v>
      </c>
      <c r="C201">
        <v>3</v>
      </c>
      <c r="D201" t="s">
        <v>820</v>
      </c>
      <c r="E201" t="s">
        <v>58</v>
      </c>
      <c r="F201" t="s">
        <v>59</v>
      </c>
      <c r="G201" s="3">
        <v>86900</v>
      </c>
      <c r="H201" s="2">
        <v>42451</v>
      </c>
      <c r="I201" s="2">
        <v>42451</v>
      </c>
      <c r="J201" s="2">
        <v>42453</v>
      </c>
      <c r="K201" s="2">
        <v>42614</v>
      </c>
      <c r="L201" t="s">
        <v>31</v>
      </c>
      <c r="M201">
        <v>45</v>
      </c>
      <c r="P201">
        <v>0</v>
      </c>
      <c r="Q201">
        <v>782</v>
      </c>
      <c r="R201" s="3">
        <v>85597.45</v>
      </c>
      <c r="S201">
        <v>0</v>
      </c>
      <c r="T201">
        <v>0</v>
      </c>
      <c r="U201">
        <v>0</v>
      </c>
      <c r="X201" t="s">
        <v>821</v>
      </c>
      <c r="Y201" t="s">
        <v>111</v>
      </c>
      <c r="Z201" t="s">
        <v>112</v>
      </c>
      <c r="AA201" t="s">
        <v>35</v>
      </c>
    </row>
    <row r="202" spans="1:27" x14ac:dyDescent="0.25">
      <c r="A202" t="s">
        <v>822</v>
      </c>
      <c r="C202">
        <v>3</v>
      </c>
      <c r="D202" t="s">
        <v>823</v>
      </c>
      <c r="E202" t="s">
        <v>29</v>
      </c>
      <c r="F202" t="s">
        <v>138</v>
      </c>
      <c r="G202" s="3">
        <v>1346</v>
      </c>
      <c r="H202" s="2">
        <v>42451</v>
      </c>
      <c r="I202" s="2">
        <v>42459</v>
      </c>
      <c r="J202" s="2">
        <v>42459</v>
      </c>
      <c r="K202" s="2">
        <v>42551</v>
      </c>
      <c r="L202" t="s">
        <v>31</v>
      </c>
      <c r="M202">
        <v>50</v>
      </c>
      <c r="P202">
        <v>0</v>
      </c>
      <c r="Q202">
        <v>0</v>
      </c>
      <c r="R202">
        <v>0</v>
      </c>
      <c r="S202">
        <v>0</v>
      </c>
      <c r="T202">
        <v>0</v>
      </c>
      <c r="U202">
        <v>0</v>
      </c>
      <c r="X202" t="s">
        <v>353</v>
      </c>
      <c r="Y202" t="s">
        <v>824</v>
      </c>
      <c r="Z202" t="s">
        <v>34</v>
      </c>
      <c r="AA202" t="s">
        <v>35</v>
      </c>
    </row>
    <row r="203" spans="1:27" x14ac:dyDescent="0.25">
      <c r="A203" t="s">
        <v>825</v>
      </c>
      <c r="C203">
        <v>4</v>
      </c>
      <c r="D203" t="s">
        <v>826</v>
      </c>
      <c r="E203" t="s">
        <v>29</v>
      </c>
      <c r="F203" t="s">
        <v>138</v>
      </c>
      <c r="G203" s="3">
        <v>5650</v>
      </c>
      <c r="H203" s="2">
        <v>42451</v>
      </c>
      <c r="I203" s="2">
        <v>42459</v>
      </c>
      <c r="J203" s="2">
        <v>42459</v>
      </c>
      <c r="K203" s="2">
        <v>42490</v>
      </c>
      <c r="L203" t="s">
        <v>31</v>
      </c>
      <c r="M203">
        <v>50</v>
      </c>
      <c r="N203">
        <v>164040</v>
      </c>
      <c r="P203">
        <v>0</v>
      </c>
      <c r="Q203">
        <v>0</v>
      </c>
      <c r="R203">
        <v>0</v>
      </c>
      <c r="S203">
        <v>7</v>
      </c>
      <c r="T203" s="3">
        <v>62394</v>
      </c>
      <c r="U203">
        <v>850.75</v>
      </c>
      <c r="V203" s="2">
        <v>42429</v>
      </c>
      <c r="W203" s="2">
        <v>42475</v>
      </c>
      <c r="X203" t="s">
        <v>353</v>
      </c>
      <c r="Y203" t="s">
        <v>140</v>
      </c>
      <c r="Z203" t="s">
        <v>34</v>
      </c>
      <c r="AA203" t="s">
        <v>35</v>
      </c>
    </row>
    <row r="204" spans="1:27" x14ac:dyDescent="0.25">
      <c r="A204" t="s">
        <v>827</v>
      </c>
      <c r="C204">
        <v>3</v>
      </c>
      <c r="D204" t="s">
        <v>828</v>
      </c>
      <c r="E204" t="s">
        <v>29</v>
      </c>
      <c r="F204" t="s">
        <v>138</v>
      </c>
      <c r="G204" s="3">
        <v>4490</v>
      </c>
      <c r="H204" s="2">
        <v>42451</v>
      </c>
      <c r="I204" s="2">
        <v>42460</v>
      </c>
      <c r="J204" s="2">
        <v>42460</v>
      </c>
      <c r="K204" s="2">
        <v>42551</v>
      </c>
      <c r="L204" t="s">
        <v>31</v>
      </c>
      <c r="M204">
        <v>50</v>
      </c>
      <c r="P204">
        <v>0</v>
      </c>
      <c r="Q204">
        <v>66</v>
      </c>
      <c r="R204" s="3">
        <v>4483.7299999999996</v>
      </c>
      <c r="S204">
        <v>0</v>
      </c>
      <c r="T204">
        <v>0</v>
      </c>
      <c r="U204">
        <v>0</v>
      </c>
      <c r="X204" t="s">
        <v>353</v>
      </c>
      <c r="Y204" t="s">
        <v>829</v>
      </c>
      <c r="Z204" t="s">
        <v>34</v>
      </c>
      <c r="AA204" t="s">
        <v>35</v>
      </c>
    </row>
    <row r="205" spans="1:27" x14ac:dyDescent="0.25">
      <c r="A205" t="s">
        <v>830</v>
      </c>
      <c r="B205">
        <v>164048</v>
      </c>
      <c r="C205">
        <v>4</v>
      </c>
      <c r="D205" t="s">
        <v>1056</v>
      </c>
      <c r="E205" t="s">
        <v>29</v>
      </c>
      <c r="F205" t="s">
        <v>138</v>
      </c>
      <c r="G205" s="3">
        <v>1196</v>
      </c>
      <c r="H205" s="2">
        <v>42451</v>
      </c>
      <c r="I205" s="2">
        <v>42464</v>
      </c>
      <c r="J205" s="2">
        <v>42464</v>
      </c>
      <c r="K205" s="2">
        <v>42490</v>
      </c>
      <c r="L205" t="s">
        <v>31</v>
      </c>
      <c r="M205">
        <v>50</v>
      </c>
      <c r="N205">
        <v>164048</v>
      </c>
      <c r="P205">
        <v>0</v>
      </c>
      <c r="Q205">
        <v>0</v>
      </c>
      <c r="R205">
        <v>0</v>
      </c>
      <c r="S205">
        <v>1</v>
      </c>
      <c r="T205" s="3">
        <v>1196</v>
      </c>
      <c r="U205">
        <v>22</v>
      </c>
      <c r="V205" s="2">
        <v>42464</v>
      </c>
      <c r="W205" s="2">
        <v>42466</v>
      </c>
      <c r="X205" t="s">
        <v>353</v>
      </c>
      <c r="Y205" t="s">
        <v>140</v>
      </c>
      <c r="Z205" t="s">
        <v>34</v>
      </c>
      <c r="AA205" t="s">
        <v>35</v>
      </c>
    </row>
    <row r="206" spans="1:27" x14ac:dyDescent="0.25">
      <c r="A206" t="s">
        <v>832</v>
      </c>
      <c r="B206">
        <v>164051</v>
      </c>
      <c r="C206">
        <v>4</v>
      </c>
      <c r="D206" t="s">
        <v>1057</v>
      </c>
      <c r="E206" t="s">
        <v>29</v>
      </c>
      <c r="F206" t="s">
        <v>138</v>
      </c>
      <c r="G206" s="3">
        <v>1196</v>
      </c>
      <c r="H206" s="2">
        <v>42451</v>
      </c>
      <c r="I206" s="2">
        <v>42464</v>
      </c>
      <c r="J206" s="2">
        <v>42464</v>
      </c>
      <c r="K206" s="2">
        <v>42490</v>
      </c>
      <c r="L206" t="s">
        <v>31</v>
      </c>
      <c r="M206">
        <v>50</v>
      </c>
      <c r="N206">
        <v>164051</v>
      </c>
      <c r="P206">
        <v>0</v>
      </c>
      <c r="Q206">
        <v>0</v>
      </c>
      <c r="R206">
        <v>0</v>
      </c>
      <c r="S206">
        <v>1</v>
      </c>
      <c r="T206" s="3">
        <v>1196</v>
      </c>
      <c r="U206">
        <v>0</v>
      </c>
      <c r="X206" t="s">
        <v>353</v>
      </c>
      <c r="Y206" t="s">
        <v>140</v>
      </c>
      <c r="Z206" t="s">
        <v>34</v>
      </c>
      <c r="AA206" t="s">
        <v>35</v>
      </c>
    </row>
    <row r="207" spans="1:27" x14ac:dyDescent="0.25">
      <c r="A207" t="s">
        <v>833</v>
      </c>
      <c r="C207">
        <v>3</v>
      </c>
      <c r="D207" t="s">
        <v>1058</v>
      </c>
      <c r="E207" t="s">
        <v>29</v>
      </c>
      <c r="F207" t="s">
        <v>138</v>
      </c>
      <c r="G207" s="3">
        <v>2495</v>
      </c>
      <c r="H207" s="2">
        <v>42451</v>
      </c>
      <c r="I207" s="2">
        <v>42464</v>
      </c>
      <c r="J207" s="2">
        <v>42464</v>
      </c>
      <c r="K207" s="2">
        <v>42551</v>
      </c>
      <c r="L207" t="s">
        <v>31</v>
      </c>
      <c r="M207">
        <v>50</v>
      </c>
      <c r="P207">
        <v>0</v>
      </c>
      <c r="Q207">
        <v>44</v>
      </c>
      <c r="R207" s="3">
        <v>2496.33</v>
      </c>
      <c r="S207">
        <v>0</v>
      </c>
      <c r="T207">
        <v>0</v>
      </c>
      <c r="U207">
        <v>0</v>
      </c>
      <c r="X207" t="s">
        <v>353</v>
      </c>
      <c r="Y207" t="s">
        <v>140</v>
      </c>
      <c r="Z207" t="s">
        <v>34</v>
      </c>
      <c r="AA207" t="s">
        <v>35</v>
      </c>
    </row>
    <row r="208" spans="1:27" x14ac:dyDescent="0.25">
      <c r="A208" t="s">
        <v>834</v>
      </c>
      <c r="C208">
        <v>3</v>
      </c>
      <c r="D208" t="s">
        <v>1125</v>
      </c>
      <c r="E208" t="s">
        <v>29</v>
      </c>
      <c r="F208" t="s">
        <v>138</v>
      </c>
      <c r="G208" s="3">
        <v>17960</v>
      </c>
      <c r="H208" s="2">
        <v>42451</v>
      </c>
      <c r="I208" s="2">
        <v>42466</v>
      </c>
      <c r="J208" s="2">
        <v>42473</v>
      </c>
      <c r="K208" s="2">
        <v>42551</v>
      </c>
      <c r="L208" t="s">
        <v>31</v>
      </c>
      <c r="M208">
        <v>50</v>
      </c>
      <c r="P208">
        <v>0</v>
      </c>
      <c r="Q208">
        <v>290</v>
      </c>
      <c r="R208" s="3">
        <v>17966.38</v>
      </c>
      <c r="S208">
        <v>0</v>
      </c>
      <c r="T208">
        <v>0</v>
      </c>
      <c r="U208">
        <v>0</v>
      </c>
      <c r="X208" t="s">
        <v>1126</v>
      </c>
      <c r="Y208" t="s">
        <v>140</v>
      </c>
      <c r="Z208" t="s">
        <v>34</v>
      </c>
      <c r="AA208" t="s">
        <v>35</v>
      </c>
    </row>
    <row r="209" spans="1:27" x14ac:dyDescent="0.25">
      <c r="A209" t="s">
        <v>835</v>
      </c>
      <c r="B209">
        <v>164052</v>
      </c>
      <c r="C209">
        <v>4</v>
      </c>
      <c r="D209" t="s">
        <v>1059</v>
      </c>
      <c r="E209" t="s">
        <v>29</v>
      </c>
      <c r="F209" t="s">
        <v>138</v>
      </c>
      <c r="G209" s="3">
        <v>5125</v>
      </c>
      <c r="H209" s="2">
        <v>42451</v>
      </c>
      <c r="I209" s="2">
        <v>42468</v>
      </c>
      <c r="J209" s="2">
        <v>42468</v>
      </c>
      <c r="K209" s="2">
        <v>42490</v>
      </c>
      <c r="L209" t="s">
        <v>31</v>
      </c>
      <c r="M209">
        <v>50</v>
      </c>
      <c r="N209">
        <v>164052</v>
      </c>
      <c r="P209">
        <v>0</v>
      </c>
      <c r="Q209">
        <v>80</v>
      </c>
      <c r="R209" s="3">
        <v>5120.93</v>
      </c>
      <c r="S209">
        <v>80</v>
      </c>
      <c r="T209" s="3">
        <v>5125</v>
      </c>
      <c r="U209">
        <v>77</v>
      </c>
      <c r="V209" s="2">
        <v>42472</v>
      </c>
      <c r="W209" s="2">
        <v>42475</v>
      </c>
      <c r="X209" t="s">
        <v>353</v>
      </c>
      <c r="Y209" t="s">
        <v>140</v>
      </c>
      <c r="Z209" t="s">
        <v>34</v>
      </c>
      <c r="AA209" t="s">
        <v>35</v>
      </c>
    </row>
    <row r="210" spans="1:27" x14ac:dyDescent="0.25">
      <c r="A210" t="s">
        <v>836</v>
      </c>
      <c r="B210">
        <v>164050</v>
      </c>
      <c r="C210">
        <v>3</v>
      </c>
      <c r="D210" t="s">
        <v>1060</v>
      </c>
      <c r="E210" t="s">
        <v>29</v>
      </c>
      <c r="F210" t="s">
        <v>138</v>
      </c>
      <c r="G210" s="3">
        <v>4550</v>
      </c>
      <c r="H210" s="2">
        <v>42451</v>
      </c>
      <c r="I210" s="2"/>
      <c r="J210" s="2">
        <v>42468</v>
      </c>
      <c r="K210" s="2"/>
      <c r="L210" t="s">
        <v>31</v>
      </c>
      <c r="M210">
        <v>50</v>
      </c>
      <c r="N210">
        <v>164050</v>
      </c>
      <c r="P210">
        <v>0</v>
      </c>
      <c r="Q210">
        <v>0</v>
      </c>
      <c r="R210">
        <v>0</v>
      </c>
      <c r="S210">
        <v>1</v>
      </c>
      <c r="T210" s="3">
        <v>4550</v>
      </c>
      <c r="U210">
        <v>2</v>
      </c>
      <c r="X210" t="s">
        <v>353</v>
      </c>
      <c r="Y210" t="s">
        <v>140</v>
      </c>
      <c r="Z210" t="s">
        <v>34</v>
      </c>
      <c r="AA210" t="s">
        <v>35</v>
      </c>
    </row>
    <row r="211" spans="1:27" x14ac:dyDescent="0.25">
      <c r="A211" t="s">
        <v>837</v>
      </c>
      <c r="C211">
        <v>3</v>
      </c>
      <c r="D211" t="s">
        <v>1127</v>
      </c>
      <c r="E211" t="s">
        <v>29</v>
      </c>
      <c r="F211" t="s">
        <v>138</v>
      </c>
      <c r="G211">
        <v>725</v>
      </c>
      <c r="H211" s="2">
        <v>42451</v>
      </c>
      <c r="I211" s="2">
        <v>42474</v>
      </c>
      <c r="J211" s="2">
        <v>42474</v>
      </c>
      <c r="K211" s="2">
        <v>42490</v>
      </c>
      <c r="L211" t="s">
        <v>31</v>
      </c>
      <c r="M211">
        <v>50</v>
      </c>
      <c r="P211">
        <v>0</v>
      </c>
      <c r="Q211">
        <v>1</v>
      </c>
      <c r="R211">
        <v>725</v>
      </c>
      <c r="S211">
        <v>0</v>
      </c>
      <c r="T211">
        <v>0</v>
      </c>
      <c r="U211">
        <v>0</v>
      </c>
      <c r="X211" t="s">
        <v>1128</v>
      </c>
      <c r="Y211" t="s">
        <v>140</v>
      </c>
      <c r="Z211" t="s">
        <v>34</v>
      </c>
      <c r="AA211" t="s">
        <v>35</v>
      </c>
    </row>
    <row r="212" spans="1:27" x14ac:dyDescent="0.25">
      <c r="A212" t="s">
        <v>838</v>
      </c>
      <c r="C212">
        <v>3</v>
      </c>
      <c r="D212" t="s">
        <v>1129</v>
      </c>
      <c r="E212" t="s">
        <v>29</v>
      </c>
      <c r="F212" t="s">
        <v>138</v>
      </c>
      <c r="G212">
        <v>822</v>
      </c>
      <c r="H212" s="2">
        <v>42451</v>
      </c>
      <c r="I212" s="2">
        <v>42475</v>
      </c>
      <c r="J212" s="2">
        <v>42475</v>
      </c>
      <c r="K212" s="2">
        <v>42490</v>
      </c>
      <c r="L212" t="s">
        <v>31</v>
      </c>
      <c r="M212">
        <v>50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X212" t="s">
        <v>353</v>
      </c>
      <c r="Y212" t="s">
        <v>140</v>
      </c>
      <c r="Z212" t="s">
        <v>34</v>
      </c>
      <c r="AA212" t="s">
        <v>35</v>
      </c>
    </row>
    <row r="213" spans="1:27" x14ac:dyDescent="0.25">
      <c r="A213" t="s">
        <v>848</v>
      </c>
      <c r="B213">
        <v>160019</v>
      </c>
      <c r="C213">
        <v>4</v>
      </c>
      <c r="D213" t="s">
        <v>849</v>
      </c>
      <c r="E213" t="s">
        <v>65</v>
      </c>
      <c r="F213" t="s">
        <v>80</v>
      </c>
      <c r="G213" s="3">
        <v>2640</v>
      </c>
      <c r="H213" s="2">
        <v>42451</v>
      </c>
      <c r="I213" s="2">
        <v>42473</v>
      </c>
      <c r="J213" s="2">
        <v>42473</v>
      </c>
      <c r="K213" s="2">
        <v>42470</v>
      </c>
      <c r="L213" t="s">
        <v>31</v>
      </c>
      <c r="M213">
        <v>50</v>
      </c>
      <c r="N213">
        <v>160019</v>
      </c>
      <c r="P213">
        <v>0</v>
      </c>
      <c r="Q213">
        <v>48</v>
      </c>
      <c r="R213" s="3">
        <v>2600</v>
      </c>
      <c r="S213">
        <v>48</v>
      </c>
      <c r="T213" s="3">
        <v>2640</v>
      </c>
      <c r="U213">
        <v>0</v>
      </c>
      <c r="X213" t="s">
        <v>81</v>
      </c>
      <c r="Y213" t="s">
        <v>850</v>
      </c>
      <c r="Z213" t="s">
        <v>1124</v>
      </c>
      <c r="AA213" t="s">
        <v>35</v>
      </c>
    </row>
    <row r="214" spans="1:27" x14ac:dyDescent="0.25">
      <c r="A214" t="s">
        <v>851</v>
      </c>
      <c r="C214">
        <v>3</v>
      </c>
      <c r="D214" t="s">
        <v>852</v>
      </c>
      <c r="E214" t="s">
        <v>65</v>
      </c>
      <c r="F214" t="s">
        <v>66</v>
      </c>
      <c r="G214" s="3">
        <v>1475</v>
      </c>
      <c r="H214" s="2">
        <v>42451</v>
      </c>
      <c r="I214" s="2">
        <v>42459</v>
      </c>
      <c r="J214" s="2">
        <v>42458</v>
      </c>
      <c r="K214" s="2"/>
      <c r="L214" t="s">
        <v>31</v>
      </c>
      <c r="M214">
        <v>20</v>
      </c>
      <c r="P214">
        <v>0</v>
      </c>
      <c r="Q214">
        <v>1</v>
      </c>
      <c r="R214" s="3">
        <v>1475.45</v>
      </c>
      <c r="S214">
        <v>0</v>
      </c>
      <c r="T214" s="3">
        <v>0</v>
      </c>
      <c r="U214">
        <v>0</v>
      </c>
      <c r="X214" t="s">
        <v>853</v>
      </c>
      <c r="Y214" t="s">
        <v>854</v>
      </c>
      <c r="Z214" t="s">
        <v>129</v>
      </c>
      <c r="AA214" t="s">
        <v>35</v>
      </c>
    </row>
    <row r="215" spans="1:27" x14ac:dyDescent="0.25">
      <c r="A215" t="s">
        <v>855</v>
      </c>
      <c r="C215">
        <v>3</v>
      </c>
      <c r="D215" t="s">
        <v>856</v>
      </c>
      <c r="E215" t="s">
        <v>65</v>
      </c>
      <c r="F215" t="s">
        <v>30</v>
      </c>
      <c r="G215" s="3">
        <v>114715</v>
      </c>
      <c r="H215" s="2">
        <v>42452</v>
      </c>
      <c r="I215" s="2">
        <v>42468</v>
      </c>
      <c r="J215" s="2">
        <v>42479</v>
      </c>
      <c r="K215" s="2">
        <v>42521</v>
      </c>
      <c r="L215" t="s">
        <v>31</v>
      </c>
      <c r="M215">
        <v>25</v>
      </c>
      <c r="P215">
        <v>0</v>
      </c>
      <c r="Q215">
        <v>920</v>
      </c>
      <c r="R215" s="3">
        <v>114712.58</v>
      </c>
      <c r="S215">
        <v>0</v>
      </c>
      <c r="T215">
        <v>0</v>
      </c>
      <c r="U215">
        <v>0</v>
      </c>
      <c r="X215" t="s">
        <v>1130</v>
      </c>
      <c r="Y215" t="s">
        <v>857</v>
      </c>
      <c r="Z215" t="s">
        <v>858</v>
      </c>
      <c r="AA215" t="s">
        <v>35</v>
      </c>
    </row>
    <row r="216" spans="1:27" x14ac:dyDescent="0.25">
      <c r="A216" t="s">
        <v>871</v>
      </c>
      <c r="C216">
        <v>3</v>
      </c>
      <c r="D216" t="s">
        <v>872</v>
      </c>
      <c r="E216" t="s">
        <v>29</v>
      </c>
      <c r="F216" t="s">
        <v>38</v>
      </c>
      <c r="G216" s="3">
        <v>1780</v>
      </c>
      <c r="H216" s="2">
        <v>42453</v>
      </c>
      <c r="I216" s="2"/>
      <c r="J216" s="2">
        <v>42452</v>
      </c>
      <c r="K216" s="2"/>
      <c r="L216" t="s">
        <v>31</v>
      </c>
      <c r="M216">
        <v>50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X216" t="s">
        <v>873</v>
      </c>
      <c r="Y216" t="s">
        <v>480</v>
      </c>
      <c r="Z216" t="s">
        <v>34</v>
      </c>
      <c r="AA216" t="s">
        <v>35</v>
      </c>
    </row>
    <row r="217" spans="1:27" x14ac:dyDescent="0.25">
      <c r="A217" t="s">
        <v>874</v>
      </c>
      <c r="C217">
        <v>3</v>
      </c>
      <c r="D217" t="s">
        <v>875</v>
      </c>
      <c r="E217" t="s">
        <v>58</v>
      </c>
      <c r="F217" t="s">
        <v>30</v>
      </c>
      <c r="G217" s="3">
        <v>27360</v>
      </c>
      <c r="H217" s="2">
        <v>42453</v>
      </c>
      <c r="I217" s="2">
        <v>42468</v>
      </c>
      <c r="J217" s="2">
        <v>42465</v>
      </c>
      <c r="K217" s="2">
        <v>42522</v>
      </c>
      <c r="L217" t="s">
        <v>31</v>
      </c>
      <c r="M217">
        <v>30</v>
      </c>
      <c r="P217">
        <v>0</v>
      </c>
      <c r="Q217">
        <v>166</v>
      </c>
      <c r="R217" s="3">
        <v>27362.75</v>
      </c>
      <c r="S217">
        <v>0</v>
      </c>
      <c r="T217">
        <v>0</v>
      </c>
      <c r="U217">
        <v>0</v>
      </c>
      <c r="X217" t="s">
        <v>32</v>
      </c>
      <c r="Y217" t="s">
        <v>1061</v>
      </c>
      <c r="Z217" t="s">
        <v>202</v>
      </c>
      <c r="AA217" t="s">
        <v>35</v>
      </c>
    </row>
    <row r="218" spans="1:27" x14ac:dyDescent="0.25">
      <c r="A218" t="s">
        <v>876</v>
      </c>
      <c r="B218">
        <v>160626</v>
      </c>
      <c r="C218">
        <v>4</v>
      </c>
      <c r="D218" t="s">
        <v>877</v>
      </c>
      <c r="E218" t="s">
        <v>58</v>
      </c>
      <c r="F218" t="s">
        <v>59</v>
      </c>
      <c r="G218" s="3">
        <v>3250</v>
      </c>
      <c r="H218" s="2">
        <v>42454</v>
      </c>
      <c r="I218" s="2">
        <v>42459</v>
      </c>
      <c r="J218" s="2">
        <v>42461</v>
      </c>
      <c r="K218" s="2">
        <v>42461</v>
      </c>
      <c r="L218" t="s">
        <v>31</v>
      </c>
      <c r="M218">
        <v>80</v>
      </c>
      <c r="N218">
        <v>160626</v>
      </c>
      <c r="P218">
        <v>0</v>
      </c>
      <c r="Q218">
        <v>32</v>
      </c>
      <c r="R218" s="3">
        <v>2815.02</v>
      </c>
      <c r="S218">
        <v>33</v>
      </c>
      <c r="T218" s="3">
        <v>3250</v>
      </c>
      <c r="U218">
        <v>28</v>
      </c>
      <c r="V218" s="2">
        <v>42475</v>
      </c>
      <c r="W218" s="2">
        <v>42475</v>
      </c>
      <c r="X218" t="s">
        <v>100</v>
      </c>
      <c r="Y218" t="s">
        <v>227</v>
      </c>
      <c r="Z218" t="s">
        <v>228</v>
      </c>
      <c r="AA218" t="s">
        <v>35</v>
      </c>
    </row>
    <row r="219" spans="1:27" x14ac:dyDescent="0.25">
      <c r="A219" t="s">
        <v>881</v>
      </c>
      <c r="B219">
        <v>160628</v>
      </c>
      <c r="C219">
        <v>4</v>
      </c>
      <c r="D219" t="s">
        <v>882</v>
      </c>
      <c r="E219" t="s">
        <v>58</v>
      </c>
      <c r="F219" t="s">
        <v>59</v>
      </c>
      <c r="G219" s="3">
        <v>12560</v>
      </c>
      <c r="H219" s="2">
        <v>42459</v>
      </c>
      <c r="I219" s="2">
        <v>42461</v>
      </c>
      <c r="J219" s="2">
        <v>42461</v>
      </c>
      <c r="K219" s="2">
        <v>42478</v>
      </c>
      <c r="L219" t="s">
        <v>31</v>
      </c>
      <c r="M219">
        <v>60</v>
      </c>
      <c r="N219">
        <v>160628</v>
      </c>
      <c r="P219">
        <v>0</v>
      </c>
      <c r="Q219">
        <v>160</v>
      </c>
      <c r="R219" s="3">
        <v>12311.34</v>
      </c>
      <c r="S219">
        <v>160</v>
      </c>
      <c r="T219" s="3">
        <v>12560</v>
      </c>
      <c r="U219">
        <v>0.5</v>
      </c>
      <c r="X219" t="s">
        <v>630</v>
      </c>
      <c r="Y219" t="s">
        <v>337</v>
      </c>
      <c r="Z219" t="s">
        <v>202</v>
      </c>
      <c r="AA219" t="s">
        <v>35</v>
      </c>
    </row>
    <row r="220" spans="1:27" x14ac:dyDescent="0.25">
      <c r="A220" t="s">
        <v>883</v>
      </c>
      <c r="C220">
        <v>3</v>
      </c>
      <c r="D220" t="s">
        <v>884</v>
      </c>
      <c r="E220" t="s">
        <v>65</v>
      </c>
      <c r="F220" t="s">
        <v>66</v>
      </c>
      <c r="G220" s="3">
        <v>60215</v>
      </c>
      <c r="H220" s="2">
        <v>42459</v>
      </c>
      <c r="I220" s="2">
        <v>42471</v>
      </c>
      <c r="J220" s="2">
        <v>42482</v>
      </c>
      <c r="K220" s="2"/>
      <c r="L220" t="s">
        <v>31</v>
      </c>
      <c r="M220">
        <v>25</v>
      </c>
      <c r="P220">
        <v>0</v>
      </c>
      <c r="Q220">
        <v>220</v>
      </c>
      <c r="R220" s="3">
        <v>60191.73</v>
      </c>
      <c r="S220">
        <v>0</v>
      </c>
      <c r="T220">
        <v>0</v>
      </c>
      <c r="U220">
        <v>0</v>
      </c>
      <c r="X220" t="s">
        <v>885</v>
      </c>
      <c r="Y220" t="s">
        <v>492</v>
      </c>
      <c r="Z220" t="s">
        <v>129</v>
      </c>
      <c r="AA220" t="s">
        <v>35</v>
      </c>
    </row>
    <row r="221" spans="1:27" x14ac:dyDescent="0.25">
      <c r="A221" t="s">
        <v>890</v>
      </c>
      <c r="B221">
        <v>164250</v>
      </c>
      <c r="C221">
        <v>4</v>
      </c>
      <c r="D221" t="s">
        <v>891</v>
      </c>
      <c r="E221" t="s">
        <v>29</v>
      </c>
      <c r="F221" t="s">
        <v>38</v>
      </c>
      <c r="G221" s="3">
        <v>2990</v>
      </c>
      <c r="H221" s="2">
        <v>42459</v>
      </c>
      <c r="J221" s="2">
        <v>42458</v>
      </c>
      <c r="K221" s="2"/>
      <c r="L221" t="s">
        <v>31</v>
      </c>
      <c r="M221" s="2">
        <v>50</v>
      </c>
      <c r="N221">
        <v>164250</v>
      </c>
      <c r="P221">
        <v>0</v>
      </c>
      <c r="Q221">
        <v>60</v>
      </c>
      <c r="R221" s="3">
        <v>2990.13</v>
      </c>
      <c r="S221">
        <v>60</v>
      </c>
      <c r="T221" s="3">
        <v>2990</v>
      </c>
      <c r="U221" s="3">
        <v>58</v>
      </c>
      <c r="V221" s="2">
        <v>42458</v>
      </c>
      <c r="W221" s="2">
        <v>42467</v>
      </c>
      <c r="X221" t="s">
        <v>892</v>
      </c>
      <c r="Y221" t="s">
        <v>48</v>
      </c>
      <c r="Z221" t="s">
        <v>34</v>
      </c>
      <c r="AA221" t="s">
        <v>35</v>
      </c>
    </row>
    <row r="222" spans="1:27" x14ac:dyDescent="0.25">
      <c r="A222" t="s">
        <v>893</v>
      </c>
      <c r="C222">
        <v>3</v>
      </c>
      <c r="D222" t="s">
        <v>894</v>
      </c>
      <c r="E222" t="s">
        <v>58</v>
      </c>
      <c r="F222" t="s">
        <v>59</v>
      </c>
      <c r="G222" s="3">
        <v>2675</v>
      </c>
      <c r="H222" s="2">
        <v>42461</v>
      </c>
      <c r="I222" s="2">
        <v>42461</v>
      </c>
      <c r="J222" s="2">
        <v>42461</v>
      </c>
      <c r="K222" s="2">
        <v>42463</v>
      </c>
      <c r="L222" t="s">
        <v>31</v>
      </c>
      <c r="M222">
        <v>80</v>
      </c>
      <c r="P222">
        <v>0</v>
      </c>
      <c r="Q222">
        <v>32</v>
      </c>
      <c r="R222" s="3">
        <v>2672.43</v>
      </c>
      <c r="S222">
        <v>0</v>
      </c>
      <c r="T222">
        <v>0</v>
      </c>
      <c r="U222">
        <v>0</v>
      </c>
      <c r="X222" t="s">
        <v>100</v>
      </c>
      <c r="Y222" t="s">
        <v>227</v>
      </c>
      <c r="Z222" t="s">
        <v>228</v>
      </c>
      <c r="AA222" t="s">
        <v>35</v>
      </c>
    </row>
    <row r="223" spans="1:27" x14ac:dyDescent="0.25">
      <c r="A223" t="s">
        <v>897</v>
      </c>
      <c r="C223">
        <v>3</v>
      </c>
      <c r="D223" t="s">
        <v>898</v>
      </c>
      <c r="E223" t="s">
        <v>29</v>
      </c>
      <c r="F223" t="s">
        <v>30</v>
      </c>
      <c r="G223" s="3">
        <v>6230</v>
      </c>
      <c r="H223" s="2">
        <v>42461</v>
      </c>
      <c r="I223" s="2">
        <v>42468</v>
      </c>
      <c r="J223" s="2">
        <v>42464</v>
      </c>
      <c r="K223" s="2">
        <v>42491</v>
      </c>
      <c r="L223" t="s">
        <v>31</v>
      </c>
      <c r="M223">
        <v>30</v>
      </c>
      <c r="P223">
        <v>0</v>
      </c>
      <c r="Q223">
        <v>92</v>
      </c>
      <c r="R223" s="3">
        <v>6228.14</v>
      </c>
      <c r="S223">
        <v>0</v>
      </c>
      <c r="T223">
        <v>0</v>
      </c>
      <c r="U223">
        <v>0</v>
      </c>
      <c r="X223" t="s">
        <v>1062</v>
      </c>
      <c r="Y223" t="s">
        <v>163</v>
      </c>
      <c r="Z223" t="s">
        <v>34</v>
      </c>
      <c r="AA223" t="s">
        <v>35</v>
      </c>
    </row>
    <row r="224" spans="1:27" x14ac:dyDescent="0.25">
      <c r="A224" t="s">
        <v>899</v>
      </c>
      <c r="B224">
        <v>160631</v>
      </c>
      <c r="C224">
        <v>3</v>
      </c>
      <c r="D224" t="s">
        <v>900</v>
      </c>
      <c r="E224" t="s">
        <v>58</v>
      </c>
      <c r="F224" t="s">
        <v>59</v>
      </c>
      <c r="G224" s="3">
        <v>2350</v>
      </c>
      <c r="H224" s="2">
        <v>42461</v>
      </c>
      <c r="I224" s="2">
        <v>42468</v>
      </c>
      <c r="J224" s="2">
        <v>42461</v>
      </c>
      <c r="K224" s="2">
        <v>42506</v>
      </c>
      <c r="L224" t="s">
        <v>31</v>
      </c>
      <c r="M224">
        <v>50</v>
      </c>
      <c r="N224">
        <v>160631</v>
      </c>
      <c r="P224">
        <v>0</v>
      </c>
      <c r="Q224">
        <v>0</v>
      </c>
      <c r="R224">
        <v>0</v>
      </c>
      <c r="S224">
        <v>1</v>
      </c>
      <c r="T224" s="3">
        <v>2350</v>
      </c>
      <c r="U224">
        <v>0</v>
      </c>
      <c r="X224" t="s">
        <v>100</v>
      </c>
      <c r="Y224" t="s">
        <v>901</v>
      </c>
      <c r="Z224" t="s">
        <v>202</v>
      </c>
      <c r="AA224" t="s">
        <v>35</v>
      </c>
    </row>
    <row r="225" spans="1:27" x14ac:dyDescent="0.25">
      <c r="A225" t="s">
        <v>902</v>
      </c>
      <c r="B225">
        <v>160627</v>
      </c>
      <c r="C225">
        <v>4</v>
      </c>
      <c r="D225" t="s">
        <v>903</v>
      </c>
      <c r="E225" t="s">
        <v>58</v>
      </c>
      <c r="F225" t="s">
        <v>59</v>
      </c>
      <c r="G225" s="3">
        <v>750</v>
      </c>
      <c r="H225" s="2">
        <v>42461</v>
      </c>
      <c r="I225" s="2">
        <v>42468</v>
      </c>
      <c r="J225" s="2">
        <v>42461</v>
      </c>
      <c r="K225" s="2">
        <v>42506</v>
      </c>
      <c r="L225" t="s">
        <v>31</v>
      </c>
      <c r="M225">
        <v>50</v>
      </c>
      <c r="N225">
        <v>160627</v>
      </c>
      <c r="P225">
        <v>0</v>
      </c>
      <c r="Q225">
        <v>0</v>
      </c>
      <c r="R225">
        <v>0</v>
      </c>
      <c r="S225">
        <v>1</v>
      </c>
      <c r="T225">
        <v>750</v>
      </c>
      <c r="U225">
        <v>1.5</v>
      </c>
      <c r="X225" t="s">
        <v>100</v>
      </c>
      <c r="Y225" t="s">
        <v>901</v>
      </c>
      <c r="Z225" t="s">
        <v>202</v>
      </c>
      <c r="AA225" t="s">
        <v>35</v>
      </c>
    </row>
    <row r="226" spans="1:27" x14ac:dyDescent="0.25">
      <c r="A226" t="s">
        <v>1075</v>
      </c>
      <c r="B226">
        <v>160269</v>
      </c>
      <c r="C226">
        <v>4</v>
      </c>
      <c r="D226" t="s">
        <v>1076</v>
      </c>
      <c r="E226" t="s">
        <v>29</v>
      </c>
      <c r="F226" t="s">
        <v>30</v>
      </c>
      <c r="G226" s="3">
        <v>1460</v>
      </c>
      <c r="H226" s="2">
        <v>42465</v>
      </c>
      <c r="I226" s="2">
        <v>42465</v>
      </c>
      <c r="J226" s="2">
        <v>42465</v>
      </c>
      <c r="K226" s="2">
        <v>42467</v>
      </c>
      <c r="L226" t="s">
        <v>31</v>
      </c>
      <c r="M226">
        <v>100</v>
      </c>
      <c r="N226">
        <v>160269</v>
      </c>
      <c r="P226">
        <v>0</v>
      </c>
      <c r="Q226">
        <v>24</v>
      </c>
      <c r="R226" s="3">
        <v>1463.68</v>
      </c>
      <c r="S226">
        <v>24</v>
      </c>
      <c r="T226" s="3">
        <v>1460</v>
      </c>
      <c r="U226">
        <v>24</v>
      </c>
      <c r="V226" s="2">
        <v>42467</v>
      </c>
      <c r="W226" s="2">
        <v>42467</v>
      </c>
      <c r="X226" t="s">
        <v>32</v>
      </c>
      <c r="Y226" t="s">
        <v>33</v>
      </c>
      <c r="Z226" t="s">
        <v>34</v>
      </c>
      <c r="AA226" t="s">
        <v>35</v>
      </c>
    </row>
    <row r="227" spans="1:27" x14ac:dyDescent="0.25">
      <c r="A227" t="s">
        <v>1077</v>
      </c>
      <c r="C227">
        <v>3</v>
      </c>
      <c r="D227" t="s">
        <v>1078</v>
      </c>
      <c r="E227" t="s">
        <v>65</v>
      </c>
      <c r="F227" t="s">
        <v>30</v>
      </c>
      <c r="G227" s="3">
        <v>3870</v>
      </c>
      <c r="H227" s="2">
        <v>42465</v>
      </c>
      <c r="I227" s="2">
        <v>42468</v>
      </c>
      <c r="J227" s="2">
        <v>42466</v>
      </c>
      <c r="K227" s="2">
        <v>42475</v>
      </c>
      <c r="L227" t="s">
        <v>31</v>
      </c>
      <c r="M227">
        <v>50</v>
      </c>
      <c r="P227">
        <v>0</v>
      </c>
      <c r="Q227">
        <v>16</v>
      </c>
      <c r="R227" s="3">
        <v>3872.11</v>
      </c>
      <c r="S227">
        <v>0</v>
      </c>
      <c r="T227">
        <v>0</v>
      </c>
      <c r="U227">
        <v>0</v>
      </c>
      <c r="X227" t="s">
        <v>32</v>
      </c>
      <c r="Y227" t="s">
        <v>265</v>
      </c>
      <c r="Z227" t="s">
        <v>266</v>
      </c>
      <c r="AA227" t="s">
        <v>35</v>
      </c>
    </row>
    <row r="228" spans="1:27" x14ac:dyDescent="0.25">
      <c r="A228" t="s">
        <v>1079</v>
      </c>
      <c r="C228">
        <v>3</v>
      </c>
      <c r="D228" t="s">
        <v>1080</v>
      </c>
      <c r="E228" t="s">
        <v>58</v>
      </c>
      <c r="F228" t="s">
        <v>59</v>
      </c>
      <c r="G228" s="3">
        <v>21880</v>
      </c>
      <c r="H228" s="2">
        <v>42465</v>
      </c>
      <c r="I228" s="2">
        <v>42473</v>
      </c>
      <c r="J228" s="2">
        <v>42467</v>
      </c>
      <c r="K228" s="2">
        <v>42478</v>
      </c>
      <c r="L228" t="s">
        <v>31</v>
      </c>
      <c r="M228">
        <v>55</v>
      </c>
      <c r="P228">
        <v>0</v>
      </c>
      <c r="Q228">
        <v>64</v>
      </c>
      <c r="R228" s="3">
        <v>21875.91</v>
      </c>
      <c r="S228">
        <v>0</v>
      </c>
      <c r="T228">
        <v>0</v>
      </c>
      <c r="U228">
        <v>0</v>
      </c>
      <c r="X228" t="s">
        <v>100</v>
      </c>
      <c r="Y228" t="s">
        <v>1081</v>
      </c>
      <c r="Z228" t="s">
        <v>202</v>
      </c>
      <c r="AA228" t="s">
        <v>35</v>
      </c>
    </row>
    <row r="229" spans="1:27" x14ac:dyDescent="0.25">
      <c r="A229" t="s">
        <v>1082</v>
      </c>
      <c r="C229">
        <v>3</v>
      </c>
      <c r="D229" t="s">
        <v>1083</v>
      </c>
      <c r="E229" t="s">
        <v>58</v>
      </c>
      <c r="F229" t="s">
        <v>30</v>
      </c>
      <c r="G229" s="3">
        <v>69000</v>
      </c>
      <c r="H229" s="2">
        <v>42466</v>
      </c>
      <c r="I229" s="2">
        <v>42478</v>
      </c>
      <c r="J229" s="2">
        <v>42480</v>
      </c>
      <c r="K229" s="2">
        <v>42491</v>
      </c>
      <c r="L229" t="s">
        <v>31</v>
      </c>
      <c r="M229">
        <v>25</v>
      </c>
      <c r="P229">
        <v>0</v>
      </c>
      <c r="Q229" s="3">
        <v>1018</v>
      </c>
      <c r="R229" s="3">
        <v>69898.8</v>
      </c>
      <c r="S229">
        <v>0</v>
      </c>
      <c r="T229">
        <v>0</v>
      </c>
      <c r="U229">
        <v>0</v>
      </c>
      <c r="X229" t="s">
        <v>1084</v>
      </c>
      <c r="Y229" t="s">
        <v>1085</v>
      </c>
      <c r="Z229" t="s">
        <v>1086</v>
      </c>
      <c r="AA229" t="s">
        <v>35</v>
      </c>
    </row>
    <row r="230" spans="1:27" x14ac:dyDescent="0.25">
      <c r="A230" t="s">
        <v>1087</v>
      </c>
      <c r="C230">
        <v>3</v>
      </c>
      <c r="D230" t="s">
        <v>1088</v>
      </c>
      <c r="E230" t="s">
        <v>29</v>
      </c>
      <c r="F230" t="s">
        <v>38</v>
      </c>
      <c r="G230" s="3">
        <v>1850</v>
      </c>
      <c r="H230" s="2">
        <v>42466</v>
      </c>
      <c r="J230" s="2">
        <v>42465</v>
      </c>
      <c r="L230" t="s">
        <v>31</v>
      </c>
      <c r="M230">
        <v>50</v>
      </c>
      <c r="P230">
        <v>0</v>
      </c>
      <c r="Q230">
        <v>34</v>
      </c>
      <c r="R230" s="3">
        <v>1850.18</v>
      </c>
      <c r="S230">
        <v>0</v>
      </c>
      <c r="T230">
        <v>0</v>
      </c>
      <c r="U230">
        <v>0</v>
      </c>
      <c r="X230" t="s">
        <v>1089</v>
      </c>
      <c r="Y230" t="s">
        <v>163</v>
      </c>
      <c r="Z230" t="s">
        <v>34</v>
      </c>
      <c r="AA230" t="s">
        <v>35</v>
      </c>
    </row>
    <row r="231" spans="1:27" x14ac:dyDescent="0.25">
      <c r="A231" t="s">
        <v>1090</v>
      </c>
      <c r="C231">
        <v>3</v>
      </c>
      <c r="D231" t="s">
        <v>1091</v>
      </c>
      <c r="E231" t="s">
        <v>29</v>
      </c>
      <c r="F231" t="s">
        <v>38</v>
      </c>
      <c r="G231" s="3">
        <v>4055</v>
      </c>
      <c r="H231" s="2">
        <v>42466</v>
      </c>
      <c r="J231" s="2">
        <v>42465</v>
      </c>
      <c r="L231" t="s">
        <v>31</v>
      </c>
      <c r="M231">
        <v>50</v>
      </c>
      <c r="P231">
        <v>0</v>
      </c>
      <c r="Q231">
        <v>82</v>
      </c>
      <c r="R231" s="3">
        <v>4055.37</v>
      </c>
      <c r="S231">
        <v>0</v>
      </c>
      <c r="T231">
        <v>0</v>
      </c>
      <c r="U231">
        <v>0</v>
      </c>
      <c r="X231" t="s">
        <v>1092</v>
      </c>
      <c r="Y231" t="s">
        <v>1093</v>
      </c>
      <c r="Z231" t="s">
        <v>34</v>
      </c>
      <c r="AA231" t="s">
        <v>35</v>
      </c>
    </row>
    <row r="232" spans="1:27" x14ac:dyDescent="0.25">
      <c r="A232" t="s">
        <v>1094</v>
      </c>
      <c r="C232">
        <v>3</v>
      </c>
      <c r="D232" t="s">
        <v>1095</v>
      </c>
      <c r="E232" t="s">
        <v>29</v>
      </c>
      <c r="F232" t="s">
        <v>38</v>
      </c>
      <c r="G232" s="3">
        <v>5350</v>
      </c>
      <c r="H232" s="2">
        <v>42466</v>
      </c>
      <c r="J232" s="2">
        <v>42465</v>
      </c>
      <c r="L232" t="s">
        <v>31</v>
      </c>
      <c r="M232">
        <v>50</v>
      </c>
      <c r="P232">
        <v>0</v>
      </c>
      <c r="Q232">
        <v>104</v>
      </c>
      <c r="R232" s="3">
        <v>5350.94</v>
      </c>
      <c r="S232">
        <v>0</v>
      </c>
      <c r="T232">
        <v>0</v>
      </c>
      <c r="U232">
        <v>0</v>
      </c>
      <c r="X232" t="s">
        <v>1096</v>
      </c>
      <c r="Y232" t="s">
        <v>1097</v>
      </c>
      <c r="Z232" t="s">
        <v>34</v>
      </c>
      <c r="AA232" t="s">
        <v>35</v>
      </c>
    </row>
    <row r="233" spans="1:27" x14ac:dyDescent="0.25">
      <c r="A233" t="s">
        <v>1098</v>
      </c>
      <c r="C233">
        <v>3</v>
      </c>
      <c r="D233" t="s">
        <v>1099</v>
      </c>
      <c r="E233" t="s">
        <v>29</v>
      </c>
      <c r="F233" t="s">
        <v>38</v>
      </c>
      <c r="G233" s="3">
        <v>7400</v>
      </c>
      <c r="H233" s="2">
        <v>42466</v>
      </c>
      <c r="J233" s="2">
        <v>42465</v>
      </c>
      <c r="L233" t="s">
        <v>31</v>
      </c>
      <c r="M233">
        <v>50</v>
      </c>
      <c r="P233">
        <v>0</v>
      </c>
      <c r="Q233">
        <v>80</v>
      </c>
      <c r="R233" s="3">
        <v>7400.67</v>
      </c>
      <c r="S233">
        <v>0</v>
      </c>
      <c r="T233">
        <v>0</v>
      </c>
      <c r="U233">
        <v>0</v>
      </c>
      <c r="X233" t="s">
        <v>1100</v>
      </c>
      <c r="Y233" t="s">
        <v>1097</v>
      </c>
      <c r="Z233" t="s">
        <v>34</v>
      </c>
      <c r="AA233" t="s">
        <v>35</v>
      </c>
    </row>
    <row r="234" spans="1:27" x14ac:dyDescent="0.25">
      <c r="A234" t="s">
        <v>1103</v>
      </c>
      <c r="C234">
        <v>3</v>
      </c>
      <c r="D234" t="s">
        <v>1104</v>
      </c>
      <c r="E234" t="s">
        <v>58</v>
      </c>
      <c r="F234" t="s">
        <v>30</v>
      </c>
      <c r="G234" s="3">
        <v>4190</v>
      </c>
      <c r="H234" s="2">
        <v>42467</v>
      </c>
      <c r="I234" s="2">
        <v>42472</v>
      </c>
      <c r="J234" s="2">
        <v>42471</v>
      </c>
      <c r="L234" t="s">
        <v>31</v>
      </c>
      <c r="M234">
        <v>0</v>
      </c>
      <c r="P234">
        <v>0</v>
      </c>
      <c r="Q234">
        <v>56</v>
      </c>
      <c r="R234" s="3">
        <v>4192.92</v>
      </c>
      <c r="S234">
        <v>0</v>
      </c>
      <c r="T234">
        <v>0</v>
      </c>
      <c r="U234">
        <v>0</v>
      </c>
      <c r="X234">
        <v>6000467432</v>
      </c>
      <c r="Y234" t="s">
        <v>483</v>
      </c>
      <c r="Z234" t="s">
        <v>202</v>
      </c>
      <c r="AA234" t="s">
        <v>35</v>
      </c>
    </row>
    <row r="235" spans="1:27" x14ac:dyDescent="0.25">
      <c r="A235" t="s">
        <v>1105</v>
      </c>
      <c r="C235">
        <v>3</v>
      </c>
      <c r="D235" t="s">
        <v>1106</v>
      </c>
      <c r="E235" t="s">
        <v>58</v>
      </c>
      <c r="F235" t="s">
        <v>59</v>
      </c>
      <c r="G235" s="3">
        <v>2930</v>
      </c>
      <c r="H235" s="2">
        <v>42467</v>
      </c>
      <c r="I235" s="2">
        <v>42475</v>
      </c>
      <c r="J235" s="2">
        <v>42468</v>
      </c>
      <c r="L235" t="s">
        <v>31</v>
      </c>
      <c r="M235">
        <v>40</v>
      </c>
      <c r="P235">
        <v>0</v>
      </c>
      <c r="Q235">
        <v>16</v>
      </c>
      <c r="R235" s="3">
        <v>2928.76</v>
      </c>
      <c r="S235">
        <v>0</v>
      </c>
      <c r="T235">
        <v>0</v>
      </c>
      <c r="U235">
        <v>0</v>
      </c>
      <c r="X235" t="s">
        <v>100</v>
      </c>
      <c r="Y235" t="s">
        <v>625</v>
      </c>
      <c r="Z235" t="s">
        <v>411</v>
      </c>
      <c r="AA235" t="s">
        <v>35</v>
      </c>
    </row>
    <row r="236" spans="1:27" x14ac:dyDescent="0.25">
      <c r="A236" t="s">
        <v>1107</v>
      </c>
      <c r="C236">
        <v>3</v>
      </c>
      <c r="D236" t="s">
        <v>1131</v>
      </c>
      <c r="E236" t="s">
        <v>29</v>
      </c>
      <c r="F236" t="s">
        <v>38</v>
      </c>
      <c r="G236" s="3">
        <v>1960</v>
      </c>
      <c r="H236" s="2">
        <v>42467</v>
      </c>
      <c r="J236" s="2">
        <v>42467</v>
      </c>
      <c r="L236" t="s">
        <v>31</v>
      </c>
      <c r="M236">
        <v>50</v>
      </c>
      <c r="P236">
        <v>0</v>
      </c>
      <c r="Q236">
        <v>36</v>
      </c>
      <c r="R236" s="3">
        <v>1960.96</v>
      </c>
      <c r="S236">
        <v>0</v>
      </c>
      <c r="T236">
        <v>0</v>
      </c>
      <c r="U236">
        <v>0</v>
      </c>
      <c r="X236" t="s">
        <v>1108</v>
      </c>
      <c r="Y236" t="s">
        <v>512</v>
      </c>
      <c r="Z236" t="s">
        <v>34</v>
      </c>
      <c r="AA236" t="s">
        <v>35</v>
      </c>
    </row>
    <row r="237" spans="1:27" x14ac:dyDescent="0.25">
      <c r="A237" t="s">
        <v>1109</v>
      </c>
      <c r="C237">
        <v>3</v>
      </c>
      <c r="D237" t="s">
        <v>1132</v>
      </c>
      <c r="E237" t="s">
        <v>29</v>
      </c>
      <c r="F237" t="s">
        <v>38</v>
      </c>
      <c r="G237" s="3">
        <v>3555</v>
      </c>
      <c r="H237" s="2">
        <v>42467</v>
      </c>
      <c r="J237" s="2">
        <v>42467</v>
      </c>
      <c r="L237" t="s">
        <v>31</v>
      </c>
      <c r="M237">
        <v>50</v>
      </c>
      <c r="P237">
        <v>0</v>
      </c>
      <c r="Q237">
        <v>74</v>
      </c>
      <c r="R237" s="3">
        <v>3555.02</v>
      </c>
      <c r="S237">
        <v>0</v>
      </c>
      <c r="T237">
        <v>0</v>
      </c>
      <c r="U237">
        <v>0</v>
      </c>
      <c r="X237" t="s">
        <v>1110</v>
      </c>
      <c r="Y237" t="s">
        <v>1111</v>
      </c>
      <c r="Z237" t="s">
        <v>34</v>
      </c>
      <c r="AA237" t="s">
        <v>35</v>
      </c>
    </row>
    <row r="238" spans="1:27" x14ac:dyDescent="0.25">
      <c r="A238" t="s">
        <v>1112</v>
      </c>
      <c r="B238">
        <v>160629</v>
      </c>
      <c r="C238">
        <v>4</v>
      </c>
      <c r="D238" t="s">
        <v>1113</v>
      </c>
      <c r="E238" t="s">
        <v>58</v>
      </c>
      <c r="F238" t="s">
        <v>59</v>
      </c>
      <c r="G238" s="3">
        <v>4755</v>
      </c>
      <c r="H238" s="2">
        <v>42468</v>
      </c>
      <c r="I238" s="2">
        <v>42475</v>
      </c>
      <c r="J238" s="2">
        <v>42471</v>
      </c>
      <c r="L238" t="s">
        <v>31</v>
      </c>
      <c r="M238">
        <v>50</v>
      </c>
      <c r="N238">
        <v>160629</v>
      </c>
      <c r="P238">
        <v>0</v>
      </c>
      <c r="Q238">
        <v>0</v>
      </c>
      <c r="R238">
        <v>0</v>
      </c>
      <c r="S238">
        <v>1</v>
      </c>
      <c r="T238" s="3">
        <v>4755</v>
      </c>
      <c r="U238">
        <v>2.5</v>
      </c>
      <c r="X238" t="s">
        <v>100</v>
      </c>
      <c r="Y238" t="s">
        <v>471</v>
      </c>
      <c r="Z238" t="s">
        <v>472</v>
      </c>
      <c r="AA238" t="s">
        <v>35</v>
      </c>
    </row>
    <row r="239" spans="1:27" x14ac:dyDescent="0.25">
      <c r="A239" t="s">
        <v>1140</v>
      </c>
      <c r="B239">
        <v>160270</v>
      </c>
      <c r="C239">
        <v>4</v>
      </c>
      <c r="D239" t="s">
        <v>1141</v>
      </c>
      <c r="E239" t="s">
        <v>29</v>
      </c>
      <c r="F239" t="s">
        <v>30</v>
      </c>
      <c r="G239">
        <v>800</v>
      </c>
      <c r="H239" s="2">
        <v>42472</v>
      </c>
      <c r="I239" s="2">
        <v>42472</v>
      </c>
      <c r="J239" s="2">
        <v>42473</v>
      </c>
      <c r="K239" s="2">
        <v>42490</v>
      </c>
      <c r="L239" t="s">
        <v>31</v>
      </c>
      <c r="M239">
        <v>30</v>
      </c>
      <c r="N239">
        <v>160270</v>
      </c>
      <c r="P239">
        <v>0</v>
      </c>
      <c r="Q239">
        <v>12</v>
      </c>
      <c r="R239">
        <v>798.84</v>
      </c>
      <c r="S239">
        <v>12</v>
      </c>
      <c r="T239">
        <v>800</v>
      </c>
      <c r="U239">
        <v>0</v>
      </c>
      <c r="X239" t="s">
        <v>1142</v>
      </c>
      <c r="Y239" t="s">
        <v>140</v>
      </c>
      <c r="Z239" t="s">
        <v>34</v>
      </c>
      <c r="AA239" t="s">
        <v>35</v>
      </c>
    </row>
    <row r="240" spans="1:27" x14ac:dyDescent="0.25">
      <c r="A240" t="s">
        <v>1143</v>
      </c>
      <c r="B240">
        <v>160272</v>
      </c>
      <c r="C240">
        <v>4</v>
      </c>
      <c r="D240" t="s">
        <v>1144</v>
      </c>
      <c r="E240" t="s">
        <v>29</v>
      </c>
      <c r="F240" t="s">
        <v>30</v>
      </c>
      <c r="G240">
        <v>795</v>
      </c>
      <c r="H240" s="2">
        <v>42472</v>
      </c>
      <c r="I240" s="2">
        <v>42472</v>
      </c>
      <c r="J240" s="2">
        <v>42473</v>
      </c>
      <c r="K240" s="2">
        <v>42489</v>
      </c>
      <c r="L240" t="s">
        <v>31</v>
      </c>
      <c r="M240">
        <v>100</v>
      </c>
      <c r="N240">
        <v>160272</v>
      </c>
      <c r="P240">
        <v>0</v>
      </c>
      <c r="Q240">
        <v>16</v>
      </c>
      <c r="R240">
        <v>795.25</v>
      </c>
      <c r="S240">
        <v>16</v>
      </c>
      <c r="T240">
        <v>795</v>
      </c>
      <c r="U240">
        <v>16</v>
      </c>
      <c r="V240" s="2">
        <v>42471</v>
      </c>
      <c r="W240" s="2">
        <v>42471</v>
      </c>
      <c r="X240" t="s">
        <v>32</v>
      </c>
      <c r="Y240" t="s">
        <v>33</v>
      </c>
      <c r="Z240" t="s">
        <v>34</v>
      </c>
      <c r="AA240" t="s">
        <v>35</v>
      </c>
    </row>
    <row r="241" spans="1:27" x14ac:dyDescent="0.25">
      <c r="A241" t="s">
        <v>1145</v>
      </c>
      <c r="B241">
        <v>160271</v>
      </c>
      <c r="C241">
        <v>4</v>
      </c>
      <c r="D241" t="s">
        <v>1146</v>
      </c>
      <c r="E241" t="s">
        <v>29</v>
      </c>
      <c r="F241" t="s">
        <v>30</v>
      </c>
      <c r="G241" s="3">
        <v>3560</v>
      </c>
      <c r="H241" s="2">
        <v>42472</v>
      </c>
      <c r="I241" s="2">
        <v>42473</v>
      </c>
      <c r="J241" s="2">
        <v>42473</v>
      </c>
      <c r="K241" s="2">
        <v>42478</v>
      </c>
      <c r="L241" t="s">
        <v>31</v>
      </c>
      <c r="M241">
        <v>50</v>
      </c>
      <c r="N241">
        <v>160271</v>
      </c>
      <c r="P241">
        <v>0</v>
      </c>
      <c r="Q241">
        <v>50</v>
      </c>
      <c r="R241" s="3">
        <v>3561.93</v>
      </c>
      <c r="S241">
        <v>50</v>
      </c>
      <c r="T241" s="3">
        <v>3560</v>
      </c>
      <c r="U241">
        <v>0</v>
      </c>
      <c r="X241" t="s">
        <v>32</v>
      </c>
      <c r="Y241" t="s">
        <v>140</v>
      </c>
      <c r="Z241" t="s">
        <v>34</v>
      </c>
      <c r="AA241" t="s">
        <v>35</v>
      </c>
    </row>
    <row r="242" spans="1:27" x14ac:dyDescent="0.25">
      <c r="A242" t="s">
        <v>1152</v>
      </c>
      <c r="C242">
        <v>3</v>
      </c>
      <c r="D242" t="s">
        <v>1153</v>
      </c>
      <c r="E242" t="s">
        <v>58</v>
      </c>
      <c r="F242" t="s">
        <v>59</v>
      </c>
      <c r="G242" s="3">
        <v>3293</v>
      </c>
      <c r="H242" s="2">
        <v>42473</v>
      </c>
      <c r="I242" s="2">
        <v>42475</v>
      </c>
      <c r="J242" s="2">
        <v>42473</v>
      </c>
      <c r="K242" s="2">
        <v>42485</v>
      </c>
      <c r="L242" t="s">
        <v>31</v>
      </c>
      <c r="M242">
        <v>60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X242" t="s">
        <v>100</v>
      </c>
      <c r="Y242" t="s">
        <v>337</v>
      </c>
      <c r="Z242" t="s">
        <v>202</v>
      </c>
      <c r="AA242" t="s">
        <v>35</v>
      </c>
    </row>
    <row r="243" spans="1:27" x14ac:dyDescent="0.25">
      <c r="A243" t="s">
        <v>1154</v>
      </c>
      <c r="C243">
        <v>3</v>
      </c>
      <c r="D243" t="s">
        <v>1155</v>
      </c>
      <c r="E243" t="s">
        <v>65</v>
      </c>
      <c r="F243" t="s">
        <v>80</v>
      </c>
      <c r="G243" s="3">
        <v>33500</v>
      </c>
      <c r="H243" s="2">
        <v>42473</v>
      </c>
      <c r="I243" s="2">
        <v>42479</v>
      </c>
      <c r="J243" s="2">
        <v>42482</v>
      </c>
      <c r="K243" s="2">
        <v>42552</v>
      </c>
      <c r="L243" t="s">
        <v>31</v>
      </c>
      <c r="M243">
        <v>25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  <c r="X243" t="s">
        <v>81</v>
      </c>
      <c r="Y243" t="s">
        <v>686</v>
      </c>
      <c r="Z243" t="s">
        <v>687</v>
      </c>
      <c r="AA243" t="s">
        <v>35</v>
      </c>
    </row>
    <row r="244" spans="1:27" x14ac:dyDescent="0.25">
      <c r="A244" t="s">
        <v>1156</v>
      </c>
      <c r="C244">
        <v>3</v>
      </c>
      <c r="D244" t="s">
        <v>1157</v>
      </c>
      <c r="E244" t="s">
        <v>58</v>
      </c>
      <c r="F244" t="s">
        <v>87</v>
      </c>
      <c r="G244">
        <v>0</v>
      </c>
      <c r="H244" s="2">
        <v>42473</v>
      </c>
      <c r="I244" s="2">
        <v>42473</v>
      </c>
      <c r="J244" s="2">
        <v>42473</v>
      </c>
      <c r="K244" s="2">
        <v>42474</v>
      </c>
      <c r="L244" t="s">
        <v>305</v>
      </c>
      <c r="M244">
        <v>80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X244" t="s">
        <v>316</v>
      </c>
      <c r="Y244" t="s">
        <v>1158</v>
      </c>
      <c r="Z244" t="s">
        <v>1124</v>
      </c>
      <c r="AA244" t="s">
        <v>35</v>
      </c>
    </row>
    <row r="245" spans="1:27" x14ac:dyDescent="0.25">
      <c r="A245" t="s">
        <v>1163</v>
      </c>
      <c r="B245">
        <v>160630</v>
      </c>
      <c r="C245">
        <v>4</v>
      </c>
      <c r="D245" t="s">
        <v>1164</v>
      </c>
      <c r="E245" t="s">
        <v>58</v>
      </c>
      <c r="F245" t="s">
        <v>30</v>
      </c>
      <c r="G245" s="3">
        <v>4050</v>
      </c>
      <c r="H245" s="2">
        <v>42474</v>
      </c>
      <c r="I245" s="2">
        <v>42480</v>
      </c>
      <c r="J245" s="2">
        <v>42474</v>
      </c>
      <c r="L245" t="s">
        <v>31</v>
      </c>
      <c r="M245">
        <v>0</v>
      </c>
      <c r="N245">
        <v>160630</v>
      </c>
      <c r="P245">
        <v>0</v>
      </c>
      <c r="Q245">
        <v>28</v>
      </c>
      <c r="R245" s="3">
        <v>4048.54</v>
      </c>
      <c r="S245">
        <v>28</v>
      </c>
      <c r="T245" s="3">
        <v>4055</v>
      </c>
      <c r="U245">
        <v>3</v>
      </c>
      <c r="X245" t="s">
        <v>1165</v>
      </c>
      <c r="Y245" t="s">
        <v>101</v>
      </c>
      <c r="Z245" t="s">
        <v>102</v>
      </c>
      <c r="AA245" t="s">
        <v>35</v>
      </c>
    </row>
    <row r="246" spans="1:27" x14ac:dyDescent="0.25">
      <c r="A246" t="s">
        <v>1166</v>
      </c>
      <c r="C246">
        <v>3</v>
      </c>
      <c r="D246" t="s">
        <v>1167</v>
      </c>
      <c r="E246" t="s">
        <v>29</v>
      </c>
      <c r="F246" t="s">
        <v>38</v>
      </c>
      <c r="G246" s="3">
        <v>12400</v>
      </c>
      <c r="H246" s="2">
        <v>42474</v>
      </c>
      <c r="J246" s="2">
        <v>42472</v>
      </c>
      <c r="L246" t="s">
        <v>31</v>
      </c>
      <c r="M246">
        <v>50</v>
      </c>
      <c r="P246">
        <v>0</v>
      </c>
      <c r="Q246">
        <v>84</v>
      </c>
      <c r="R246" s="3">
        <v>12400.77</v>
      </c>
      <c r="S246">
        <v>0</v>
      </c>
      <c r="T246">
        <v>0</v>
      </c>
      <c r="U246">
        <v>0</v>
      </c>
      <c r="X246" t="s">
        <v>1168</v>
      </c>
      <c r="Y246" t="s">
        <v>163</v>
      </c>
      <c r="Z246" t="s">
        <v>34</v>
      </c>
      <c r="AA246" t="s">
        <v>35</v>
      </c>
    </row>
    <row r="247" spans="1:27" x14ac:dyDescent="0.25">
      <c r="A247" t="s">
        <v>1169</v>
      </c>
      <c r="C247">
        <v>3</v>
      </c>
      <c r="D247" t="s">
        <v>1170</v>
      </c>
      <c r="E247" t="s">
        <v>58</v>
      </c>
      <c r="F247" t="s">
        <v>87</v>
      </c>
      <c r="G247">
        <v>0</v>
      </c>
      <c r="H247" s="2">
        <v>42474</v>
      </c>
      <c r="I247" s="2">
        <v>42475</v>
      </c>
      <c r="J247" s="2">
        <v>42473</v>
      </c>
      <c r="K247" s="2">
        <v>42478</v>
      </c>
      <c r="L247" t="s">
        <v>305</v>
      </c>
      <c r="M247">
        <v>0</v>
      </c>
      <c r="P247">
        <v>0</v>
      </c>
      <c r="Q247" s="3">
        <v>1000</v>
      </c>
      <c r="R247" s="3">
        <v>45972.36</v>
      </c>
      <c r="S247">
        <v>0</v>
      </c>
      <c r="T247">
        <v>0</v>
      </c>
      <c r="U247">
        <v>0</v>
      </c>
      <c r="X247" t="s">
        <v>105</v>
      </c>
      <c r="Y247" t="s">
        <v>1171</v>
      </c>
      <c r="Z247" t="s">
        <v>1172</v>
      </c>
      <c r="AA247" t="s">
        <v>35</v>
      </c>
    </row>
    <row r="248" spans="1:27" x14ac:dyDescent="0.25">
      <c r="A248" t="s">
        <v>1173</v>
      </c>
      <c r="C248">
        <v>3</v>
      </c>
      <c r="D248" t="s">
        <v>1174</v>
      </c>
      <c r="E248" t="s">
        <v>29</v>
      </c>
      <c r="F248" t="s">
        <v>138</v>
      </c>
      <c r="G248" s="3">
        <v>1895</v>
      </c>
      <c r="H248" s="2">
        <v>42478</v>
      </c>
      <c r="J248" s="2">
        <v>42474</v>
      </c>
      <c r="L248" t="s">
        <v>31</v>
      </c>
      <c r="M248">
        <v>50</v>
      </c>
      <c r="P248">
        <v>0</v>
      </c>
      <c r="Q248">
        <v>1</v>
      </c>
      <c r="R248" s="3">
        <v>1894.64</v>
      </c>
      <c r="S248">
        <v>0</v>
      </c>
      <c r="T248">
        <v>0</v>
      </c>
      <c r="U248">
        <v>0</v>
      </c>
      <c r="X248" t="s">
        <v>1175</v>
      </c>
      <c r="Y248" t="s">
        <v>155</v>
      </c>
      <c r="Z248" t="s">
        <v>34</v>
      </c>
      <c r="AA248" t="s">
        <v>35</v>
      </c>
    </row>
    <row r="249" spans="1:27" x14ac:dyDescent="0.25">
      <c r="A249" t="s">
        <v>1181</v>
      </c>
      <c r="C249">
        <v>3</v>
      </c>
      <c r="D249" t="s">
        <v>1182</v>
      </c>
      <c r="E249" t="s">
        <v>29</v>
      </c>
      <c r="F249" t="s">
        <v>38</v>
      </c>
      <c r="G249" s="3">
        <v>41350</v>
      </c>
      <c r="H249" s="2">
        <v>42478</v>
      </c>
      <c r="J249" s="2">
        <v>42479</v>
      </c>
      <c r="L249" t="s">
        <v>31</v>
      </c>
      <c r="M249">
        <v>50</v>
      </c>
      <c r="P249">
        <v>0</v>
      </c>
      <c r="Q249">
        <v>704</v>
      </c>
      <c r="R249" s="3">
        <v>41350.49</v>
      </c>
      <c r="S249">
        <v>0</v>
      </c>
      <c r="T249">
        <v>0</v>
      </c>
      <c r="U249">
        <v>0</v>
      </c>
      <c r="X249" t="s">
        <v>1183</v>
      </c>
      <c r="Y249" t="s">
        <v>163</v>
      </c>
      <c r="Z249" t="s">
        <v>34</v>
      </c>
      <c r="AA249" t="s">
        <v>35</v>
      </c>
    </row>
    <row r="250" spans="1:27" x14ac:dyDescent="0.25">
      <c r="A250" t="s">
        <v>1184</v>
      </c>
      <c r="B250">
        <v>161120</v>
      </c>
      <c r="C250">
        <v>4</v>
      </c>
      <c r="D250" t="s">
        <v>1185</v>
      </c>
      <c r="E250" t="s">
        <v>58</v>
      </c>
      <c r="F250" t="s">
        <v>87</v>
      </c>
      <c r="G250">
        <v>0</v>
      </c>
      <c r="H250" s="2">
        <v>42479</v>
      </c>
      <c r="I250" s="2">
        <v>42478</v>
      </c>
      <c r="J250" s="2">
        <v>42478</v>
      </c>
      <c r="K250" s="2">
        <v>42481</v>
      </c>
      <c r="L250" t="s">
        <v>305</v>
      </c>
      <c r="M250">
        <v>0</v>
      </c>
      <c r="N250">
        <v>161120</v>
      </c>
      <c r="P250">
        <v>0</v>
      </c>
      <c r="Q250">
        <v>16</v>
      </c>
      <c r="R250" s="3">
        <v>1158.42</v>
      </c>
      <c r="S250">
        <v>16</v>
      </c>
      <c r="T250">
        <v>0</v>
      </c>
      <c r="U250">
        <v>0</v>
      </c>
      <c r="X250" t="s">
        <v>1186</v>
      </c>
      <c r="Y250" t="s">
        <v>1187</v>
      </c>
      <c r="Z250" t="s">
        <v>1188</v>
      </c>
      <c r="AA250" t="s">
        <v>35</v>
      </c>
    </row>
    <row r="251" spans="1:27" x14ac:dyDescent="0.25">
      <c r="A251" t="s">
        <v>1189</v>
      </c>
      <c r="B251">
        <v>160632</v>
      </c>
      <c r="C251">
        <v>4</v>
      </c>
      <c r="D251" t="s">
        <v>1190</v>
      </c>
      <c r="E251" t="s">
        <v>58</v>
      </c>
      <c r="F251" t="s">
        <v>59</v>
      </c>
      <c r="G251" s="3">
        <v>4435</v>
      </c>
      <c r="H251" s="2">
        <v>42479</v>
      </c>
      <c r="I251" s="2">
        <v>42479</v>
      </c>
      <c r="J251" s="2">
        <v>42479</v>
      </c>
      <c r="K251" s="2">
        <v>42479</v>
      </c>
      <c r="L251" t="s">
        <v>31</v>
      </c>
      <c r="M251">
        <v>0</v>
      </c>
      <c r="N251">
        <v>160632</v>
      </c>
      <c r="P251">
        <v>0</v>
      </c>
      <c r="Q251">
        <v>0</v>
      </c>
      <c r="R251">
        <v>0</v>
      </c>
      <c r="S251">
        <v>40</v>
      </c>
      <c r="T251" s="3">
        <v>4435</v>
      </c>
      <c r="U251">
        <v>0</v>
      </c>
      <c r="X251" t="s">
        <v>100</v>
      </c>
      <c r="Y251" t="s">
        <v>471</v>
      </c>
      <c r="Z251" t="s">
        <v>472</v>
      </c>
      <c r="AA251" t="s">
        <v>35</v>
      </c>
    </row>
  </sheetData>
  <autoFilter ref="A1:AD25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Navision</vt:lpstr>
      <vt:lpstr>Statut offre</vt:lpstr>
      <vt:lpstr>OP envoyée</vt:lpstr>
      <vt:lpstr>Stat- OP ENVOYEE</vt:lpstr>
      <vt:lpstr>OP envoyées ss retard</vt:lpstr>
      <vt:lpstr>Délai réalisation</vt:lpstr>
      <vt:lpstr>offre secrétariat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</dc:creator>
  <cp:lastModifiedBy>Delphine</cp:lastModifiedBy>
  <dcterms:created xsi:type="dcterms:W3CDTF">2016-04-03T21:00:49Z</dcterms:created>
  <dcterms:modified xsi:type="dcterms:W3CDTF">2016-04-24T15:53:05Z</dcterms:modified>
</cp:coreProperties>
</file>