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TIS\Documents\"/>
    </mc:Choice>
  </mc:AlternateContent>
  <xr:revisionPtr revIDLastSave="0" documentId="8_{DFC20327-77C4-41ED-8F14-FD4F074BD12E}" xr6:coauthVersionLast="40" xr6:coauthVersionMax="40" xr10:uidLastSave="{00000000-0000-0000-0000-000000000000}"/>
  <bookViews>
    <workbookView xWindow="-120" yWindow="-120" windowWidth="29040" windowHeight="15840" xr2:uid="{D090171F-191E-4F07-BC55-05AA5E354621}"/>
  </bookViews>
  <sheets>
    <sheet name="Ration " sheetId="1" r:id="rId1"/>
  </sheets>
  <externalReferences>
    <externalReference r:id="rId2"/>
  </externalReferenc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7" i="1" l="1"/>
  <c r="AA8" i="1"/>
  <c r="I6" i="1" l="1"/>
  <c r="J6" i="1"/>
  <c r="N6" i="1"/>
  <c r="S6" i="1"/>
  <c r="T6" i="1"/>
  <c r="T11" i="1" s="1"/>
  <c r="I7" i="1"/>
  <c r="J7" i="1"/>
  <c r="O7" i="1" s="1"/>
  <c r="N7" i="1"/>
  <c r="S7" i="1"/>
  <c r="I8" i="1"/>
  <c r="AA17" i="1" s="1"/>
  <c r="J8" i="1"/>
  <c r="N8" i="1"/>
  <c r="S8" i="1"/>
  <c r="Y8" i="1"/>
  <c r="AB8" i="1"/>
  <c r="I9" i="1"/>
  <c r="N9" i="1"/>
  <c r="N15" i="1" s="1"/>
  <c r="S9" i="1"/>
  <c r="AB9" i="1"/>
  <c r="I10" i="1"/>
  <c r="J10" i="1"/>
  <c r="N10" i="1"/>
  <c r="S10" i="1"/>
  <c r="Y10" i="1"/>
  <c r="AB10" i="1"/>
  <c r="T10" i="1" s="1"/>
  <c r="T16" i="1" s="1"/>
  <c r="I11" i="1"/>
  <c r="N11" i="1"/>
  <c r="S11" i="1"/>
  <c r="AA11" i="1"/>
  <c r="AB11" i="1"/>
  <c r="I12" i="1"/>
  <c r="N12" i="1"/>
  <c r="S12" i="1"/>
  <c r="Y12" i="1"/>
  <c r="AB12" i="1"/>
  <c r="I13" i="1"/>
  <c r="J13" i="1"/>
  <c r="N13" i="1"/>
  <c r="S13" i="1"/>
  <c r="AB13" i="1"/>
  <c r="T13" i="1" s="1"/>
  <c r="T24" i="1" s="1"/>
  <c r="T35" i="1" s="1"/>
  <c r="J14" i="1"/>
  <c r="I14" i="1"/>
  <c r="N14" i="1"/>
  <c r="S14" i="1"/>
  <c r="AB14" i="1"/>
  <c r="T8" i="1" s="1"/>
  <c r="T19" i="1" s="1"/>
  <c r="T30" i="1" s="1"/>
  <c r="T41" i="1" s="1"/>
  <c r="I15" i="1"/>
  <c r="S15" i="1"/>
  <c r="Y15" i="1"/>
  <c r="AB15" i="1"/>
  <c r="I16" i="1"/>
  <c r="N16" i="1"/>
  <c r="O16" i="1"/>
  <c r="S16" i="1"/>
  <c r="AB16" i="1"/>
  <c r="AA15" i="1"/>
  <c r="I17" i="1"/>
  <c r="N17" i="1"/>
  <c r="S17" i="1"/>
  <c r="T17" i="1"/>
  <c r="AB17" i="1"/>
  <c r="I18" i="1"/>
  <c r="N18" i="1"/>
  <c r="S18" i="1"/>
  <c r="AB18" i="1"/>
  <c r="O13" i="1" s="1"/>
  <c r="O24" i="1" s="1"/>
  <c r="O35" i="1" s="1"/>
  <c r="AA13" i="1"/>
  <c r="I19" i="1"/>
  <c r="J19" i="1"/>
  <c r="N19" i="1"/>
  <c r="S19" i="1"/>
  <c r="AB19" i="1"/>
  <c r="O8" i="1" s="1"/>
  <c r="O19" i="1" s="1"/>
  <c r="O30" i="1" s="1"/>
  <c r="O41" i="1" s="1"/>
  <c r="J15" i="1"/>
  <c r="J20" i="1" s="1"/>
  <c r="I20" i="1"/>
  <c r="N20" i="1"/>
  <c r="S20" i="1"/>
  <c r="AB20" i="1"/>
  <c r="J11" i="1" s="1"/>
  <c r="I21" i="1"/>
  <c r="N21" i="1"/>
  <c r="O21" i="1"/>
  <c r="S21" i="1"/>
  <c r="AA21" i="1"/>
  <c r="V26" i="1" s="1"/>
  <c r="AB21" i="1"/>
  <c r="J16" i="1" s="1"/>
  <c r="I22" i="1"/>
  <c r="J22" i="1"/>
  <c r="O6" i="1" s="1"/>
  <c r="O11" i="1" s="1"/>
  <c r="O28" i="1" s="1"/>
  <c r="N22" i="1"/>
  <c r="S22" i="1"/>
  <c r="T22" i="1"/>
  <c r="Z22" i="1"/>
  <c r="AA22" i="1"/>
  <c r="AB22" i="1"/>
  <c r="I23" i="1"/>
  <c r="N23" i="1"/>
  <c r="S23" i="1"/>
  <c r="AA23" i="1"/>
  <c r="Z23" i="1" s="1"/>
  <c r="AB23" i="1"/>
  <c r="J9" i="1" s="1"/>
  <c r="I24" i="1"/>
  <c r="J24" i="1"/>
  <c r="N24" i="1"/>
  <c r="S24" i="1"/>
  <c r="AA24" i="1"/>
  <c r="AA25" i="1" s="1"/>
  <c r="AA28" i="1" s="1"/>
  <c r="AB24" i="1"/>
  <c r="I25" i="1"/>
  <c r="N25" i="1"/>
  <c r="S25" i="1"/>
  <c r="AB25" i="1"/>
  <c r="I26" i="1"/>
  <c r="J26" i="1"/>
  <c r="N26" i="1"/>
  <c r="S26" i="1"/>
  <c r="AA16" i="1"/>
  <c r="I27" i="1"/>
  <c r="J27" i="1"/>
  <c r="N27" i="1"/>
  <c r="O27" i="1"/>
  <c r="O32" i="1" s="1"/>
  <c r="S27" i="1"/>
  <c r="T27" i="1"/>
  <c r="T21" i="1" s="1"/>
  <c r="I28" i="1"/>
  <c r="J28" i="1"/>
  <c r="O17" i="1" s="1"/>
  <c r="O22" i="1" s="1"/>
  <c r="O33" i="1" s="1"/>
  <c r="N28" i="1"/>
  <c r="N33" i="1" s="1"/>
  <c r="S28" i="1"/>
  <c r="T28" i="1"/>
  <c r="I29" i="1"/>
  <c r="I34" i="1" s="1"/>
  <c r="N29" i="1"/>
  <c r="S29" i="1"/>
  <c r="S34" i="1" s="1"/>
  <c r="I30" i="1"/>
  <c r="J30" i="1"/>
  <c r="N30" i="1"/>
  <c r="N35" i="1" s="1"/>
  <c r="S30" i="1"/>
  <c r="I31" i="1"/>
  <c r="J31" i="1"/>
  <c r="N31" i="1"/>
  <c r="S31" i="1"/>
  <c r="I32" i="1"/>
  <c r="J32" i="1"/>
  <c r="N32" i="1"/>
  <c r="S32" i="1"/>
  <c r="T32" i="1"/>
  <c r="I33" i="1"/>
  <c r="S33" i="1"/>
  <c r="T33" i="1"/>
  <c r="N34" i="1"/>
  <c r="I35" i="1"/>
  <c r="J35" i="1"/>
  <c r="S35" i="1"/>
  <c r="I36" i="1"/>
  <c r="N36" i="1"/>
  <c r="S36" i="1"/>
  <c r="I37" i="1"/>
  <c r="J37" i="1"/>
  <c r="N37" i="1"/>
  <c r="O37" i="1"/>
  <c r="S37" i="1"/>
  <c r="AA9" i="1"/>
  <c r="I38" i="1"/>
  <c r="J38" i="1"/>
  <c r="N38" i="1"/>
  <c r="S38" i="1"/>
  <c r="T38" i="1"/>
  <c r="I39" i="1"/>
  <c r="N39" i="1"/>
  <c r="AA20" i="1" s="1"/>
  <c r="O39" i="1"/>
  <c r="S39" i="1"/>
  <c r="T39" i="1"/>
  <c r="I40" i="1"/>
  <c r="N40" i="1"/>
  <c r="S40" i="1"/>
  <c r="I41" i="1"/>
  <c r="J41" i="1"/>
  <c r="N41" i="1"/>
  <c r="S41" i="1"/>
  <c r="I42" i="1"/>
  <c r="J42" i="1"/>
  <c r="O9" i="1" s="1"/>
  <c r="O15" i="1" s="1"/>
  <c r="O20" i="1" s="1"/>
  <c r="O26" i="1" s="1"/>
  <c r="O31" i="1" s="1"/>
  <c r="N42" i="1"/>
  <c r="O42" i="1"/>
  <c r="T9" i="1" s="1"/>
  <c r="T15" i="1" s="1"/>
  <c r="T20" i="1" s="1"/>
  <c r="T26" i="1" s="1"/>
  <c r="T31" i="1" s="1"/>
  <c r="T37" i="1" s="1"/>
  <c r="T42" i="1" s="1"/>
  <c r="S42" i="1"/>
  <c r="AA10" i="1"/>
  <c r="I43" i="1"/>
  <c r="J43" i="1"/>
  <c r="O10" i="1" s="1"/>
  <c r="N43" i="1"/>
  <c r="S43" i="1"/>
  <c r="AA12" i="1" s="1"/>
  <c r="T43" i="1"/>
  <c r="J39" i="1" l="1"/>
  <c r="Z24" i="1"/>
  <c r="J33" i="1"/>
  <c r="Z10" i="1"/>
  <c r="W23" i="1"/>
  <c r="V8" i="1" s="1"/>
  <c r="V24" i="1"/>
  <c r="Z9" i="1"/>
  <c r="Z17" i="1"/>
  <c r="Z20" i="1"/>
  <c r="AA18" i="1"/>
  <c r="AA14" i="1"/>
  <c r="Z15" i="1"/>
  <c r="O14" i="1"/>
  <c r="J25" i="1"/>
  <c r="J36" i="1" s="1"/>
  <c r="V15" i="1"/>
  <c r="V25" i="1"/>
  <c r="Z16" i="1"/>
  <c r="J21" i="1"/>
  <c r="O38" i="1"/>
  <c r="O43" i="1" s="1"/>
  <c r="J17" i="1"/>
  <c r="Z13" i="1"/>
  <c r="O12" i="1"/>
  <c r="O18" i="1" s="1"/>
  <c r="O23" i="1" s="1"/>
  <c r="O29" i="1" s="1"/>
  <c r="O34" i="1" s="1"/>
  <c r="O40" i="1" s="1"/>
  <c r="T7" i="1"/>
  <c r="T12" i="1" s="1"/>
  <c r="T18" i="1" s="1"/>
  <c r="T23" i="1" s="1"/>
  <c r="T29" i="1" s="1"/>
  <c r="T34" i="1" s="1"/>
  <c r="T40" i="1" s="1"/>
  <c r="Z12" i="1"/>
  <c r="Z25" i="1"/>
  <c r="Z21" i="1"/>
  <c r="Z11" i="1"/>
  <c r="J12" i="1"/>
  <c r="J18" i="1" s="1"/>
  <c r="J23" i="1" s="1"/>
  <c r="J29" i="1" s="1"/>
  <c r="J34" i="1" s="1"/>
  <c r="J40" i="1" s="1"/>
  <c r="Z8" i="1"/>
  <c r="AA19" i="1"/>
  <c r="Z19" i="1" l="1"/>
  <c r="Z28" i="1"/>
  <c r="V18" i="1"/>
  <c r="Z18" i="1"/>
  <c r="T14" i="1"/>
  <c r="T25" i="1" s="1"/>
  <c r="T36" i="1" s="1"/>
  <c r="O25" i="1"/>
  <c r="O36" i="1" s="1"/>
  <c r="Z14" i="1"/>
  <c r="AA26" i="1"/>
  <c r="AD14" i="1" s="1"/>
  <c r="AD8" i="1" l="1"/>
  <c r="AD19" i="1"/>
  <c r="AD23" i="1"/>
  <c r="AD24" i="1"/>
  <c r="AA29" i="1"/>
  <c r="AD15" i="1"/>
  <c r="AD13" i="1"/>
  <c r="AD21" i="1"/>
  <c r="AD25" i="1"/>
  <c r="AD10" i="1"/>
  <c r="AD17" i="1"/>
  <c r="AD9" i="1"/>
  <c r="AD16" i="1"/>
  <c r="AD12" i="1"/>
  <c r="AD20" i="1"/>
  <c r="AD11" i="1"/>
  <c r="Z26" i="1"/>
  <c r="AC18" i="1" s="1"/>
  <c r="AD18" i="1"/>
  <c r="AC14" i="1" l="1"/>
  <c r="AE14" i="1" s="1"/>
  <c r="W15" i="1"/>
  <c r="W8" i="1"/>
  <c r="W18" i="1"/>
  <c r="AC19" i="1"/>
  <c r="AE19" i="1" s="1"/>
  <c r="AE18" i="1"/>
  <c r="AC23" i="1"/>
  <c r="AE23" i="1" s="1"/>
  <c r="Z29" i="1"/>
  <c r="Z30" i="1"/>
  <c r="AC24" i="1"/>
  <c r="AE24" i="1" s="1"/>
  <c r="AC8" i="1"/>
  <c r="AE8" i="1" s="1"/>
  <c r="AC25" i="1"/>
  <c r="AE25" i="1" s="1"/>
  <c r="AC12" i="1"/>
  <c r="AE12" i="1" s="1"/>
  <c r="AC13" i="1"/>
  <c r="AE13" i="1" s="1"/>
  <c r="AC10" i="1"/>
  <c r="AE10" i="1" s="1"/>
  <c r="AC16" i="1"/>
  <c r="AE16" i="1" s="1"/>
  <c r="AC15" i="1"/>
  <c r="AE15" i="1" s="1"/>
  <c r="AC9" i="1"/>
  <c r="AE9" i="1" s="1"/>
  <c r="AC17" i="1"/>
  <c r="AE17" i="1" s="1"/>
  <c r="AC21" i="1"/>
  <c r="AE21" i="1" s="1"/>
  <c r="AC20" i="1"/>
  <c r="AE20" i="1" s="1"/>
</calcChain>
</file>

<file path=xl/sharedStrings.xml><?xml version="1.0" encoding="utf-8"?>
<sst xmlns="http://schemas.openxmlformats.org/spreadsheetml/2006/main" count="152" uniqueCount="58">
  <si>
    <t xml:space="preserve">Soir </t>
  </si>
  <si>
    <t>Matin</t>
  </si>
  <si>
    <t>Jour 28</t>
  </si>
  <si>
    <t>Jour 21</t>
  </si>
  <si>
    <t>Jour 14</t>
  </si>
  <si>
    <t>Jour 7</t>
  </si>
  <si>
    <t>Jour 27</t>
  </si>
  <si>
    <t>Jour 20</t>
  </si>
  <si>
    <t>Jour 13</t>
  </si>
  <si>
    <t>Jour 6</t>
  </si>
  <si>
    <t xml:space="preserve">Cout /jour </t>
  </si>
  <si>
    <t>sans poisson</t>
  </si>
  <si>
    <t>cout poisson</t>
  </si>
  <si>
    <t>Jour 26</t>
  </si>
  <si>
    <t>Jour 19</t>
  </si>
  <si>
    <t>Jour 12</t>
  </si>
  <si>
    <t>Jour 5</t>
  </si>
  <si>
    <t>TOTAL 31 jours</t>
  </si>
  <si>
    <t>Jour 25</t>
  </si>
  <si>
    <t>Jour 18</t>
  </si>
  <si>
    <t>Jour 11</t>
  </si>
  <si>
    <t>Jour 4</t>
  </si>
  <si>
    <t>Jour 24</t>
  </si>
  <si>
    <t>Jour 17</t>
  </si>
  <si>
    <t>Jour 10</t>
  </si>
  <si>
    <t>Jour 3</t>
  </si>
  <si>
    <t>Jour 23</t>
  </si>
  <si>
    <t>Jour 16</t>
  </si>
  <si>
    <t>Jour 9</t>
  </si>
  <si>
    <t>Jour 2</t>
  </si>
  <si>
    <t>% poids</t>
  </si>
  <si>
    <t xml:space="preserve">% prix </t>
  </si>
  <si>
    <t xml:space="preserve">Type </t>
  </si>
  <si>
    <t xml:space="preserve">Quantités </t>
  </si>
  <si>
    <t xml:space="preserve">Prix payé </t>
  </si>
  <si>
    <t>Prix /kg</t>
  </si>
  <si>
    <t>Os charnu</t>
  </si>
  <si>
    <t>Jour 22</t>
  </si>
  <si>
    <t>Jour 15</t>
  </si>
  <si>
    <t>Jour 8</t>
  </si>
  <si>
    <t>Jour 1</t>
  </si>
  <si>
    <t xml:space="preserve">Différents types de produits </t>
  </si>
  <si>
    <t xml:space="preserve">Ratio répartition </t>
  </si>
  <si>
    <t xml:space="preserve">Poids </t>
  </si>
  <si>
    <t>Alimentation Bella</t>
  </si>
  <si>
    <t xml:space="preserve">Filet de poulet </t>
  </si>
  <si>
    <t>Mix légumes</t>
  </si>
  <si>
    <t xml:space="preserve">Cœur de poulet </t>
  </si>
  <si>
    <t>Sardine</t>
  </si>
  <si>
    <t xml:space="preserve">Cuisse de poulet </t>
  </si>
  <si>
    <t xml:space="preserve">Viande de bœuf </t>
  </si>
  <si>
    <t>Foie de poulet</t>
  </si>
  <si>
    <t xml:space="preserve">Œuf </t>
  </si>
  <si>
    <t xml:space="preserve">Ailes de poulet </t>
  </si>
  <si>
    <t xml:space="preserve">Viande de porc </t>
  </si>
  <si>
    <t>Côtes de porc</t>
  </si>
  <si>
    <t xml:space="preserve">Carcasse de poulet </t>
  </si>
  <si>
    <t>Cous de poulet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</si>
</sst>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* #,##0.00\ &quot;€&quot;_-;\-* #,##0.00\ &quot;€&quot;_-;_-* &quot;-&quot;??\ &quot;€&quot;_-;_-@_-"/>
    <numFmt numFmtId="164" formatCode="0&quot; g&quot;"/>
    <numFmt numFmtId="165" formatCode="0.0&quot; cc&quot;"/>
    <numFmt numFmtId="166" formatCode="#,##0.00\ &quot;€&quot;"/>
    <numFmt numFmtId="167" formatCode="0.00&quot; Kg&quot;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7"/>
      <color rgb="FF4F595F"/>
      <name val="Courier New"/>
      <family val="3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0"/>
        <bgColor indexed="64"/>
      </patternFill>
    </fill>
  </fills>
  <borders count="4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01">
    <xf numFmtId="0" fontId="0" fillId="0" borderId="0" xfId="0"/>
    <xf numFmtId="0" fontId="0" fillId="0" borderId="0" xfId="0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164" fontId="0" fillId="0" borderId="2" xfId="0" applyNumberForma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65" fontId="0" fillId="3" borderId="4" xfId="0" applyNumberFormat="1" applyFill="1" applyBorder="1" applyAlignment="1">
      <alignment horizontal="center" vertical="center"/>
    </xf>
    <xf numFmtId="164" fontId="0" fillId="3" borderId="5" xfId="0" applyNumberFormat="1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164" fontId="0" fillId="3" borderId="9" xfId="0" applyNumberFormat="1" applyFill="1" applyBorder="1" applyAlignment="1">
      <alignment horizontal="center" vertical="center"/>
    </xf>
    <xf numFmtId="165" fontId="0" fillId="3" borderId="9" xfId="0" applyNumberFormat="1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164" fontId="0" fillId="3" borderId="12" xfId="0" applyNumberFormat="1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164" fontId="0" fillId="0" borderId="16" xfId="0" applyNumberFormat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10" fontId="0" fillId="0" borderId="0" xfId="0" applyNumberFormat="1" applyAlignment="1">
      <alignment horizontal="center"/>
    </xf>
    <xf numFmtId="164" fontId="0" fillId="0" borderId="7" xfId="0" applyNumberFormat="1" applyBorder="1" applyAlignment="1">
      <alignment horizontal="center" vertical="center"/>
    </xf>
    <xf numFmtId="164" fontId="0" fillId="0" borderId="19" xfId="0" applyNumberFormat="1" applyBorder="1" applyAlignment="1">
      <alignment horizontal="center" vertical="center"/>
    </xf>
    <xf numFmtId="166" fontId="0" fillId="0" borderId="0" xfId="0" applyNumberFormat="1"/>
    <xf numFmtId="167" fontId="0" fillId="0" borderId="0" xfId="0" applyNumberFormat="1"/>
    <xf numFmtId="10" fontId="4" fillId="0" borderId="0" xfId="0" applyNumberFormat="1" applyFont="1"/>
    <xf numFmtId="9" fontId="0" fillId="0" borderId="0" xfId="0" applyNumberFormat="1"/>
    <xf numFmtId="164" fontId="0" fillId="0" borderId="0" xfId="0" applyNumberFormat="1"/>
    <xf numFmtId="0" fontId="0" fillId="3" borderId="4" xfId="0" applyFill="1" applyBorder="1" applyAlignment="1">
      <alignment horizontal="center" vertical="center"/>
    </xf>
    <xf numFmtId="10" fontId="0" fillId="0" borderId="17" xfId="2" applyNumberFormat="1" applyFont="1" applyBorder="1" applyAlignment="1">
      <alignment horizontal="center" vertical="center"/>
    </xf>
    <xf numFmtId="10" fontId="0" fillId="0" borderId="18" xfId="2" applyNumberFormat="1" applyFont="1" applyBorder="1" applyAlignment="1">
      <alignment horizontal="center" vertical="center"/>
    </xf>
    <xf numFmtId="0" fontId="0" fillId="0" borderId="22" xfId="0" applyBorder="1" applyAlignment="1">
      <alignment horizontal="center"/>
    </xf>
    <xf numFmtId="164" fontId="0" fillId="0" borderId="23" xfId="0" applyNumberFormat="1" applyBorder="1" applyAlignment="1">
      <alignment horizontal="center" vertical="center"/>
    </xf>
    <xf numFmtId="166" fontId="0" fillId="0" borderId="24" xfId="1" applyNumberFormat="1" applyFont="1" applyBorder="1" applyAlignment="1">
      <alignment horizontal="center" vertical="center"/>
    </xf>
    <xf numFmtId="166" fontId="0" fillId="0" borderId="18" xfId="1" applyNumberFormat="1" applyFont="1" applyBorder="1" applyAlignment="1">
      <alignment horizontal="center" vertical="center"/>
    </xf>
    <xf numFmtId="10" fontId="0" fillId="0" borderId="8" xfId="2" applyNumberFormat="1" applyFont="1" applyBorder="1" applyAlignment="1">
      <alignment horizontal="center" vertical="center"/>
    </xf>
    <xf numFmtId="10" fontId="0" fillId="0" borderId="9" xfId="2" applyNumberFormat="1" applyFont="1" applyBorder="1" applyAlignment="1">
      <alignment horizontal="center" vertical="center"/>
    </xf>
    <xf numFmtId="0" fontId="0" fillId="0" borderId="25" xfId="0" applyBorder="1" applyAlignment="1">
      <alignment horizontal="center"/>
    </xf>
    <xf numFmtId="164" fontId="0" fillId="2" borderId="23" xfId="0" applyNumberFormat="1" applyFill="1" applyBorder="1" applyAlignment="1">
      <alignment horizontal="center" vertical="center"/>
    </xf>
    <xf numFmtId="166" fontId="0" fillId="0" borderId="26" xfId="1" applyNumberFormat="1" applyFont="1" applyBorder="1" applyAlignment="1">
      <alignment horizontal="center" vertical="center"/>
    </xf>
    <xf numFmtId="9" fontId="4" fillId="0" borderId="27" xfId="2" applyFont="1" applyBorder="1" applyAlignment="1">
      <alignment vertical="center"/>
    </xf>
    <xf numFmtId="167" fontId="2" fillId="0" borderId="0" xfId="0" applyNumberFormat="1" applyFont="1" applyAlignment="1">
      <alignment vertical="center"/>
    </xf>
    <xf numFmtId="1" fontId="0" fillId="0" borderId="28" xfId="0" applyNumberFormat="1" applyBorder="1" applyAlignment="1">
      <alignment horizontal="center" vertical="center"/>
    </xf>
    <xf numFmtId="166" fontId="0" fillId="0" borderId="9" xfId="1" applyNumberFormat="1" applyFont="1" applyBorder="1" applyAlignment="1">
      <alignment horizontal="center" vertical="center"/>
    </xf>
    <xf numFmtId="0" fontId="0" fillId="0" borderId="7" xfId="0" applyBorder="1"/>
    <xf numFmtId="164" fontId="0" fillId="0" borderId="28" xfId="0" applyNumberFormat="1" applyBorder="1" applyAlignment="1">
      <alignment horizontal="center" vertical="center"/>
    </xf>
    <xf numFmtId="0" fontId="0" fillId="0" borderId="29" xfId="0" applyBorder="1" applyAlignment="1">
      <alignment horizontal="center"/>
    </xf>
    <xf numFmtId="164" fontId="0" fillId="0" borderId="15" xfId="0" applyNumberFormat="1" applyBorder="1" applyAlignment="1">
      <alignment horizontal="center" vertical="center"/>
    </xf>
    <xf numFmtId="165" fontId="0" fillId="3" borderId="11" xfId="0" applyNumberFormat="1" applyFill="1" applyBorder="1" applyAlignment="1">
      <alignment horizontal="center" vertical="center"/>
    </xf>
    <xf numFmtId="0" fontId="6" fillId="0" borderId="0" xfId="0" applyFont="1"/>
    <xf numFmtId="10" fontId="0" fillId="0" borderId="30" xfId="2" applyNumberFormat="1" applyFont="1" applyBorder="1" applyAlignment="1">
      <alignment horizontal="center" vertical="center"/>
    </xf>
    <xf numFmtId="10" fontId="0" fillId="0" borderId="31" xfId="2" applyNumberFormat="1" applyFont="1" applyBorder="1" applyAlignment="1">
      <alignment horizontal="center" vertical="center"/>
    </xf>
    <xf numFmtId="0" fontId="0" fillId="0" borderId="32" xfId="0" applyBorder="1" applyAlignment="1">
      <alignment horizontal="center"/>
    </xf>
    <xf numFmtId="164" fontId="0" fillId="0" borderId="26" xfId="0" applyNumberFormat="1" applyBorder="1" applyAlignment="1">
      <alignment horizontal="center" vertical="center"/>
    </xf>
    <xf numFmtId="166" fontId="0" fillId="0" borderId="31" xfId="1" applyNumberFormat="1" applyFont="1" applyBorder="1" applyAlignment="1">
      <alignment horizontal="center" vertical="center"/>
    </xf>
    <xf numFmtId="0" fontId="3" fillId="2" borderId="33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4" xfId="0" applyFont="1" applyFill="1" applyBorder="1" applyAlignment="1">
      <alignment vertical="center"/>
    </xf>
    <xf numFmtId="0" fontId="3" fillId="2" borderId="35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8" fillId="2" borderId="14" xfId="0" applyFont="1" applyFill="1" applyBorder="1" applyAlignment="1">
      <alignment horizontal="center" vertical="center"/>
    </xf>
    <xf numFmtId="0" fontId="3" fillId="3" borderId="13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3" borderId="14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9" fillId="2" borderId="13" xfId="0" applyFont="1" applyFill="1" applyBorder="1" applyAlignment="1">
      <alignment horizontal="center" vertical="center"/>
    </xf>
    <xf numFmtId="0" fontId="9" fillId="2" borderId="39" xfId="0" applyFont="1" applyFill="1" applyBorder="1" applyAlignment="1">
      <alignment horizontal="center" vertical="center"/>
    </xf>
    <xf numFmtId="0" fontId="9" fillId="2" borderId="38" xfId="0" applyFont="1" applyFill="1" applyBorder="1" applyAlignment="1">
      <alignment horizontal="center" vertical="center"/>
    </xf>
    <xf numFmtId="0" fontId="9" fillId="2" borderId="6" xfId="0" applyFont="1" applyFill="1" applyBorder="1" applyAlignment="1">
      <alignment horizontal="center" vertical="center"/>
    </xf>
    <xf numFmtId="0" fontId="9" fillId="2" borderId="37" xfId="0" applyFont="1" applyFill="1" applyBorder="1" applyAlignment="1">
      <alignment horizontal="center" vertical="center"/>
    </xf>
    <xf numFmtId="0" fontId="9" fillId="2" borderId="36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3" fillId="2" borderId="41" xfId="0" applyFont="1" applyFill="1" applyBorder="1" applyAlignment="1">
      <alignment horizontal="center" vertical="center"/>
    </xf>
    <xf numFmtId="0" fontId="3" fillId="2" borderId="40" xfId="0" applyFont="1" applyFill="1" applyBorder="1" applyAlignment="1">
      <alignment horizontal="center" vertical="center"/>
    </xf>
    <xf numFmtId="9" fontId="0" fillId="6" borderId="14" xfId="2" applyFont="1" applyFill="1" applyBorder="1" applyAlignment="1">
      <alignment horizontal="center" vertical="center"/>
    </xf>
    <xf numFmtId="9" fontId="0" fillId="6" borderId="7" xfId="2" applyFont="1" applyFill="1" applyBorder="1" applyAlignment="1">
      <alignment horizontal="center" vertical="center"/>
    </xf>
    <xf numFmtId="9" fontId="0" fillId="6" borderId="3" xfId="2" applyFont="1" applyFill="1" applyBorder="1" applyAlignment="1">
      <alignment horizontal="center" vertical="center"/>
    </xf>
    <xf numFmtId="9" fontId="4" fillId="5" borderId="7" xfId="2" applyFont="1" applyFill="1" applyBorder="1" applyAlignment="1">
      <alignment horizontal="center" vertical="center"/>
    </xf>
    <xf numFmtId="9" fontId="4" fillId="5" borderId="3" xfId="2" applyFont="1" applyFill="1" applyBorder="1" applyAlignment="1">
      <alignment horizontal="center" vertical="center"/>
    </xf>
    <xf numFmtId="9" fontId="4" fillId="5" borderId="14" xfId="2" applyFont="1" applyFill="1" applyBorder="1" applyAlignment="1">
      <alignment horizontal="center" vertical="center"/>
    </xf>
    <xf numFmtId="166" fontId="3" fillId="4" borderId="12" xfId="1" applyNumberFormat="1" applyFont="1" applyFill="1" applyBorder="1" applyAlignment="1">
      <alignment horizontal="center"/>
    </xf>
    <xf numFmtId="166" fontId="3" fillId="4" borderId="5" xfId="1" applyNumberFormat="1" applyFont="1" applyFill="1" applyBorder="1" applyAlignment="1">
      <alignment horizontal="center"/>
    </xf>
    <xf numFmtId="166" fontId="3" fillId="2" borderId="21" xfId="1" applyNumberFormat="1" applyFont="1" applyFill="1" applyBorder="1" applyAlignment="1">
      <alignment horizontal="center" vertical="center"/>
    </xf>
    <xf numFmtId="166" fontId="3" fillId="2" borderId="20" xfId="1" applyNumberFormat="1" applyFont="1" applyFill="1" applyBorder="1" applyAlignment="1">
      <alignment horizontal="center" vertical="center"/>
    </xf>
    <xf numFmtId="167" fontId="3" fillId="2" borderId="21" xfId="0" applyNumberFormat="1" applyFont="1" applyFill="1" applyBorder="1" applyAlignment="1">
      <alignment horizontal="center" vertical="center"/>
    </xf>
    <xf numFmtId="167" fontId="3" fillId="2" borderId="20" xfId="0" applyNumberFormat="1" applyFont="1" applyFill="1" applyBorder="1" applyAlignment="1">
      <alignment horizontal="center" vertical="center"/>
    </xf>
    <xf numFmtId="0" fontId="3" fillId="2" borderId="21" xfId="0" applyFont="1" applyFill="1" applyBorder="1" applyAlignment="1">
      <alignment horizontal="center" vertical="center"/>
    </xf>
    <xf numFmtId="0" fontId="3" fillId="2" borderId="20" xfId="0" applyFont="1" applyFill="1" applyBorder="1" applyAlignment="1">
      <alignment horizontal="center" vertical="center"/>
    </xf>
    <xf numFmtId="166" fontId="3" fillId="4" borderId="21" xfId="1" applyNumberFormat="1" applyFont="1" applyFill="1" applyBorder="1" applyAlignment="1">
      <alignment horizontal="center"/>
    </xf>
    <xf numFmtId="166" fontId="3" fillId="4" borderId="20" xfId="1" applyNumberFormat="1" applyFont="1" applyFill="1" applyBorder="1" applyAlignment="1">
      <alignment horizontal="center"/>
    </xf>
    <xf numFmtId="166" fontId="3" fillId="4" borderId="11" xfId="1" applyNumberFormat="1" applyFont="1" applyFill="1" applyBorder="1" applyAlignment="1">
      <alignment horizontal="center"/>
    </xf>
    <xf numFmtId="166" fontId="3" fillId="4" borderId="4" xfId="1" applyNumberFormat="1" applyFont="1" applyFill="1" applyBorder="1" applyAlignment="1">
      <alignment horizontal="center"/>
    </xf>
    <xf numFmtId="0" fontId="7" fillId="2" borderId="13" xfId="0" applyFont="1" applyFill="1" applyBorder="1" applyAlignment="1">
      <alignment horizontal="center" vertical="center"/>
    </xf>
    <xf numFmtId="0" fontId="7" fillId="2" borderId="39" xfId="0" applyFont="1" applyFill="1" applyBorder="1" applyAlignment="1">
      <alignment horizontal="center" vertical="center"/>
    </xf>
    <xf numFmtId="0" fontId="7" fillId="2" borderId="38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7" fillId="2" borderId="37" xfId="0" applyFont="1" applyFill="1" applyBorder="1" applyAlignment="1">
      <alignment horizontal="center" vertical="center"/>
    </xf>
    <xf numFmtId="0" fontId="7" fillId="2" borderId="36" xfId="0" applyFont="1" applyFill="1" applyBorder="1" applyAlignment="1">
      <alignment horizontal="center" vertical="center"/>
    </xf>
  </cellXfs>
  <cellStyles count="3">
    <cellStyle name="Monétaire" xfId="1" builtinId="4"/>
    <cellStyle name="Normal" xfId="0" builtinId="0"/>
    <cellStyle name="Pourcentage" xfId="2" builtinId="5"/>
  </cellStyles>
  <dxfs count="7">
    <dxf>
      <fill>
        <gradientFill type="path" left="0.5" right="0.5" top="0.5" bottom="0.5">
          <stop position="0">
            <color theme="0"/>
          </stop>
          <stop position="1">
            <color rgb="FFFF99CC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7" tint="0.59999389629810485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C40B0B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7030A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70C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70C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70C0"/>
          </stop>
        </gradient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nais/Documents/BARF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"/>
      <sheetName val="Début"/>
      <sheetName val="Stocks"/>
      <sheetName val="Yummy"/>
      <sheetName val="Besoins"/>
      <sheetName val="Achat externe"/>
      <sheetName val="Différents types"/>
      <sheetName val="Prix"/>
    </sheetNames>
    <sheetDataSet>
      <sheetData sheetId="0"/>
      <sheetData sheetId="1">
        <row r="12">
          <cell r="C12">
            <v>417</v>
          </cell>
        </row>
        <row r="13">
          <cell r="C13">
            <v>333.6</v>
          </cell>
        </row>
        <row r="14">
          <cell r="C14">
            <v>83.4</v>
          </cell>
        </row>
        <row r="16">
          <cell r="C16">
            <v>238.28571428571428</v>
          </cell>
        </row>
        <row r="17">
          <cell r="C17">
            <v>2.7</v>
          </cell>
        </row>
      </sheetData>
      <sheetData sheetId="2"/>
      <sheetData sheetId="3"/>
      <sheetData sheetId="4"/>
      <sheetData sheetId="5"/>
      <sheetData sheetId="6">
        <row r="5">
          <cell r="E5" t="str">
            <v xml:space="preserve">Filet de poulet </v>
          </cell>
        </row>
        <row r="6">
          <cell r="E6" t="str">
            <v xml:space="preserve">Cuisse de poulet </v>
          </cell>
        </row>
        <row r="7">
          <cell r="E7" t="str">
            <v>Cous de poulet</v>
          </cell>
        </row>
        <row r="8">
          <cell r="E8" t="str">
            <v xml:space="preserve">Carcasse de poulet </v>
          </cell>
        </row>
        <row r="10">
          <cell r="E10" t="str">
            <v xml:space="preserve">Ailes de poulet </v>
          </cell>
        </row>
        <row r="11">
          <cell r="E11" t="str">
            <v xml:space="preserve">Cœur de poulet </v>
          </cell>
        </row>
        <row r="12">
          <cell r="E12" t="str">
            <v>Foie de poulet</v>
          </cell>
        </row>
        <row r="13">
          <cell r="E13" t="str">
            <v xml:space="preserve">Viande de porc </v>
          </cell>
        </row>
        <row r="14">
          <cell r="E14" t="str">
            <v>Côtes de porc</v>
          </cell>
        </row>
        <row r="15">
          <cell r="E15" t="str">
            <v>Foie de porc</v>
          </cell>
        </row>
        <row r="18">
          <cell r="E18" t="str">
            <v xml:space="preserve">Cœur de bœuf </v>
          </cell>
        </row>
        <row r="19">
          <cell r="E19" t="str">
            <v xml:space="preserve">Viande de bœuf </v>
          </cell>
        </row>
        <row r="20">
          <cell r="E20" t="str">
            <v xml:space="preserve">Œuf </v>
          </cell>
        </row>
        <row r="21">
          <cell r="E21" t="str">
            <v>Côtes d'agneau</v>
          </cell>
        </row>
        <row r="22">
          <cell r="E22" t="str">
            <v>Sprats</v>
          </cell>
        </row>
        <row r="23">
          <cell r="E23" t="str">
            <v>Sardine</v>
          </cell>
        </row>
        <row r="24">
          <cell r="E24" t="str">
            <v>Harengs</v>
          </cell>
        </row>
      </sheetData>
      <sheetData sheetId="7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067095-C95A-4CAE-9202-064B7EDA02D0}">
  <sheetPr>
    <tabColor rgb="FFFF99CC"/>
  </sheetPr>
  <dimension ref="B1:AF47"/>
  <sheetViews>
    <sheetView tabSelected="1" topLeftCell="A4" zoomScale="80" zoomScaleNormal="80" workbookViewId="0">
      <selection activeCell="H47" sqref="H47"/>
    </sheetView>
  </sheetViews>
  <sheetFormatPr baseColWidth="10" defaultRowHeight="15" x14ac:dyDescent="0.25"/>
  <cols>
    <col min="5" max="5" width="20.42578125" customWidth="1"/>
    <col min="7" max="7" width="10.85546875" customWidth="1"/>
    <col min="10" max="10" width="19.28515625" customWidth="1"/>
    <col min="15" max="15" width="20.85546875" customWidth="1"/>
    <col min="20" max="20" width="21.28515625" customWidth="1"/>
    <col min="22" max="22" width="10.85546875" customWidth="1"/>
    <col min="23" max="23" width="8.28515625" bestFit="1" customWidth="1"/>
    <col min="24" max="24" width="5.42578125" customWidth="1"/>
    <col min="28" max="28" width="17" bestFit="1" customWidth="1"/>
    <col min="29" max="29" width="10.85546875" style="1"/>
    <col min="33" max="33" width="16" bestFit="1" customWidth="1"/>
  </cols>
  <sheetData>
    <row r="1" spans="2:32" ht="15.75" thickBot="1" x14ac:dyDescent="0.3"/>
    <row r="2" spans="2:32" ht="14.45" customHeight="1" x14ac:dyDescent="0.25">
      <c r="B2" s="66" t="s">
        <v>44</v>
      </c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8"/>
    </row>
    <row r="3" spans="2:32" ht="15" customHeight="1" thickBot="1" x14ac:dyDescent="0.3">
      <c r="B3" s="69"/>
      <c r="C3" s="70"/>
      <c r="D3" s="70"/>
      <c r="E3" s="70"/>
      <c r="F3" s="70"/>
      <c r="G3" s="70"/>
      <c r="H3" s="70"/>
      <c r="I3" s="70"/>
      <c r="J3" s="70"/>
      <c r="K3" s="70"/>
      <c r="L3" s="70"/>
      <c r="M3" s="70"/>
      <c r="N3" s="70"/>
      <c r="O3" s="70"/>
      <c r="P3" s="70"/>
      <c r="Q3" s="70"/>
      <c r="R3" s="70"/>
      <c r="S3" s="70"/>
      <c r="T3" s="71"/>
    </row>
    <row r="4" spans="2:32" ht="15" customHeight="1" thickBot="1" x14ac:dyDescent="0.3"/>
    <row r="5" spans="2:32" ht="15.95" customHeight="1" thickBot="1" x14ac:dyDescent="0.3">
      <c r="B5" s="75"/>
      <c r="C5" s="76"/>
      <c r="D5" s="56" t="s">
        <v>43</v>
      </c>
      <c r="E5" s="56" t="s">
        <v>32</v>
      </c>
      <c r="G5" s="75"/>
      <c r="H5" s="76"/>
      <c r="I5" s="56" t="s">
        <v>43</v>
      </c>
      <c r="J5" s="56" t="s">
        <v>32</v>
      </c>
      <c r="L5" s="75"/>
      <c r="M5" s="76"/>
      <c r="N5" s="56" t="s">
        <v>43</v>
      </c>
      <c r="O5" s="56" t="s">
        <v>32</v>
      </c>
      <c r="Q5" s="75"/>
      <c r="R5" s="76"/>
      <c r="S5" s="56" t="s">
        <v>43</v>
      </c>
      <c r="T5" s="56" t="s">
        <v>32</v>
      </c>
      <c r="V5" s="95" t="s">
        <v>42</v>
      </c>
      <c r="W5" s="97"/>
      <c r="Y5" s="95" t="s">
        <v>41</v>
      </c>
      <c r="Z5" s="96"/>
      <c r="AA5" s="96"/>
      <c r="AB5" s="96"/>
      <c r="AC5" s="96"/>
      <c r="AD5" s="97"/>
    </row>
    <row r="6" spans="2:32" ht="15" customHeight="1" thickBot="1" x14ac:dyDescent="0.3">
      <c r="B6" s="60" t="s">
        <v>40</v>
      </c>
      <c r="C6" s="57" t="s">
        <v>1</v>
      </c>
      <c r="D6" s="11">
        <v>417</v>
      </c>
      <c r="E6" s="10" t="s">
        <v>45</v>
      </c>
      <c r="G6" s="60" t="s">
        <v>39</v>
      </c>
      <c r="H6" s="63" t="s">
        <v>1</v>
      </c>
      <c r="I6" s="11">
        <f>[1]Début!$C$12</f>
        <v>417</v>
      </c>
      <c r="J6" s="10" t="str">
        <f>E17</f>
        <v xml:space="preserve">Viande de porc </v>
      </c>
      <c r="L6" s="60" t="s">
        <v>38</v>
      </c>
      <c r="M6" s="57" t="s">
        <v>1</v>
      </c>
      <c r="N6" s="11">
        <f>[1]Début!$C$12</f>
        <v>417</v>
      </c>
      <c r="O6" s="10" t="str">
        <f>J22</f>
        <v xml:space="preserve">Viande de porc </v>
      </c>
      <c r="Q6" s="60" t="s">
        <v>37</v>
      </c>
      <c r="R6" s="57" t="s">
        <v>1</v>
      </c>
      <c r="S6" s="11">
        <f>[1]Début!$C$12</f>
        <v>417</v>
      </c>
      <c r="T6" s="44" t="str">
        <f>AB15</f>
        <v xml:space="preserve">Viande de porc </v>
      </c>
      <c r="V6" s="98"/>
      <c r="W6" s="100"/>
      <c r="Y6" s="98"/>
      <c r="Z6" s="99"/>
      <c r="AA6" s="99"/>
      <c r="AB6" s="99"/>
      <c r="AC6" s="99"/>
      <c r="AD6" s="100"/>
    </row>
    <row r="7" spans="2:32" ht="15.75" thickBot="1" x14ac:dyDescent="0.3">
      <c r="B7" s="61"/>
      <c r="C7" s="58"/>
      <c r="D7" s="9">
        <v>2.7</v>
      </c>
      <c r="E7" s="7" t="s">
        <v>46</v>
      </c>
      <c r="G7" s="61"/>
      <c r="H7" s="64"/>
      <c r="I7" s="9">
        <f>[1]Début!$C$17</f>
        <v>2.7</v>
      </c>
      <c r="J7" s="7" t="str">
        <f>E7</f>
        <v>Mix légumes</v>
      </c>
      <c r="L7" s="61"/>
      <c r="M7" s="58"/>
      <c r="N7" s="9">
        <f>[1]Début!$C$17</f>
        <v>2.7</v>
      </c>
      <c r="O7" s="7" t="str">
        <f>J7</f>
        <v>Mix légumes</v>
      </c>
      <c r="Q7" s="61"/>
      <c r="R7" s="58"/>
      <c r="S7" s="9">
        <f>[1]Début!$C$17</f>
        <v>2.7</v>
      </c>
      <c r="T7" s="7" t="str">
        <f>O7</f>
        <v>Mix légumes</v>
      </c>
      <c r="V7" s="52" t="s">
        <v>36</v>
      </c>
      <c r="W7" s="55" t="s">
        <v>32</v>
      </c>
      <c r="Y7" s="52" t="s">
        <v>35</v>
      </c>
      <c r="Z7" s="54" t="s">
        <v>34</v>
      </c>
      <c r="AA7" s="54" t="s">
        <v>33</v>
      </c>
      <c r="AB7" s="53" t="s">
        <v>32</v>
      </c>
      <c r="AC7" s="52" t="s">
        <v>31</v>
      </c>
      <c r="AD7" s="51" t="s">
        <v>30</v>
      </c>
    </row>
    <row r="8" spans="2:32" x14ac:dyDescent="0.25">
      <c r="B8" s="61"/>
      <c r="C8" s="58"/>
      <c r="D8" s="8">
        <v>83.4</v>
      </c>
      <c r="E8" s="7" t="s">
        <v>47</v>
      </c>
      <c r="G8" s="61"/>
      <c r="H8" s="64"/>
      <c r="I8" s="8">
        <f>[1]Début!$C$14</f>
        <v>83.4</v>
      </c>
      <c r="J8" s="7" t="str">
        <f>'[1]Différents types'!E15</f>
        <v>Foie de porc</v>
      </c>
      <c r="L8" s="61"/>
      <c r="M8" s="58"/>
      <c r="N8" s="8">
        <f>[1]Début!$C$14</f>
        <v>83.4</v>
      </c>
      <c r="O8" s="7" t="str">
        <f>AB19</f>
        <v xml:space="preserve">Cœur de bœuf </v>
      </c>
      <c r="Q8" s="61"/>
      <c r="R8" s="58"/>
      <c r="S8" s="8">
        <f>[1]Début!$C$14</f>
        <v>83.4</v>
      </c>
      <c r="T8" s="7" t="str">
        <f>AB14</f>
        <v>Foie de poulet</v>
      </c>
      <c r="V8" s="77">
        <f>SUM(AA9:AA12)/W23/1000</f>
        <v>0.54838709677419362</v>
      </c>
      <c r="W8" s="82">
        <f>SUM(AA8:AA14)/AA29/1000</f>
        <v>0.46774193548387105</v>
      </c>
      <c r="Y8" s="50">
        <f>18.7/5</f>
        <v>3.7399999999999998</v>
      </c>
      <c r="Z8" s="35">
        <f t="shared" ref="Z8:Z21" si="0">Y8*AA8/1000</f>
        <v>18.714959999999998</v>
      </c>
      <c r="AA8" s="49">
        <f>SUM(D6*2,D28,D33,I28,I39,N17,N22,N33,S17,S22,S33)</f>
        <v>5004</v>
      </c>
      <c r="AB8" s="48" t="str">
        <f>'[1]Différents types'!E5</f>
        <v xml:space="preserve">Filet de poulet </v>
      </c>
      <c r="AC8" s="47">
        <f>Z8/$Z$26</f>
        <v>0.16824312137532996</v>
      </c>
      <c r="AD8" s="46">
        <f t="shared" ref="AD8:AD21" si="1">AA8/$AA$26/1000</f>
        <v>0.15162454873646208</v>
      </c>
      <c r="AE8" s="16">
        <f>AD8-AC8</f>
        <v>-1.6618572638867873E-2</v>
      </c>
      <c r="AF8" s="21"/>
    </row>
    <row r="9" spans="2:32" ht="15.75" thickBot="1" x14ac:dyDescent="0.3">
      <c r="B9" s="61"/>
      <c r="C9" s="59"/>
      <c r="D9" s="6">
        <v>238.28571428571428</v>
      </c>
      <c r="E9" s="5" t="s">
        <v>48</v>
      </c>
      <c r="F9" s="45"/>
      <c r="G9" s="61"/>
      <c r="H9" s="65"/>
      <c r="I9" s="6">
        <f>[1]Début!$C$16</f>
        <v>238.28571428571428</v>
      </c>
      <c r="J9" s="5" t="str">
        <f>AB23</f>
        <v>Sprats</v>
      </c>
      <c r="L9" s="61"/>
      <c r="M9" s="59"/>
      <c r="N9" s="6">
        <f>[1]Début!$C$16</f>
        <v>238.28571428571428</v>
      </c>
      <c r="O9" s="5" t="str">
        <f>J42</f>
        <v>Sprats</v>
      </c>
      <c r="Q9" s="61"/>
      <c r="R9" s="59"/>
      <c r="S9" s="6">
        <f>[1]Début!$C$16</f>
        <v>238.28571428571428</v>
      </c>
      <c r="T9" s="5" t="str">
        <f>O42</f>
        <v>Harengs</v>
      </c>
      <c r="V9" s="78"/>
      <c r="W9" s="80"/>
      <c r="Y9" s="39">
        <v>2.2200000000000002</v>
      </c>
      <c r="Z9" s="35">
        <f t="shared" si="0"/>
        <v>4.4435520000000004</v>
      </c>
      <c r="AA9" s="41">
        <f>SUM(D10*2,D38,I43,I38,N10)</f>
        <v>2001.6</v>
      </c>
      <c r="AB9" s="33" t="str">
        <f>'[1]Différents types'!E6</f>
        <v xml:space="preserve">Cuisse de poulet </v>
      </c>
      <c r="AC9" s="32">
        <f>Z9/$Z$26</f>
        <v>3.9946495128687975E-2</v>
      </c>
      <c r="AD9" s="31">
        <f t="shared" si="1"/>
        <v>6.0649819494584832E-2</v>
      </c>
      <c r="AE9" s="16">
        <f>AD9-AC9</f>
        <v>2.0703324365896857E-2</v>
      </c>
      <c r="AF9" s="21"/>
    </row>
    <row r="10" spans="2:32" ht="15.75" thickBot="1" x14ac:dyDescent="0.3">
      <c r="B10" s="62"/>
      <c r="C10" s="4" t="s">
        <v>0</v>
      </c>
      <c r="D10" s="18">
        <v>333.6</v>
      </c>
      <c r="E10" s="17" t="s">
        <v>49</v>
      </c>
      <c r="F10" s="45"/>
      <c r="G10" s="62"/>
      <c r="H10" s="4" t="s">
        <v>0</v>
      </c>
      <c r="I10" s="18">
        <f>[1]Début!$C$13</f>
        <v>333.6</v>
      </c>
      <c r="J10" s="17" t="str">
        <f>'[1]Différents types'!E8</f>
        <v xml:space="preserve">Carcasse de poulet </v>
      </c>
      <c r="L10" s="62"/>
      <c r="M10" s="4" t="s">
        <v>0</v>
      </c>
      <c r="N10" s="18">
        <f>[1]Début!$C$13</f>
        <v>333.6</v>
      </c>
      <c r="O10" s="17" t="str">
        <f>J43</f>
        <v xml:space="preserve">Cuisse de poulet </v>
      </c>
      <c r="Q10" s="62"/>
      <c r="R10" s="4" t="s">
        <v>0</v>
      </c>
      <c r="S10" s="18">
        <f>[1]Début!$C$13</f>
        <v>333.6</v>
      </c>
      <c r="T10" s="17" t="str">
        <f>AB10</f>
        <v>Cous de poulet</v>
      </c>
      <c r="V10" s="78"/>
      <c r="W10" s="80"/>
      <c r="Y10" s="39">
        <f>14.96/8</f>
        <v>1.87</v>
      </c>
      <c r="Z10" s="35">
        <f t="shared" si="0"/>
        <v>1.8714960000000003</v>
      </c>
      <c r="AA10" s="41">
        <f>SUM(D43,S16,S10)</f>
        <v>1000.8000000000001</v>
      </c>
      <c r="AB10" s="33" t="str">
        <f>'[1]Différents types'!E7</f>
        <v>Cous de poulet</v>
      </c>
      <c r="AC10" s="32">
        <f>Z10/$Z$26</f>
        <v>1.6824312137533E-2</v>
      </c>
      <c r="AD10" s="31">
        <f t="shared" si="1"/>
        <v>3.032490974729242E-2</v>
      </c>
      <c r="AE10" s="16">
        <f>AD10-AC10</f>
        <v>1.350059760975942E-2</v>
      </c>
      <c r="AF10" s="21"/>
    </row>
    <row r="11" spans="2:32" x14ac:dyDescent="0.25">
      <c r="B11" s="60" t="s">
        <v>29</v>
      </c>
      <c r="C11" s="63" t="s">
        <v>1</v>
      </c>
      <c r="D11" s="11">
        <v>417</v>
      </c>
      <c r="E11" s="10" t="s">
        <v>50</v>
      </c>
      <c r="F11" s="45"/>
      <c r="G11" s="60" t="s">
        <v>28</v>
      </c>
      <c r="H11" s="63" t="s">
        <v>1</v>
      </c>
      <c r="I11" s="11">
        <f>I6</f>
        <v>417</v>
      </c>
      <c r="J11" s="10" t="str">
        <f>AB20</f>
        <v xml:space="preserve">Viande de bœuf </v>
      </c>
      <c r="L11" s="60" t="s">
        <v>27</v>
      </c>
      <c r="M11" s="63" t="s">
        <v>1</v>
      </c>
      <c r="N11" s="11">
        <f>N6</f>
        <v>417</v>
      </c>
      <c r="O11" s="10" t="str">
        <f>O6</f>
        <v xml:space="preserve">Viande de porc </v>
      </c>
      <c r="Q11" s="60" t="s">
        <v>26</v>
      </c>
      <c r="R11" s="63" t="s">
        <v>1</v>
      </c>
      <c r="S11" s="11">
        <f>S6</f>
        <v>417</v>
      </c>
      <c r="T11" s="44" t="str">
        <f>T6</f>
        <v xml:space="preserve">Viande de porc </v>
      </c>
      <c r="V11" s="78"/>
      <c r="W11" s="80"/>
      <c r="Y11" s="39">
        <v>0</v>
      </c>
      <c r="Z11" s="35">
        <f t="shared" si="0"/>
        <v>0</v>
      </c>
      <c r="AA11" s="41">
        <f>SUM(D32,I10,N21,N16)</f>
        <v>1334.4</v>
      </c>
      <c r="AB11" s="33" t="str">
        <f>'[1]Différents types'!E8</f>
        <v xml:space="preserve">Carcasse de poulet </v>
      </c>
      <c r="AC11" s="32">
        <v>0</v>
      </c>
      <c r="AD11" s="31">
        <f t="shared" si="1"/>
        <v>4.0433212996389897E-2</v>
      </c>
      <c r="AE11" s="16"/>
      <c r="AF11" s="21"/>
    </row>
    <row r="12" spans="2:32" x14ac:dyDescent="0.25">
      <c r="B12" s="61"/>
      <c r="C12" s="64"/>
      <c r="D12" s="9">
        <v>2.7</v>
      </c>
      <c r="E12" s="7" t="s">
        <v>46</v>
      </c>
      <c r="G12" s="61"/>
      <c r="H12" s="64"/>
      <c r="I12" s="9">
        <f>I7</f>
        <v>2.7</v>
      </c>
      <c r="J12" s="7" t="str">
        <f>J7</f>
        <v>Mix légumes</v>
      </c>
      <c r="L12" s="61"/>
      <c r="M12" s="64"/>
      <c r="N12" s="9">
        <f>N7</f>
        <v>2.7</v>
      </c>
      <c r="O12" s="7" t="str">
        <f>O7</f>
        <v>Mix légumes</v>
      </c>
      <c r="Q12" s="61"/>
      <c r="R12" s="64"/>
      <c r="S12" s="9">
        <f>S7</f>
        <v>2.7</v>
      </c>
      <c r="T12" s="7" t="str">
        <f>T7</f>
        <v>Mix légumes</v>
      </c>
      <c r="V12" s="78"/>
      <c r="W12" s="80"/>
      <c r="Y12" s="39">
        <f>10.18/5</f>
        <v>2.036</v>
      </c>
      <c r="Z12" s="35">
        <f t="shared" si="0"/>
        <v>2.7168383999999999</v>
      </c>
      <c r="AA12" s="41">
        <f>SUM(D16*2,S43,S38)</f>
        <v>1334.4</v>
      </c>
      <c r="AB12" s="33" t="str">
        <f>'[1]Différents types'!E10</f>
        <v xml:space="preserve">Ailes de poulet </v>
      </c>
      <c r="AC12" s="32">
        <f t="shared" ref="AC12:AC21" si="2">Z12/$Z$26</f>
        <v>2.4423742967570182E-2</v>
      </c>
      <c r="AD12" s="31">
        <f t="shared" si="1"/>
        <v>4.0433212996389897E-2</v>
      </c>
      <c r="AE12" s="16">
        <f t="shared" ref="AE12:AE21" si="3">AD12-AC12</f>
        <v>1.6009470028819715E-2</v>
      </c>
      <c r="AF12" s="21"/>
    </row>
    <row r="13" spans="2:32" x14ac:dyDescent="0.25">
      <c r="B13" s="61"/>
      <c r="C13" s="64"/>
      <c r="D13" s="8">
        <v>83.4</v>
      </c>
      <c r="E13" s="7" t="s">
        <v>51</v>
      </c>
      <c r="G13" s="61"/>
      <c r="H13" s="64"/>
      <c r="I13" s="8">
        <f>I8</f>
        <v>83.4</v>
      </c>
      <c r="J13" s="7" t="e">
        <f>#REF!</f>
        <v>#REF!</v>
      </c>
      <c r="L13" s="61"/>
      <c r="M13" s="64"/>
      <c r="N13" s="8">
        <f>N8</f>
        <v>83.4</v>
      </c>
      <c r="O13" s="7" t="str">
        <f>AB18</f>
        <v>Foie de bœuf</v>
      </c>
      <c r="Q13" s="61"/>
      <c r="R13" s="64"/>
      <c r="S13" s="8">
        <f>S8</f>
        <v>83.4</v>
      </c>
      <c r="T13" s="7" t="str">
        <f>AB13</f>
        <v xml:space="preserve">Cœur de poulet </v>
      </c>
      <c r="V13" s="78"/>
      <c r="W13" s="80"/>
      <c r="Y13" s="39">
        <v>2.86</v>
      </c>
      <c r="Z13" s="35">
        <f t="shared" si="0"/>
        <v>2.1467159999999996</v>
      </c>
      <c r="AA13" s="41">
        <f>SUM(D8*2,D19*2,D30,D41,S13,S24,S35)</f>
        <v>750.59999999999991</v>
      </c>
      <c r="AB13" s="33" t="str">
        <f>'[1]Différents types'!E11</f>
        <v xml:space="preserve">Cœur de poulet </v>
      </c>
      <c r="AC13" s="32">
        <f t="shared" si="2"/>
        <v>1.9298475687170198E-2</v>
      </c>
      <c r="AD13" s="31">
        <f t="shared" si="1"/>
        <v>2.2743682310469311E-2</v>
      </c>
      <c r="AE13" s="16">
        <f t="shared" si="3"/>
        <v>3.445206623299113E-3</v>
      </c>
      <c r="AF13" s="21"/>
    </row>
    <row r="14" spans="2:32" ht="15.75" thickBot="1" x14ac:dyDescent="0.3">
      <c r="B14" s="61"/>
      <c r="C14" s="64"/>
      <c r="D14" s="15">
        <v>1</v>
      </c>
      <c r="E14" s="14" t="s">
        <v>52</v>
      </c>
      <c r="G14" s="61"/>
      <c r="H14" s="64"/>
      <c r="I14" s="15">
        <f>1</f>
        <v>1</v>
      </c>
      <c r="J14" s="14" t="str">
        <f>E14</f>
        <v xml:space="preserve">Œuf </v>
      </c>
      <c r="L14" s="61"/>
      <c r="M14" s="64"/>
      <c r="N14" s="15">
        <f>1</f>
        <v>1</v>
      </c>
      <c r="O14" s="14" t="str">
        <f>J14</f>
        <v xml:space="preserve">Œuf </v>
      </c>
      <c r="Q14" s="61"/>
      <c r="R14" s="64"/>
      <c r="S14" s="15">
        <f>1</f>
        <v>1</v>
      </c>
      <c r="T14" s="14" t="str">
        <f>O14</f>
        <v xml:space="preserve">Œuf </v>
      </c>
      <c r="V14" s="79"/>
      <c r="W14" s="80"/>
      <c r="Y14" s="39">
        <v>2.75</v>
      </c>
      <c r="Z14" s="35">
        <f t="shared" si="0"/>
        <v>1.8347999999999998</v>
      </c>
      <c r="AA14" s="41">
        <f>SUM(D13*2,D24,D35,S41,S30,S19,S8)</f>
        <v>667.19999999999993</v>
      </c>
      <c r="AB14" s="33" t="str">
        <f>'[1]Différents types'!E12</f>
        <v>Foie de poulet</v>
      </c>
      <c r="AC14" s="32">
        <f t="shared" si="2"/>
        <v>1.6494423664248033E-2</v>
      </c>
      <c r="AD14" s="31">
        <f t="shared" si="1"/>
        <v>2.0216606498194945E-2</v>
      </c>
      <c r="AE14" s="16">
        <f t="shared" si="3"/>
        <v>3.7221828339469125E-3</v>
      </c>
      <c r="AF14" s="21"/>
    </row>
    <row r="15" spans="2:32" ht="15.75" thickBot="1" x14ac:dyDescent="0.3">
      <c r="B15" s="61"/>
      <c r="C15" s="65"/>
      <c r="D15" s="6">
        <v>238.28571428571428</v>
      </c>
      <c r="E15" s="24" t="s">
        <v>48</v>
      </c>
      <c r="G15" s="61"/>
      <c r="H15" s="65"/>
      <c r="I15" s="6">
        <f>I9</f>
        <v>238.28571428571428</v>
      </c>
      <c r="J15" s="5" t="str">
        <f>E20</f>
        <v>Sardine</v>
      </c>
      <c r="L15" s="61"/>
      <c r="M15" s="65"/>
      <c r="N15" s="6">
        <f>N9</f>
        <v>238.28571428571428</v>
      </c>
      <c r="O15" s="5" t="str">
        <f>O9</f>
        <v>Sprats</v>
      </c>
      <c r="Q15" s="61"/>
      <c r="R15" s="65"/>
      <c r="S15" s="6">
        <f>S9</f>
        <v>238.28571428571428</v>
      </c>
      <c r="T15" s="5" t="str">
        <f>T9</f>
        <v>Harengs</v>
      </c>
      <c r="V15" s="82">
        <f>AA16/W23/1000</f>
        <v>0.22580645161290319</v>
      </c>
      <c r="W15" s="77">
        <f>SUM(AA15:AA17)/1000/AA29</f>
        <v>0.31290322580645163</v>
      </c>
      <c r="Y15" s="39">
        <f>3.41</f>
        <v>3.41</v>
      </c>
      <c r="Z15" s="35">
        <f t="shared" si="0"/>
        <v>18.485610000000001</v>
      </c>
      <c r="AA15" s="41">
        <f>SUM(D17*2,D22,D39,I6,I22,,I33,N6,N11,,N28,S39,S11,S6)</f>
        <v>5421</v>
      </c>
      <c r="AB15" s="33" t="str">
        <f>'[1]Différents types'!E13</f>
        <v xml:space="preserve">Viande de porc </v>
      </c>
      <c r="AC15" s="32">
        <f t="shared" si="2"/>
        <v>0.16618131841729897</v>
      </c>
      <c r="AD15" s="31">
        <f t="shared" si="1"/>
        <v>0.16425992779783394</v>
      </c>
      <c r="AE15" s="16">
        <f t="shared" si="3"/>
        <v>-1.9213906194650299E-3</v>
      </c>
      <c r="AF15" s="21"/>
    </row>
    <row r="16" spans="2:32" ht="15.75" thickBot="1" x14ac:dyDescent="0.3">
      <c r="B16" s="62"/>
      <c r="C16" s="4" t="s">
        <v>0</v>
      </c>
      <c r="D16" s="13">
        <v>333.6</v>
      </c>
      <c r="E16" s="12" t="s">
        <v>53</v>
      </c>
      <c r="G16" s="62"/>
      <c r="H16" s="4" t="s">
        <v>0</v>
      </c>
      <c r="I16" s="13">
        <f>I10</f>
        <v>333.6</v>
      </c>
      <c r="J16" s="12" t="str">
        <f>AB21</f>
        <v>Côtes d'agneau</v>
      </c>
      <c r="L16" s="62"/>
      <c r="M16" s="4" t="s">
        <v>0</v>
      </c>
      <c r="N16" s="13">
        <f>N10</f>
        <v>333.6</v>
      </c>
      <c r="O16" s="43" t="str">
        <f>J10</f>
        <v xml:space="preserve">Carcasse de poulet </v>
      </c>
      <c r="Q16" s="62"/>
      <c r="R16" s="4" t="s">
        <v>0</v>
      </c>
      <c r="S16" s="13">
        <f>S10</f>
        <v>333.6</v>
      </c>
      <c r="T16" s="43" t="str">
        <f>T10</f>
        <v>Cous de poulet</v>
      </c>
      <c r="V16" s="80"/>
      <c r="W16" s="78"/>
      <c r="Y16" s="39">
        <v>2.75</v>
      </c>
      <c r="Z16" s="35">
        <f t="shared" si="0"/>
        <v>6.4217999999999993</v>
      </c>
      <c r="AA16" s="41">
        <f>SUM(D21*2,D27,I32,I27,N27,N32)</f>
        <v>2335.1999999999998</v>
      </c>
      <c r="AB16" s="33" t="str">
        <f>'[1]Différents types'!E14</f>
        <v>Côtes de porc</v>
      </c>
      <c r="AC16" s="32">
        <f t="shared" si="2"/>
        <v>5.7730482824868118E-2</v>
      </c>
      <c r="AD16" s="31">
        <f t="shared" si="1"/>
        <v>7.0758122743682303E-2</v>
      </c>
      <c r="AE16" s="16">
        <f t="shared" si="3"/>
        <v>1.3027639918814185E-2</v>
      </c>
      <c r="AF16" s="21"/>
    </row>
    <row r="17" spans="2:32" ht="15.75" thickBot="1" x14ac:dyDescent="0.3">
      <c r="B17" s="60" t="s">
        <v>25</v>
      </c>
      <c r="C17" s="57" t="s">
        <v>1</v>
      </c>
      <c r="D17" s="11">
        <v>417</v>
      </c>
      <c r="E17" s="10" t="s">
        <v>54</v>
      </c>
      <c r="G17" s="60" t="s">
        <v>24</v>
      </c>
      <c r="H17" s="63" t="s">
        <v>1</v>
      </c>
      <c r="I17" s="11">
        <f>[1]Début!$C$12</f>
        <v>417</v>
      </c>
      <c r="J17" s="10" t="str">
        <f>J11</f>
        <v xml:space="preserve">Viande de bœuf </v>
      </c>
      <c r="L17" s="60" t="s">
        <v>23</v>
      </c>
      <c r="M17" s="57" t="s">
        <v>1</v>
      </c>
      <c r="N17" s="11">
        <f>[1]Début!$C$12</f>
        <v>417</v>
      </c>
      <c r="O17" s="10" t="str">
        <f>J28</f>
        <v xml:space="preserve">Filet de poulet </v>
      </c>
      <c r="Q17" s="60" t="s">
        <v>22</v>
      </c>
      <c r="R17" s="57" t="s">
        <v>1</v>
      </c>
      <c r="S17" s="11">
        <f>[1]Début!$C$12</f>
        <v>417</v>
      </c>
      <c r="T17" s="10" t="str">
        <f>AB8</f>
        <v xml:space="preserve">Filet de poulet </v>
      </c>
      <c r="V17" s="81"/>
      <c r="W17" s="79"/>
      <c r="Y17" s="39">
        <v>2.97</v>
      </c>
      <c r="Z17" s="35">
        <f t="shared" si="0"/>
        <v>0.99079200000000012</v>
      </c>
      <c r="AA17" s="41">
        <f>SUM(I8,I19,I30,I41)</f>
        <v>333.6</v>
      </c>
      <c r="AB17" s="42" t="str">
        <f>'[1]Différents types'!E15</f>
        <v>Foie de porc</v>
      </c>
      <c r="AC17" s="32">
        <f t="shared" si="2"/>
        <v>8.9069887786939403E-3</v>
      </c>
      <c r="AD17" s="31">
        <f t="shared" si="1"/>
        <v>1.0108303249097474E-2</v>
      </c>
      <c r="AE17" s="16">
        <f t="shared" si="3"/>
        <v>1.201314470403534E-3</v>
      </c>
      <c r="AF17" s="21"/>
    </row>
    <row r="18" spans="2:32" x14ac:dyDescent="0.25">
      <c r="B18" s="61"/>
      <c r="C18" s="58"/>
      <c r="D18" s="9">
        <v>2.7</v>
      </c>
      <c r="E18" s="7" t="s">
        <v>46</v>
      </c>
      <c r="G18" s="61"/>
      <c r="H18" s="64"/>
      <c r="I18" s="9">
        <f>[1]Début!$C$17</f>
        <v>2.7</v>
      </c>
      <c r="J18" s="7" t="str">
        <f>J12</f>
        <v>Mix légumes</v>
      </c>
      <c r="L18" s="61"/>
      <c r="M18" s="58"/>
      <c r="N18" s="9">
        <f>[1]Début!$C$17</f>
        <v>2.7</v>
      </c>
      <c r="O18" s="7" t="str">
        <f>O12</f>
        <v>Mix légumes</v>
      </c>
      <c r="Q18" s="61"/>
      <c r="R18" s="58"/>
      <c r="S18" s="9">
        <f>[1]Début!$C$17</f>
        <v>2.7</v>
      </c>
      <c r="T18" s="7" t="str">
        <f>T12</f>
        <v>Mix légumes</v>
      </c>
      <c r="V18" s="77">
        <f>AA21/W23/1000</f>
        <v>0.22580645161290319</v>
      </c>
      <c r="W18" s="80">
        <f>SUM(AA18:AA20,AA21)/AA29/1000</f>
        <v>0.2193548387096774</v>
      </c>
      <c r="Y18" s="39">
        <v>2.97</v>
      </c>
      <c r="Z18" s="35">
        <f t="shared" si="0"/>
        <v>0.74309400000000003</v>
      </c>
      <c r="AA18" s="41">
        <f>SUM(N13,N24,N35)</f>
        <v>250.20000000000002</v>
      </c>
      <c r="AB18" s="33" t="str">
        <f>"Foie de bœuf"</f>
        <v>Foie de bœuf</v>
      </c>
      <c r="AC18" s="32">
        <f t="shared" si="2"/>
        <v>6.6802415840204552E-3</v>
      </c>
      <c r="AD18" s="31">
        <f t="shared" si="1"/>
        <v>7.5812274368231049E-3</v>
      </c>
      <c r="AE18" s="16">
        <f t="shared" si="3"/>
        <v>9.0098585280264966E-4</v>
      </c>
      <c r="AF18" s="21"/>
    </row>
    <row r="19" spans="2:32" x14ac:dyDescent="0.25">
      <c r="B19" s="61"/>
      <c r="C19" s="58"/>
      <c r="D19" s="8">
        <v>83.4</v>
      </c>
      <c r="E19" s="7" t="s">
        <v>47</v>
      </c>
      <c r="G19" s="61"/>
      <c r="H19" s="64"/>
      <c r="I19" s="8">
        <f>[1]Début!$C$14</f>
        <v>83.4</v>
      </c>
      <c r="J19" s="7" t="str">
        <f>J8</f>
        <v>Foie de porc</v>
      </c>
      <c r="L19" s="61"/>
      <c r="M19" s="58"/>
      <c r="N19" s="8">
        <f>[1]Début!$C$14</f>
        <v>83.4</v>
      </c>
      <c r="O19" s="7" t="str">
        <f>O8</f>
        <v xml:space="preserve">Cœur de bœuf </v>
      </c>
      <c r="Q19" s="61"/>
      <c r="R19" s="58"/>
      <c r="S19" s="8">
        <f>[1]Début!$C$14</f>
        <v>83.4</v>
      </c>
      <c r="T19" s="7" t="str">
        <f>T8</f>
        <v>Foie de poulet</v>
      </c>
      <c r="V19" s="78"/>
      <c r="W19" s="80"/>
      <c r="Y19" s="39">
        <v>3.08</v>
      </c>
      <c r="Z19" s="35">
        <f t="shared" si="0"/>
        <v>1.7981039999999999</v>
      </c>
      <c r="AA19" s="41">
        <f>SUM(N8,N19,N30,N41,I13,I24,I35)</f>
        <v>583.79999999999995</v>
      </c>
      <c r="AB19" s="33" t="str">
        <f>'[1]Différents types'!E18</f>
        <v xml:space="preserve">Cœur de bœuf </v>
      </c>
      <c r="AC19" s="32">
        <f t="shared" si="2"/>
        <v>1.6164535190963076E-2</v>
      </c>
      <c r="AD19" s="31">
        <f t="shared" si="1"/>
        <v>1.7689530685920576E-2</v>
      </c>
      <c r="AE19" s="16">
        <f t="shared" si="3"/>
        <v>1.5249954949574998E-3</v>
      </c>
      <c r="AF19" s="21"/>
    </row>
    <row r="20" spans="2:32" ht="15.75" thickBot="1" x14ac:dyDescent="0.3">
      <c r="B20" s="61"/>
      <c r="C20" s="59"/>
      <c r="D20" s="6">
        <v>238.28571428571428</v>
      </c>
      <c r="E20" s="5" t="s">
        <v>48</v>
      </c>
      <c r="G20" s="61"/>
      <c r="H20" s="65"/>
      <c r="I20" s="6">
        <f>[1]Début!$C$16</f>
        <v>238.28571428571428</v>
      </c>
      <c r="J20" s="5" t="str">
        <f>J15</f>
        <v>Sardine</v>
      </c>
      <c r="L20" s="61"/>
      <c r="M20" s="59"/>
      <c r="N20" s="6">
        <f>[1]Début!$C$16</f>
        <v>238.28571428571428</v>
      </c>
      <c r="O20" s="5" t="str">
        <f>O15</f>
        <v>Sprats</v>
      </c>
      <c r="Q20" s="61"/>
      <c r="R20" s="59"/>
      <c r="S20" s="6">
        <f>[1]Début!$C$16</f>
        <v>238.28571428571428</v>
      </c>
      <c r="T20" s="5" t="str">
        <f>T15</f>
        <v>Harengs</v>
      </c>
      <c r="V20" s="78"/>
      <c r="W20" s="80"/>
      <c r="Y20" s="39">
        <v>4.8499999999999996</v>
      </c>
      <c r="Z20" s="35">
        <f t="shared" si="0"/>
        <v>12.134699999999999</v>
      </c>
      <c r="AA20" s="41">
        <f>SUM(D11*2,I11,I17,N39,S28)</f>
        <v>2502</v>
      </c>
      <c r="AB20" s="33" t="str">
        <f>'[1]Différents types'!E19</f>
        <v xml:space="preserve">Viande de bœuf </v>
      </c>
      <c r="AC20" s="32">
        <f t="shared" si="2"/>
        <v>0.10908812014309496</v>
      </c>
      <c r="AD20" s="31">
        <f t="shared" si="1"/>
        <v>7.5812274368231042E-2</v>
      </c>
      <c r="AE20" s="16">
        <f t="shared" si="3"/>
        <v>-3.3275845774863921E-2</v>
      </c>
      <c r="AF20" s="21"/>
    </row>
    <row r="21" spans="2:32" ht="15.75" thickBot="1" x14ac:dyDescent="0.3">
      <c r="B21" s="62"/>
      <c r="C21" s="4" t="s">
        <v>0</v>
      </c>
      <c r="D21" s="18">
        <v>333.6</v>
      </c>
      <c r="E21" s="17" t="s">
        <v>55</v>
      </c>
      <c r="G21" s="62"/>
      <c r="H21" s="4" t="s">
        <v>0</v>
      </c>
      <c r="I21" s="18">
        <f>[1]Début!$C$13</f>
        <v>333.6</v>
      </c>
      <c r="J21" s="17" t="str">
        <f>J16</f>
        <v>Côtes d'agneau</v>
      </c>
      <c r="L21" s="62"/>
      <c r="M21" s="4" t="s">
        <v>0</v>
      </c>
      <c r="N21" s="18">
        <f>[1]Début!$C$13</f>
        <v>333.6</v>
      </c>
      <c r="O21" s="17" t="str">
        <f>O16</f>
        <v xml:space="preserve">Carcasse de poulet </v>
      </c>
      <c r="Q21" s="62"/>
      <c r="R21" s="4" t="s">
        <v>0</v>
      </c>
      <c r="S21" s="18">
        <f>[1]Début!$C$13</f>
        <v>333.6</v>
      </c>
      <c r="T21" s="17" t="str">
        <f>T27</f>
        <v>Côtes d'agneau</v>
      </c>
      <c r="V21" s="78"/>
      <c r="W21" s="80"/>
      <c r="Y21" s="30">
        <v>3.3</v>
      </c>
      <c r="Z21" s="35">
        <f t="shared" si="0"/>
        <v>7.7061599999999988</v>
      </c>
      <c r="AA21" s="28">
        <f>SUM(S32,S27,S21,N38,N43,I21,I16)</f>
        <v>2335.1999999999998</v>
      </c>
      <c r="AB21" s="33" t="str">
        <f>'[1]Différents types'!E21</f>
        <v>Côtes d'agneau</v>
      </c>
      <c r="AC21" s="32">
        <f t="shared" si="2"/>
        <v>6.9276579389841747E-2</v>
      </c>
      <c r="AD21" s="31">
        <f t="shared" si="1"/>
        <v>7.0758122743682303E-2</v>
      </c>
      <c r="AE21" s="16">
        <f t="shared" si="3"/>
        <v>1.4815433538405559E-3</v>
      </c>
      <c r="AF21" s="21"/>
    </row>
    <row r="22" spans="2:32" ht="15.75" thickBot="1" x14ac:dyDescent="0.3">
      <c r="B22" s="60" t="s">
        <v>21</v>
      </c>
      <c r="C22" s="63" t="s">
        <v>1</v>
      </c>
      <c r="D22" s="11">
        <v>417</v>
      </c>
      <c r="E22" s="10" t="s">
        <v>54</v>
      </c>
      <c r="G22" s="60" t="s">
        <v>20</v>
      </c>
      <c r="H22" s="63" t="s">
        <v>1</v>
      </c>
      <c r="I22" s="11">
        <f>I17</f>
        <v>417</v>
      </c>
      <c r="J22" s="10" t="str">
        <f>E22</f>
        <v xml:space="preserve">Viande de porc </v>
      </c>
      <c r="L22" s="60" t="s">
        <v>19</v>
      </c>
      <c r="M22" s="63" t="s">
        <v>1</v>
      </c>
      <c r="N22" s="11">
        <f>N17</f>
        <v>417</v>
      </c>
      <c r="O22" s="10" t="str">
        <f>O17</f>
        <v xml:space="preserve">Filet de poulet </v>
      </c>
      <c r="Q22" s="60" t="s">
        <v>18</v>
      </c>
      <c r="R22" s="63" t="s">
        <v>1</v>
      </c>
      <c r="S22" s="11">
        <f>S17</f>
        <v>417</v>
      </c>
      <c r="T22" s="10" t="str">
        <f>T17</f>
        <v xml:space="preserve">Filet de poulet </v>
      </c>
      <c r="V22" s="79"/>
      <c r="W22" s="81"/>
      <c r="X22" s="40"/>
      <c r="Y22" s="39">
        <v>0.46</v>
      </c>
      <c r="Z22" s="35">
        <f>Y22*AA22</f>
        <v>6.9</v>
      </c>
      <c r="AA22" s="38">
        <f>15</f>
        <v>15</v>
      </c>
      <c r="AB22" s="33" t="str">
        <f>'[1]Différents types'!E20</f>
        <v xml:space="preserve">Œuf </v>
      </c>
      <c r="AC22" s="32"/>
      <c r="AD22" s="31"/>
      <c r="AF22" s="21"/>
    </row>
    <row r="23" spans="2:32" x14ac:dyDescent="0.25">
      <c r="B23" s="61"/>
      <c r="C23" s="64"/>
      <c r="D23" s="9">
        <v>2.7</v>
      </c>
      <c r="E23" s="7" t="s">
        <v>46</v>
      </c>
      <c r="G23" s="61"/>
      <c r="H23" s="64"/>
      <c r="I23" s="9">
        <f>I18</f>
        <v>2.7</v>
      </c>
      <c r="J23" s="7" t="str">
        <f>J18</f>
        <v>Mix légumes</v>
      </c>
      <c r="L23" s="61"/>
      <c r="M23" s="64"/>
      <c r="N23" s="9">
        <f>N18</f>
        <v>2.7</v>
      </c>
      <c r="O23" s="7" t="str">
        <f>O18</f>
        <v>Mix légumes</v>
      </c>
      <c r="Q23" s="61"/>
      <c r="R23" s="64"/>
      <c r="S23" s="9">
        <f>S18</f>
        <v>2.7</v>
      </c>
      <c r="T23" s="7" t="str">
        <f>T18</f>
        <v>Mix légumes</v>
      </c>
      <c r="W23" s="37">
        <f>SUM(AA9:AA12,AA16,AA21)/1000</f>
        <v>10.3416</v>
      </c>
      <c r="X23" s="36"/>
      <c r="Y23" s="30">
        <v>3.3</v>
      </c>
      <c r="Z23" s="35">
        <f>Y23*AA23/1000</f>
        <v>7.863428571428571</v>
      </c>
      <c r="AA23" s="34">
        <f>D15*10</f>
        <v>2382.8571428571427</v>
      </c>
      <c r="AB23" s="33" t="str">
        <f>'[1]Différents types'!E22</f>
        <v>Sprats</v>
      </c>
      <c r="AC23" s="32">
        <f>Z23/$Z$26</f>
        <v>7.0690387132491581E-2</v>
      </c>
      <c r="AD23" s="31">
        <f>AA23/$AA$26/1000</f>
        <v>7.2202166064981935E-2</v>
      </c>
      <c r="AE23" s="16">
        <f>AD23-AC23</f>
        <v>1.5117789324903541E-3</v>
      </c>
      <c r="AF23" s="21"/>
    </row>
    <row r="24" spans="2:32" x14ac:dyDescent="0.25">
      <c r="B24" s="61"/>
      <c r="C24" s="64"/>
      <c r="D24" s="8">
        <v>83.4</v>
      </c>
      <c r="E24" s="7" t="s">
        <v>51</v>
      </c>
      <c r="G24" s="61"/>
      <c r="H24" s="64"/>
      <c r="I24" s="8">
        <f>I19</f>
        <v>83.4</v>
      </c>
      <c r="J24" s="7" t="e">
        <f>J13</f>
        <v>#REF!</v>
      </c>
      <c r="L24" s="61"/>
      <c r="M24" s="64"/>
      <c r="N24" s="8">
        <f>N19</f>
        <v>83.4</v>
      </c>
      <c r="O24" s="7" t="str">
        <f>O13</f>
        <v>Foie de bœuf</v>
      </c>
      <c r="Q24" s="61"/>
      <c r="R24" s="64"/>
      <c r="S24" s="8">
        <f>S19</f>
        <v>83.4</v>
      </c>
      <c r="T24" s="7" t="str">
        <f>T13</f>
        <v xml:space="preserve">Cœur de poulet </v>
      </c>
      <c r="V24" s="23">
        <f>SUM(AA9:AA12)</f>
        <v>5671.2000000000007</v>
      </c>
      <c r="X24" s="36"/>
      <c r="Y24" s="30">
        <v>3.5</v>
      </c>
      <c r="Z24" s="35">
        <f>Y24*AA24/1000</f>
        <v>8.34</v>
      </c>
      <c r="AA24" s="34">
        <f>AA23</f>
        <v>2382.8571428571427</v>
      </c>
      <c r="AB24" s="33" t="str">
        <f>'[1]Différents types'!E23</f>
        <v>Sardine</v>
      </c>
      <c r="AC24" s="32">
        <f>Z24/$Z$26</f>
        <v>7.4974653019309251E-2</v>
      </c>
      <c r="AD24" s="31">
        <f>AA24/$AA$26/1000</f>
        <v>7.2202166064981935E-2</v>
      </c>
      <c r="AE24" s="16">
        <f>AD24-AC24</f>
        <v>-2.7724869543273162E-3</v>
      </c>
      <c r="AF24" s="21"/>
    </row>
    <row r="25" spans="2:32" ht="15.75" thickBot="1" x14ac:dyDescent="0.3">
      <c r="B25" s="61"/>
      <c r="C25" s="64"/>
      <c r="D25" s="15">
        <v>1</v>
      </c>
      <c r="E25" s="14" t="s">
        <v>52</v>
      </c>
      <c r="G25" s="61"/>
      <c r="H25" s="64"/>
      <c r="I25" s="15">
        <f>1</f>
        <v>1</v>
      </c>
      <c r="J25" s="14" t="str">
        <f>J14</f>
        <v xml:space="preserve">Œuf </v>
      </c>
      <c r="L25" s="61"/>
      <c r="M25" s="64"/>
      <c r="N25" s="15">
        <f>1</f>
        <v>1</v>
      </c>
      <c r="O25" s="14" t="str">
        <f>O14</f>
        <v xml:space="preserve">Œuf </v>
      </c>
      <c r="Q25" s="61"/>
      <c r="R25" s="64"/>
      <c r="S25" s="15">
        <f>1</f>
        <v>1</v>
      </c>
      <c r="T25" s="14" t="str">
        <f>T14</f>
        <v xml:space="preserve">Œuf </v>
      </c>
      <c r="V25" s="23">
        <f>AA16</f>
        <v>2335.1999999999998</v>
      </c>
      <c r="W25" s="20"/>
      <c r="Y25" s="30">
        <v>3.41</v>
      </c>
      <c r="Z25" s="29">
        <f>Y25*AA25/1000</f>
        <v>8.1255428571428574</v>
      </c>
      <c r="AA25" s="28">
        <f>AA24</f>
        <v>2382.8571428571427</v>
      </c>
      <c r="AB25" s="27" t="str">
        <f>'[1]Différents types'!E24</f>
        <v>Harengs</v>
      </c>
      <c r="AC25" s="26">
        <f>Z25/$Z$26</f>
        <v>7.3046733370241312E-2</v>
      </c>
      <c r="AD25" s="25">
        <f>AA25/$AA$26/1000</f>
        <v>7.2202166064981935E-2</v>
      </c>
      <c r="AE25" s="16">
        <f>AD25-AC25</f>
        <v>-8.4456730525937773E-4</v>
      </c>
      <c r="AF25" s="21"/>
    </row>
    <row r="26" spans="2:32" ht="15.75" thickBot="1" x14ac:dyDescent="0.3">
      <c r="B26" s="61"/>
      <c r="C26" s="65"/>
      <c r="D26" s="6">
        <v>238.28571428571428</v>
      </c>
      <c r="E26" s="24" t="s">
        <v>48</v>
      </c>
      <c r="G26" s="61"/>
      <c r="H26" s="65"/>
      <c r="I26" s="6">
        <f>I20</f>
        <v>238.28571428571428</v>
      </c>
      <c r="J26" s="5" t="str">
        <f>AB23</f>
        <v>Sprats</v>
      </c>
      <c r="L26" s="61"/>
      <c r="M26" s="65"/>
      <c r="N26" s="6">
        <f>N20</f>
        <v>238.28571428571428</v>
      </c>
      <c r="O26" s="5" t="str">
        <f>O20</f>
        <v>Sprats</v>
      </c>
      <c r="Q26" s="61"/>
      <c r="R26" s="65"/>
      <c r="S26" s="6">
        <f>S20</f>
        <v>238.28571428571428</v>
      </c>
      <c r="T26" s="5" t="str">
        <f>T20</f>
        <v>Harengs</v>
      </c>
      <c r="V26" s="23">
        <f>AA21</f>
        <v>2335.1999999999998</v>
      </c>
      <c r="W26" s="20"/>
      <c r="X26" s="22"/>
      <c r="Y26" s="83"/>
      <c r="Z26" s="85">
        <f>SUM(Z8:Z25)</f>
        <v>111.23759382857143</v>
      </c>
      <c r="AA26" s="87">
        <f>SUM(AA8:AA21,AA23:AA25)/1000</f>
        <v>33.002571428571429</v>
      </c>
      <c r="AB26" s="89" t="s">
        <v>17</v>
      </c>
      <c r="AC26" s="91"/>
      <c r="AD26" s="93"/>
      <c r="AF26" s="21"/>
    </row>
    <row r="27" spans="2:32" ht="15.75" thickBot="1" x14ac:dyDescent="0.3">
      <c r="B27" s="62" t="s">
        <v>16</v>
      </c>
      <c r="C27" s="4" t="s">
        <v>0</v>
      </c>
      <c r="D27" s="13">
        <v>333.6</v>
      </c>
      <c r="E27" s="12" t="s">
        <v>55</v>
      </c>
      <c r="G27" s="62" t="s">
        <v>16</v>
      </c>
      <c r="H27" s="4" t="s">
        <v>0</v>
      </c>
      <c r="I27" s="13">
        <f>I21</f>
        <v>333.6</v>
      </c>
      <c r="J27" s="12" t="str">
        <f>AB16</f>
        <v>Côtes de porc</v>
      </c>
      <c r="L27" s="62" t="s">
        <v>16</v>
      </c>
      <c r="M27" s="4" t="s">
        <v>0</v>
      </c>
      <c r="N27" s="13">
        <f>N21</f>
        <v>333.6</v>
      </c>
      <c r="O27" s="12" t="str">
        <f>J27</f>
        <v>Côtes de porc</v>
      </c>
      <c r="Q27" s="62" t="s">
        <v>16</v>
      </c>
      <c r="R27" s="4" t="s">
        <v>0</v>
      </c>
      <c r="S27" s="13">
        <f>S21</f>
        <v>333.6</v>
      </c>
      <c r="T27" s="12" t="str">
        <f>AB21</f>
        <v>Côtes d'agneau</v>
      </c>
      <c r="W27" s="20"/>
      <c r="Y27" s="84"/>
      <c r="Z27" s="86"/>
      <c r="AA27" s="88"/>
      <c r="AB27" s="90"/>
      <c r="AC27" s="92"/>
      <c r="AD27" s="94"/>
      <c r="AF27" s="21"/>
    </row>
    <row r="28" spans="2:32" x14ac:dyDescent="0.25">
      <c r="B28" s="72" t="s">
        <v>16</v>
      </c>
      <c r="C28" s="57" t="s">
        <v>1</v>
      </c>
      <c r="D28" s="11">
        <v>417</v>
      </c>
      <c r="E28" s="10" t="s">
        <v>45</v>
      </c>
      <c r="G28" s="72" t="s">
        <v>15</v>
      </c>
      <c r="H28" s="63" t="s">
        <v>1</v>
      </c>
      <c r="I28" s="11">
        <f>[1]Début!$C$12</f>
        <v>417</v>
      </c>
      <c r="J28" s="10" t="str">
        <f>E6</f>
        <v xml:space="preserve">Filet de poulet </v>
      </c>
      <c r="L28" s="72" t="s">
        <v>14</v>
      </c>
      <c r="M28" s="57" t="s">
        <v>1</v>
      </c>
      <c r="N28" s="11">
        <f>[1]Début!$C$12</f>
        <v>417</v>
      </c>
      <c r="O28" s="10" t="str">
        <f>O11</f>
        <v xml:space="preserve">Viande de porc </v>
      </c>
      <c r="Q28" s="72" t="s">
        <v>13</v>
      </c>
      <c r="R28" s="57" t="s">
        <v>1</v>
      </c>
      <c r="S28" s="11">
        <f>[1]Début!$C$12</f>
        <v>417</v>
      </c>
      <c r="T28" s="10" t="str">
        <f>AB20</f>
        <v xml:space="preserve">Viande de bœuf </v>
      </c>
      <c r="Y28" t="s">
        <v>12</v>
      </c>
      <c r="Z28" s="19">
        <f>SUM(Z23:Z25)</f>
        <v>24.328971428571428</v>
      </c>
      <c r="AA28" s="20">
        <f>SUM(AA23:AA25)/1000</f>
        <v>7.1485714285714277</v>
      </c>
    </row>
    <row r="29" spans="2:32" x14ac:dyDescent="0.25">
      <c r="B29" s="73"/>
      <c r="C29" s="58"/>
      <c r="D29" s="9">
        <v>2.7</v>
      </c>
      <c r="E29" s="7" t="s">
        <v>46</v>
      </c>
      <c r="G29" s="73"/>
      <c r="H29" s="64"/>
      <c r="I29" s="9">
        <f>[1]Début!$C$17</f>
        <v>2.7</v>
      </c>
      <c r="J29" s="7" t="str">
        <f>J23</f>
        <v>Mix légumes</v>
      </c>
      <c r="L29" s="73"/>
      <c r="M29" s="58"/>
      <c r="N29" s="9">
        <f>[1]Début!$C$17</f>
        <v>2.7</v>
      </c>
      <c r="O29" s="7" t="str">
        <f>O23</f>
        <v>Mix légumes</v>
      </c>
      <c r="Q29" s="73"/>
      <c r="R29" s="58"/>
      <c r="S29" s="9">
        <f>[1]Début!$C$17</f>
        <v>2.7</v>
      </c>
      <c r="T29" s="7" t="str">
        <f>T23</f>
        <v>Mix légumes</v>
      </c>
      <c r="Y29" t="s">
        <v>11</v>
      </c>
      <c r="Z29" s="19">
        <f>Z26-Z28</f>
        <v>86.908622400000013</v>
      </c>
      <c r="AA29" s="20">
        <f>AA26-(AA28)</f>
        <v>25.853999999999999</v>
      </c>
    </row>
    <row r="30" spans="2:32" x14ac:dyDescent="0.25">
      <c r="B30" s="73"/>
      <c r="C30" s="58"/>
      <c r="D30" s="8">
        <v>83.4</v>
      </c>
      <c r="E30" s="7" t="s">
        <v>47</v>
      </c>
      <c r="G30" s="73"/>
      <c r="H30" s="64"/>
      <c r="I30" s="8">
        <f>[1]Début!$C$14</f>
        <v>83.4</v>
      </c>
      <c r="J30" s="7" t="str">
        <f>J19</f>
        <v>Foie de porc</v>
      </c>
      <c r="L30" s="73"/>
      <c r="M30" s="58"/>
      <c r="N30" s="8">
        <f>[1]Début!$C$14</f>
        <v>83.4</v>
      </c>
      <c r="O30" s="7" t="str">
        <f>O19</f>
        <v xml:space="preserve">Cœur de bœuf </v>
      </c>
      <c r="Q30" s="73"/>
      <c r="R30" s="58"/>
      <c r="S30" s="8">
        <f>[1]Début!$C$14</f>
        <v>83.4</v>
      </c>
      <c r="T30" s="7" t="str">
        <f>T19</f>
        <v>Foie de poulet</v>
      </c>
      <c r="Y30" t="s">
        <v>10</v>
      </c>
      <c r="Z30" s="19">
        <f>Z26/28</f>
        <v>3.9727712081632656</v>
      </c>
    </row>
    <row r="31" spans="2:32" ht="15.75" thickBot="1" x14ac:dyDescent="0.3">
      <c r="B31" s="73"/>
      <c r="C31" s="59"/>
      <c r="D31" s="6">
        <v>238.28571428571428</v>
      </c>
      <c r="E31" s="5" t="s">
        <v>48</v>
      </c>
      <c r="G31" s="73"/>
      <c r="H31" s="65"/>
      <c r="I31" s="6">
        <f>[1]Début!$C$16</f>
        <v>238.28571428571428</v>
      </c>
      <c r="J31" s="5" t="str">
        <f>J26</f>
        <v>Sprats</v>
      </c>
      <c r="L31" s="73"/>
      <c r="M31" s="59"/>
      <c r="N31" s="6">
        <f>[1]Début!$C$16</f>
        <v>238.28571428571428</v>
      </c>
      <c r="O31" s="5" t="str">
        <f>O26</f>
        <v>Sprats</v>
      </c>
      <c r="Q31" s="73"/>
      <c r="R31" s="59"/>
      <c r="S31" s="6">
        <f>[1]Début!$C$16</f>
        <v>238.28571428571428</v>
      </c>
      <c r="T31" s="5" t="str">
        <f>T26</f>
        <v>Harengs</v>
      </c>
      <c r="Z31" s="19"/>
    </row>
    <row r="32" spans="2:32" ht="15.75" thickBot="1" x14ac:dyDescent="0.3">
      <c r="B32" s="74"/>
      <c r="C32" s="4" t="s">
        <v>0</v>
      </c>
      <c r="D32" s="18">
        <v>333.6</v>
      </c>
      <c r="E32" s="17" t="s">
        <v>56</v>
      </c>
      <c r="G32" s="74"/>
      <c r="H32" s="4" t="s">
        <v>0</v>
      </c>
      <c r="I32" s="18">
        <f>[1]Début!$C$13</f>
        <v>333.6</v>
      </c>
      <c r="J32" s="17" t="str">
        <f>J27</f>
        <v>Côtes de porc</v>
      </c>
      <c r="L32" s="74"/>
      <c r="M32" s="4" t="s">
        <v>0</v>
      </c>
      <c r="N32" s="18">
        <f>[1]Début!$C$13</f>
        <v>333.6</v>
      </c>
      <c r="O32" s="17" t="str">
        <f>O27</f>
        <v>Côtes de porc</v>
      </c>
      <c r="Q32" s="74"/>
      <c r="R32" s="4" t="s">
        <v>0</v>
      </c>
      <c r="S32" s="18">
        <f>[1]Début!$C$13</f>
        <v>333.6</v>
      </c>
      <c r="T32" s="17" t="str">
        <f>T27</f>
        <v>Côtes d'agneau</v>
      </c>
      <c r="AE32" s="16"/>
    </row>
    <row r="33" spans="2:20" x14ac:dyDescent="0.25">
      <c r="B33" s="60" t="s">
        <v>9</v>
      </c>
      <c r="C33" s="63" t="s">
        <v>1</v>
      </c>
      <c r="D33" s="11">
        <v>417</v>
      </c>
      <c r="E33" s="10" t="s">
        <v>45</v>
      </c>
      <c r="G33" s="72" t="s">
        <v>8</v>
      </c>
      <c r="H33" s="63" t="s">
        <v>1</v>
      </c>
      <c r="I33" s="11">
        <f>I28</f>
        <v>417</v>
      </c>
      <c r="J33" s="10" t="str">
        <f>J22</f>
        <v xml:space="preserve">Viande de porc </v>
      </c>
      <c r="L33" s="60" t="s">
        <v>7</v>
      </c>
      <c r="M33" s="63" t="s">
        <v>1</v>
      </c>
      <c r="N33" s="11">
        <f>N28</f>
        <v>417</v>
      </c>
      <c r="O33" s="10" t="str">
        <f>O22</f>
        <v xml:space="preserve">Filet de poulet </v>
      </c>
      <c r="Q33" s="60" t="s">
        <v>6</v>
      </c>
      <c r="R33" s="63" t="s">
        <v>1</v>
      </c>
      <c r="S33" s="11">
        <f>S28</f>
        <v>417</v>
      </c>
      <c r="T33" s="10" t="str">
        <f>T17</f>
        <v xml:space="preserve">Filet de poulet </v>
      </c>
    </row>
    <row r="34" spans="2:20" x14ac:dyDescent="0.25">
      <c r="B34" s="61"/>
      <c r="C34" s="64"/>
      <c r="D34" s="9">
        <v>2.7</v>
      </c>
      <c r="E34" s="7" t="s">
        <v>46</v>
      </c>
      <c r="G34" s="73"/>
      <c r="H34" s="64"/>
      <c r="I34" s="9">
        <f>I29</f>
        <v>2.7</v>
      </c>
      <c r="J34" s="7" t="str">
        <f>J29</f>
        <v>Mix légumes</v>
      </c>
      <c r="L34" s="61"/>
      <c r="M34" s="64"/>
      <c r="N34" s="9">
        <f>N29</f>
        <v>2.7</v>
      </c>
      <c r="O34" s="7" t="str">
        <f>O29</f>
        <v>Mix légumes</v>
      </c>
      <c r="Q34" s="61"/>
      <c r="R34" s="64"/>
      <c r="S34" s="9">
        <f>S29</f>
        <v>2.7</v>
      </c>
      <c r="T34" s="7" t="str">
        <f>T29</f>
        <v>Mix légumes</v>
      </c>
    </row>
    <row r="35" spans="2:20" x14ac:dyDescent="0.25">
      <c r="B35" s="61"/>
      <c r="C35" s="64"/>
      <c r="D35" s="8">
        <v>83.4</v>
      </c>
      <c r="E35" s="7" t="s">
        <v>51</v>
      </c>
      <c r="G35" s="73"/>
      <c r="H35" s="64"/>
      <c r="I35" s="8">
        <f>I30</f>
        <v>83.4</v>
      </c>
      <c r="J35" s="7" t="e">
        <f>J24</f>
        <v>#REF!</v>
      </c>
      <c r="L35" s="61"/>
      <c r="M35" s="64"/>
      <c r="N35" s="8">
        <f>N30</f>
        <v>83.4</v>
      </c>
      <c r="O35" s="7" t="str">
        <f>O24</f>
        <v>Foie de bœuf</v>
      </c>
      <c r="Q35" s="61"/>
      <c r="R35" s="64"/>
      <c r="S35" s="8">
        <f>S30</f>
        <v>83.4</v>
      </c>
      <c r="T35" s="7" t="str">
        <f>T24</f>
        <v xml:space="preserve">Cœur de poulet </v>
      </c>
    </row>
    <row r="36" spans="2:20" x14ac:dyDescent="0.25">
      <c r="B36" s="61"/>
      <c r="C36" s="64"/>
      <c r="D36" s="15">
        <v>1</v>
      </c>
      <c r="E36" s="14" t="s">
        <v>52</v>
      </c>
      <c r="G36" s="73"/>
      <c r="H36" s="64"/>
      <c r="I36" s="15">
        <f>1</f>
        <v>1</v>
      </c>
      <c r="J36" s="14" t="str">
        <f>J25</f>
        <v xml:space="preserve">Œuf </v>
      </c>
      <c r="L36" s="61"/>
      <c r="M36" s="64"/>
      <c r="N36" s="15">
        <f>1</f>
        <v>1</v>
      </c>
      <c r="O36" s="14" t="str">
        <f>O25</f>
        <v xml:space="preserve">Œuf </v>
      </c>
      <c r="Q36" s="61"/>
      <c r="R36" s="64"/>
      <c r="S36" s="15">
        <f>1</f>
        <v>1</v>
      </c>
      <c r="T36" s="14" t="str">
        <f>T25</f>
        <v xml:space="preserve">Œuf </v>
      </c>
    </row>
    <row r="37" spans="2:20" ht="15.75" thickBot="1" x14ac:dyDescent="0.3">
      <c r="B37" s="61" t="s">
        <v>5</v>
      </c>
      <c r="C37" s="65"/>
      <c r="D37" s="6">
        <v>238.28571428571428</v>
      </c>
      <c r="E37" s="5" t="s">
        <v>48</v>
      </c>
      <c r="G37" s="73"/>
      <c r="H37" s="65"/>
      <c r="I37" s="6">
        <f>I31</f>
        <v>238.28571428571428</v>
      </c>
      <c r="J37" s="5" t="str">
        <f>J31</f>
        <v>Sprats</v>
      </c>
      <c r="L37" s="61" t="s">
        <v>5</v>
      </c>
      <c r="M37" s="65"/>
      <c r="N37" s="6">
        <f>N31</f>
        <v>238.28571428571428</v>
      </c>
      <c r="O37" s="5" t="str">
        <f>AB25</f>
        <v>Harengs</v>
      </c>
      <c r="Q37" s="61" t="s">
        <v>5</v>
      </c>
      <c r="R37" s="65"/>
      <c r="S37" s="6">
        <f>S31</f>
        <v>238.28571428571428</v>
      </c>
      <c r="T37" s="5" t="str">
        <f>T31</f>
        <v>Harengs</v>
      </c>
    </row>
    <row r="38" spans="2:20" ht="15.75" thickBot="1" x14ac:dyDescent="0.3">
      <c r="B38" s="62"/>
      <c r="C38" s="4" t="s">
        <v>0</v>
      </c>
      <c r="D38" s="13">
        <v>333.6</v>
      </c>
      <c r="E38" s="12" t="s">
        <v>49</v>
      </c>
      <c r="G38" s="74"/>
      <c r="H38" s="4" t="s">
        <v>0</v>
      </c>
      <c r="I38" s="13">
        <f>I32</f>
        <v>333.6</v>
      </c>
      <c r="J38" s="12" t="str">
        <f>AB9</f>
        <v xml:space="preserve">Cuisse de poulet </v>
      </c>
      <c r="L38" s="62"/>
      <c r="M38" s="4" t="s">
        <v>0</v>
      </c>
      <c r="N38" s="13">
        <f>N32</f>
        <v>333.6</v>
      </c>
      <c r="O38" s="12" t="str">
        <f>J16</f>
        <v>Côtes d'agneau</v>
      </c>
      <c r="Q38" s="62"/>
      <c r="R38" s="4" t="s">
        <v>0</v>
      </c>
      <c r="S38" s="13">
        <f>S32</f>
        <v>333.6</v>
      </c>
      <c r="T38" s="12" t="str">
        <f>AB12</f>
        <v xml:space="preserve">Ailes de poulet </v>
      </c>
    </row>
    <row r="39" spans="2:20" x14ac:dyDescent="0.25">
      <c r="B39" s="60" t="s">
        <v>5</v>
      </c>
      <c r="C39" s="57" t="s">
        <v>1</v>
      </c>
      <c r="D39" s="11">
        <v>417</v>
      </c>
      <c r="E39" s="10" t="s">
        <v>54</v>
      </c>
      <c r="G39" s="60" t="s">
        <v>4</v>
      </c>
      <c r="H39" s="63" t="s">
        <v>1</v>
      </c>
      <c r="I39" s="11">
        <f>[1]Début!$C$12</f>
        <v>417</v>
      </c>
      <c r="J39" s="10" t="str">
        <f>J28</f>
        <v xml:space="preserve">Filet de poulet </v>
      </c>
      <c r="L39" s="60" t="s">
        <v>3</v>
      </c>
      <c r="M39" s="57" t="s">
        <v>1</v>
      </c>
      <c r="N39" s="11">
        <f>[1]Début!$C$12</f>
        <v>417</v>
      </c>
      <c r="O39" s="10" t="str">
        <f>AB20</f>
        <v xml:space="preserve">Viande de bœuf </v>
      </c>
      <c r="Q39" s="60" t="s">
        <v>2</v>
      </c>
      <c r="R39" s="57" t="s">
        <v>1</v>
      </c>
      <c r="S39" s="11">
        <f>[1]Début!$C$12</f>
        <v>417</v>
      </c>
      <c r="T39" s="10" t="str">
        <f>AB15</f>
        <v xml:space="preserve">Viande de porc </v>
      </c>
    </row>
    <row r="40" spans="2:20" x14ac:dyDescent="0.25">
      <c r="B40" s="61"/>
      <c r="C40" s="58"/>
      <c r="D40" s="9">
        <v>2.7</v>
      </c>
      <c r="E40" s="7" t="s">
        <v>46</v>
      </c>
      <c r="G40" s="61"/>
      <c r="H40" s="64"/>
      <c r="I40" s="9">
        <f>[1]Début!$C$17</f>
        <v>2.7</v>
      </c>
      <c r="J40" s="7" t="str">
        <f>J34</f>
        <v>Mix légumes</v>
      </c>
      <c r="L40" s="61"/>
      <c r="M40" s="58"/>
      <c r="N40" s="9">
        <f>[1]Début!$C$17</f>
        <v>2.7</v>
      </c>
      <c r="O40" s="7" t="str">
        <f>O34</f>
        <v>Mix légumes</v>
      </c>
      <c r="Q40" s="61"/>
      <c r="R40" s="58"/>
      <c r="S40" s="9">
        <f>[1]Début!$C$17</f>
        <v>2.7</v>
      </c>
      <c r="T40" s="7" t="str">
        <f>T34</f>
        <v>Mix légumes</v>
      </c>
    </row>
    <row r="41" spans="2:20" x14ac:dyDescent="0.25">
      <c r="B41" s="61"/>
      <c r="C41" s="58"/>
      <c r="D41" s="8">
        <v>83.4</v>
      </c>
      <c r="E41" s="7" t="s">
        <v>47</v>
      </c>
      <c r="G41" s="61"/>
      <c r="H41" s="64"/>
      <c r="I41" s="8">
        <f>[1]Début!$C$14</f>
        <v>83.4</v>
      </c>
      <c r="J41" s="7" t="str">
        <f>J30</f>
        <v>Foie de porc</v>
      </c>
      <c r="L41" s="61"/>
      <c r="M41" s="58"/>
      <c r="N41" s="8">
        <f>[1]Début!$C$14</f>
        <v>83.4</v>
      </c>
      <c r="O41" s="7" t="str">
        <f>O30</f>
        <v xml:space="preserve">Cœur de bœuf </v>
      </c>
      <c r="Q41" s="61"/>
      <c r="R41" s="58"/>
      <c r="S41" s="8">
        <f>[1]Début!$C$14</f>
        <v>83.4</v>
      </c>
      <c r="T41" s="7" t="str">
        <f>T30</f>
        <v>Foie de poulet</v>
      </c>
    </row>
    <row r="42" spans="2:20" ht="15.75" thickBot="1" x14ac:dyDescent="0.3">
      <c r="B42" s="61"/>
      <c r="C42" s="59"/>
      <c r="D42" s="6">
        <v>238.28571428571428</v>
      </c>
      <c r="E42" s="5" t="s">
        <v>48</v>
      </c>
      <c r="G42" s="61"/>
      <c r="H42" s="65"/>
      <c r="I42" s="6">
        <f>[1]Début!$C$16</f>
        <v>238.28571428571428</v>
      </c>
      <c r="J42" s="5" t="str">
        <f>J37</f>
        <v>Sprats</v>
      </c>
      <c r="L42" s="61"/>
      <c r="M42" s="59"/>
      <c r="N42" s="6">
        <f>[1]Début!$C$16</f>
        <v>238.28571428571428</v>
      </c>
      <c r="O42" s="5" t="str">
        <f>O37</f>
        <v>Harengs</v>
      </c>
      <c r="Q42" s="61"/>
      <c r="R42" s="59"/>
      <c r="S42" s="6">
        <f>[1]Début!$C$16</f>
        <v>238.28571428571428</v>
      </c>
      <c r="T42" s="5" t="str">
        <f>T37</f>
        <v>Harengs</v>
      </c>
    </row>
    <row r="43" spans="2:20" ht="15.75" thickBot="1" x14ac:dyDescent="0.3">
      <c r="B43" s="62"/>
      <c r="C43" s="4" t="s">
        <v>0</v>
      </c>
      <c r="D43" s="3">
        <v>333.6</v>
      </c>
      <c r="E43" s="2" t="s">
        <v>57</v>
      </c>
      <c r="G43" s="62"/>
      <c r="H43" s="4" t="s">
        <v>0</v>
      </c>
      <c r="I43" s="3">
        <f>[1]Début!$C$13</f>
        <v>333.6</v>
      </c>
      <c r="J43" s="2" t="str">
        <f>J38</f>
        <v xml:space="preserve">Cuisse de poulet </v>
      </c>
      <c r="L43" s="62"/>
      <c r="M43" s="4" t="s">
        <v>0</v>
      </c>
      <c r="N43" s="3">
        <f>[1]Début!$C$13</f>
        <v>333.6</v>
      </c>
      <c r="O43" s="2" t="str">
        <f>O38</f>
        <v>Côtes d'agneau</v>
      </c>
      <c r="Q43" s="62"/>
      <c r="R43" s="4" t="s">
        <v>0</v>
      </c>
      <c r="S43" s="3">
        <f>[1]Début!$C$13</f>
        <v>333.6</v>
      </c>
      <c r="T43" s="2" t="str">
        <f>T38</f>
        <v xml:space="preserve">Ailes de poulet </v>
      </c>
    </row>
    <row r="47" spans="2:20" x14ac:dyDescent="0.25">
      <c r="E47">
        <f>+SUMIF(E6:E43,"Filet de poulet ",D6:D43)</f>
        <v>1251</v>
      </c>
    </row>
  </sheetData>
  <mergeCells count="75">
    <mergeCell ref="AC26:AC27"/>
    <mergeCell ref="AD26:AD27"/>
    <mergeCell ref="Y5:AD6"/>
    <mergeCell ref="C6:C9"/>
    <mergeCell ref="B5:C5"/>
    <mergeCell ref="B6:B10"/>
    <mergeCell ref="W8:W14"/>
    <mergeCell ref="V5:W6"/>
    <mergeCell ref="V8:V14"/>
    <mergeCell ref="Y26:Y27"/>
    <mergeCell ref="Z26:Z27"/>
    <mergeCell ref="AA26:AA27"/>
    <mergeCell ref="AB26:AB27"/>
    <mergeCell ref="G5:H5"/>
    <mergeCell ref="G6:G10"/>
    <mergeCell ref="H6:H9"/>
    <mergeCell ref="G11:G16"/>
    <mergeCell ref="M17:M20"/>
    <mergeCell ref="M22:M26"/>
    <mergeCell ref="V18:V22"/>
    <mergeCell ref="W15:W17"/>
    <mergeCell ref="W18:W22"/>
    <mergeCell ref="V15:V17"/>
    <mergeCell ref="B39:B43"/>
    <mergeCell ref="C39:C42"/>
    <mergeCell ref="B17:B21"/>
    <mergeCell ref="C17:C20"/>
    <mergeCell ref="G17:G21"/>
    <mergeCell ref="B22:B27"/>
    <mergeCell ref="B28:B32"/>
    <mergeCell ref="C28:C31"/>
    <mergeCell ref="B33:B38"/>
    <mergeCell ref="C33:C37"/>
    <mergeCell ref="G33:G38"/>
    <mergeCell ref="G28:G32"/>
    <mergeCell ref="B11:B16"/>
    <mergeCell ref="C11:C15"/>
    <mergeCell ref="H17:H20"/>
    <mergeCell ref="L17:L21"/>
    <mergeCell ref="L22:L27"/>
    <mergeCell ref="H11:H15"/>
    <mergeCell ref="G22:G27"/>
    <mergeCell ref="C22:C26"/>
    <mergeCell ref="H39:H42"/>
    <mergeCell ref="H22:H26"/>
    <mergeCell ref="L5:M5"/>
    <mergeCell ref="L6:L10"/>
    <mergeCell ref="M6:M9"/>
    <mergeCell ref="L11:L16"/>
    <mergeCell ref="M11:M15"/>
    <mergeCell ref="H28:H31"/>
    <mergeCell ref="L28:L32"/>
    <mergeCell ref="H33:H37"/>
    <mergeCell ref="M28:M31"/>
    <mergeCell ref="L33:L38"/>
    <mergeCell ref="R39:R42"/>
    <mergeCell ref="B2:T3"/>
    <mergeCell ref="Q22:Q27"/>
    <mergeCell ref="R22:R26"/>
    <mergeCell ref="Q28:Q32"/>
    <mergeCell ref="R28:R31"/>
    <mergeCell ref="Q33:Q38"/>
    <mergeCell ref="R33:R37"/>
    <mergeCell ref="Q5:R5"/>
    <mergeCell ref="Q6:Q10"/>
    <mergeCell ref="M33:M37"/>
    <mergeCell ref="L39:L43"/>
    <mergeCell ref="M39:M42"/>
    <mergeCell ref="Q39:Q43"/>
    <mergeCell ref="G39:G43"/>
    <mergeCell ref="R6:R9"/>
    <mergeCell ref="Q11:Q16"/>
    <mergeCell ref="R11:R15"/>
    <mergeCell ref="Q17:Q21"/>
    <mergeCell ref="R17:R20"/>
  </mergeCells>
  <conditionalFormatting sqref="AB8:AB25">
    <cfRule type="containsText" dxfId="6" priority="1" operator="containsText" text="Harengs">
      <formula>NOT(ISERROR(SEARCH("Harengs",AB8)))</formula>
    </cfRule>
    <cfRule type="containsText" dxfId="5" priority="2" operator="containsText" text="Sprats">
      <formula>NOT(ISERROR(SEARCH("Sprats",AB8)))</formula>
    </cfRule>
    <cfRule type="containsText" dxfId="4" priority="3" operator="containsText" text="Sardine">
      <formula>NOT(ISERROR(SEARCH("Sardine",AB8)))</formula>
    </cfRule>
    <cfRule type="containsText" dxfId="3" priority="4" operator="containsText" text="agneau">
      <formula>NOT(ISERROR(SEARCH("agneau",AB8)))</formula>
    </cfRule>
    <cfRule type="containsText" dxfId="2" priority="5" operator="containsText" text="bœuf">
      <formula>NOT(ISERROR(SEARCH("bœuf",AB8)))</formula>
    </cfRule>
    <cfRule type="containsText" dxfId="1" priority="6" operator="containsText" text="poulet">
      <formula>NOT(ISERROR(SEARCH("poulet",AB8)))</formula>
    </cfRule>
    <cfRule type="containsText" dxfId="0" priority="7" operator="containsText" text="porc">
      <formula>NOT(ISERROR(SEARCH("porc",AB8)))</formula>
    </cfRule>
  </conditionalFormatting>
  <conditionalFormatting sqref="Z8:Z25">
    <cfRule type="colorScale" priority="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A8:AA25">
    <cfRule type="colorScale" priority="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C8:AC25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D8:AD25">
    <cfRule type="colorScale" priority="1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E23:AE25 AE8:AE21 AE32">
    <cfRule type="dataBar" priority="12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{1008D199-7F8B-4EF0-BF85-AF87E3054880}</x14:id>
        </ext>
      </extLst>
    </cfRule>
  </conditionalFormatting>
  <pageMargins left="0.7" right="0.7" top="0.75" bottom="0.75" header="0.3" footer="0.3"/>
  <pageSetup paperSize="9" orientation="portrait" horizontalDpi="4294967293" verticalDpi="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1008D199-7F8B-4EF0-BF85-AF87E3054880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AE23:AE25 AE8:AE21 AE32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Ration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Anaïs Rivière</dc:creator>
  <cp:lastModifiedBy>CTIS</cp:lastModifiedBy>
  <dcterms:created xsi:type="dcterms:W3CDTF">2019-03-07T12:59:09Z</dcterms:created>
  <dcterms:modified xsi:type="dcterms:W3CDTF">2019-03-07T13:09:33Z</dcterms:modified>
</cp:coreProperties>
</file>