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C:\Users\CTIS\Documents\"/>
    </mc:Choice>
  </mc:AlternateContent>
  <xr:revisionPtr revIDLastSave="0" documentId="8_{CD5CB6FE-2A89-4DED-8487-F98E588886EC}" xr6:coauthVersionLast="46" xr6:coauthVersionMax="46" xr10:uidLastSave="{00000000-0000-0000-0000-000000000000}"/>
  <bookViews>
    <workbookView xWindow="-120" yWindow="-120" windowWidth="29040" windowHeight="15840" tabRatio="686" activeTab="12" xr2:uid="{00000000-000D-0000-FFFF-FFFF00000000}"/>
  </bookViews>
  <sheets>
    <sheet name="Janvier" sheetId="4" r:id="rId1"/>
    <sheet name="Février" sheetId="5" r:id="rId2"/>
    <sheet name="Mars" sheetId="17" r:id="rId3"/>
    <sheet name="Avril" sheetId="18" r:id="rId4"/>
    <sheet name="Mai" sheetId="19" r:id="rId5"/>
    <sheet name="Juin" sheetId="20" r:id="rId6"/>
    <sheet name="Juillet" sheetId="21" r:id="rId7"/>
    <sheet name="Août" sheetId="22" r:id="rId8"/>
    <sheet name="Septembre" sheetId="23" r:id="rId9"/>
    <sheet name="Octobre" sheetId="24" r:id="rId10"/>
    <sheet name="Novembre" sheetId="25" r:id="rId11"/>
    <sheet name="Décembre" sheetId="15" r:id="rId12"/>
    <sheet name="Total" sheetId="26" r:id="rId13"/>
    <sheet name="Noms des stagiaires" sheetId="16" r:id="rId14"/>
  </sheets>
  <definedNames>
    <definedName name="AnnéeCalendrier">Janvier!$AH$4</definedName>
    <definedName name="CléMaladie">Janvier!$J$2</definedName>
    <definedName name="CléPersonnalisée1">Janvier!$M$2</definedName>
    <definedName name="CléPersonnalisée2">Janvier!$R$2</definedName>
    <definedName name="CléPersonnel">Janvier!$F$2</definedName>
    <definedName name="CléPrésence" comment="Présence">Janvier!$C$2</definedName>
    <definedName name="ÉtiquetteCléCongé">Janvier!$D$2</definedName>
    <definedName name="ÉtiquetteCléMaladie">Janvier!$K$2</definedName>
    <definedName name="ÉtiquetteCléPersonnalisée1">Janvier!$N$2</definedName>
    <definedName name="ÉtiquetteCléPersonnalisée2">Janvier!$S$2</definedName>
    <definedName name="ÉtiquetteCléPersonnel">Janvier!$G$2</definedName>
    <definedName name="_xlnm.Print_Titles" localSheetId="7">Août!$4:$6</definedName>
    <definedName name="_xlnm.Print_Titles" localSheetId="3">Avril!$4:$6</definedName>
    <definedName name="_xlnm.Print_Titles" localSheetId="11">Décembre!$4:$6</definedName>
    <definedName name="_xlnm.Print_Titles" localSheetId="1">Février!$4:$6</definedName>
    <definedName name="_xlnm.Print_Titles" localSheetId="0">Janvier!$4:$6</definedName>
    <definedName name="_xlnm.Print_Titles" localSheetId="6">Juillet!$4:$6</definedName>
    <definedName name="_xlnm.Print_Titles" localSheetId="5">Juin!$4:$6</definedName>
    <definedName name="_xlnm.Print_Titles" localSheetId="4">Mai!$4:$6</definedName>
    <definedName name="_xlnm.Print_Titles" localSheetId="2">Mars!$4:$6</definedName>
    <definedName name="_xlnm.Print_Titles" localSheetId="10">Novembre!$4:$6</definedName>
    <definedName name="_xlnm.Print_Titles" localSheetId="9">Octobre!$4:$6</definedName>
    <definedName name="_xlnm.Print_Titles" localSheetId="8">Septembre!$4:$6</definedName>
    <definedName name="_xlnm.Print_Titles" localSheetId="12">Total!$4:$6</definedName>
    <definedName name="Nom_clé">Janvier!$B$2</definedName>
    <definedName name="NomMois" localSheetId="7">Août!$B$4</definedName>
    <definedName name="NomMois" localSheetId="3">Avril!$B$4</definedName>
    <definedName name="NomMois" localSheetId="11">Décembre!$B$4</definedName>
    <definedName name="NomMois" localSheetId="1">Février!$B$4</definedName>
    <definedName name="NomMois" localSheetId="0">Janvier!$B$4</definedName>
    <definedName name="NomMois" localSheetId="6">Juillet!$B$4</definedName>
    <definedName name="NomMois" localSheetId="5">Juin!$B$4</definedName>
    <definedName name="NomMois" localSheetId="4">Mai!$B$4</definedName>
    <definedName name="NomMois" localSheetId="2">Mars!$B$4</definedName>
    <definedName name="NomMois" localSheetId="10">Novembre!$B$4</definedName>
    <definedName name="NomMois" localSheetId="9">Octobre!$B$4</definedName>
    <definedName name="NomMois" localSheetId="8">Septembre!$B$4</definedName>
    <definedName name="NomMois" localSheetId="12">Total!$B$4</definedName>
    <definedName name="Titre_Absence_Employé">Janvier!$B$1</definedName>
    <definedName name="Titre1" localSheetId="12">Janvier[[#Headers],[Nom du stagiaire ]]</definedName>
    <definedName name="Titre1">Janvier[[#Headers],[Nom du stagiaire ]]</definedName>
    <definedName name="Titre10" localSheetId="12">Octobre[[#Headers],[Nom de l’employé]]</definedName>
    <definedName name="Titre10">Octobre[[#Headers],[Nom de l’employé]]</definedName>
    <definedName name="Titre11" localSheetId="12">Novembre[[#Headers],[Nom de l’employé]]</definedName>
    <definedName name="Titre11">Novembre[[#Headers],[Nom de l’employé]]</definedName>
    <definedName name="Titre12" localSheetId="12">Décembre2[[#Headers],[Nom de l’employé]]</definedName>
    <definedName name="Titre12">Décembre[[#Headers],[Nom de l’employé]]</definedName>
    <definedName name="Titre2" localSheetId="12">Février[[#Headers],[Nom de l’employé]]</definedName>
    <definedName name="Titre2">Février[[#Headers],[Nom de l’employé]]</definedName>
    <definedName name="Titre3" localSheetId="12">Mars[[#Headers],[Nom de l’employé]]</definedName>
    <definedName name="Titre3">Mars[[#Headers],[Nom de l’employé]]</definedName>
    <definedName name="Titre4" localSheetId="12">Avril[[#Headers],[Nom de l’employé]]</definedName>
    <definedName name="Titre4">Avril[[#Headers],[Nom de l’employé]]</definedName>
    <definedName name="Titre5" localSheetId="12">Mai[[#Headers],[Nom de l’employé]]</definedName>
    <definedName name="Titre5">Mai[[#Headers],[Nom de l’employé]]</definedName>
    <definedName name="Titre6" localSheetId="12">Juin[[#Headers],[Nom de l’employé]]</definedName>
    <definedName name="Titre6">Juin[[#Headers],[Nom de l’employé]]</definedName>
    <definedName name="Titre7" localSheetId="12">Juillet[[#Headers],[Nom de l’employé]]</definedName>
    <definedName name="Titre7">Juillet[[#Headers],[Nom de l’employé]]</definedName>
    <definedName name="Titre8" localSheetId="12">Août[[#Headers],[Nom de l’employé]]</definedName>
    <definedName name="Titre8">Août[[#Headers],[Nom de l’employé]]</definedName>
    <definedName name="Titre9" localSheetId="12">Septembre[[#Headers],[Nom de l’employé]]</definedName>
    <definedName name="Titre9">Septembre[[#Headers],[Nom de l’employé]]</definedName>
    <definedName name="TitreColonne13" localSheetId="12">NomStagiaires[[#Headers],[Noms des stagiaires]]</definedName>
    <definedName name="TitreColonne13">NomStagiaires[[#Headers],[Noms des stagiaires]]</definedName>
  </definedNames>
  <calcPr calcId="181029"/>
</workbook>
</file>

<file path=xl/calcChain.xml><?xml version="1.0" encoding="utf-8"?>
<calcChain xmlns="http://schemas.openxmlformats.org/spreadsheetml/2006/main">
  <c r="AI7" i="17" l="1"/>
  <c r="AI8" i="17"/>
  <c r="AI9" i="17"/>
  <c r="AI10" i="17"/>
  <c r="AI11" i="17"/>
  <c r="AI8" i="5"/>
  <c r="AI9" i="5"/>
  <c r="AI10" i="5"/>
  <c r="AI11" i="5"/>
  <c r="AI7" i="5"/>
  <c r="B12" i="26"/>
  <c r="O11" i="26"/>
  <c r="O10" i="26"/>
  <c r="O9" i="26"/>
  <c r="O8" i="26"/>
  <c r="O7" i="26"/>
  <c r="O12" i="26" s="1"/>
  <c r="O4" i="26"/>
  <c r="B1" i="26"/>
  <c r="AI8" i="4"/>
  <c r="AI9" i="4"/>
  <c r="AI10" i="4"/>
  <c r="AI11" i="4"/>
  <c r="AH8" i="4"/>
  <c r="AH9" i="4"/>
  <c r="AH10" i="4"/>
  <c r="AH11" i="4"/>
  <c r="AH7" i="4"/>
  <c r="AI7" i="4"/>
  <c r="G4" i="16"/>
  <c r="G5" i="16"/>
  <c r="G6" i="16"/>
  <c r="G7" i="16"/>
  <c r="G8" i="16"/>
  <c r="D7" i="26"/>
  <c r="H7" i="26"/>
  <c r="L7" i="26"/>
  <c r="E8" i="26"/>
  <c r="I8" i="26"/>
  <c r="M8" i="26"/>
  <c r="F9" i="26"/>
  <c r="J9" i="26"/>
  <c r="N9" i="26"/>
  <c r="G10" i="26"/>
  <c r="K10" i="26"/>
  <c r="D11" i="26"/>
  <c r="H11" i="26"/>
  <c r="L11" i="26"/>
  <c r="K7" i="26"/>
  <c r="L8" i="26"/>
  <c r="I9" i="26"/>
  <c r="F10" i="26"/>
  <c r="N10" i="26"/>
  <c r="K11" i="26"/>
  <c r="E7" i="26"/>
  <c r="I7" i="26"/>
  <c r="M7" i="26"/>
  <c r="F8" i="26"/>
  <c r="J8" i="26"/>
  <c r="N8" i="26"/>
  <c r="G9" i="26"/>
  <c r="K9" i="26"/>
  <c r="D10" i="26"/>
  <c r="H10" i="26"/>
  <c r="L10" i="26"/>
  <c r="E11" i="26"/>
  <c r="I11" i="26"/>
  <c r="M11" i="26"/>
  <c r="F7" i="26"/>
  <c r="J7" i="26"/>
  <c r="N7" i="26"/>
  <c r="G8" i="26"/>
  <c r="K8" i="26"/>
  <c r="D9" i="26"/>
  <c r="H9" i="26"/>
  <c r="L9" i="26"/>
  <c r="E10" i="26"/>
  <c r="I10" i="26"/>
  <c r="M10" i="26"/>
  <c r="F11" i="26"/>
  <c r="J11" i="26"/>
  <c r="N11" i="26"/>
  <c r="G7" i="26"/>
  <c r="D8" i="26"/>
  <c r="H8" i="26"/>
  <c r="E9" i="26"/>
  <c r="M9" i="26"/>
  <c r="J10" i="26"/>
  <c r="G11" i="26"/>
  <c r="C8" i="26"/>
  <c r="C11" i="26"/>
  <c r="C9" i="26"/>
  <c r="C10" i="26"/>
  <c r="C7" i="26"/>
  <c r="G12" i="26" l="1"/>
  <c r="N12" i="26"/>
  <c r="J12" i="26"/>
  <c r="F12" i="26"/>
  <c r="M12" i="26"/>
  <c r="I12" i="26"/>
  <c r="E12" i="26"/>
  <c r="K12" i="26"/>
  <c r="L12" i="26"/>
  <c r="H12" i="26"/>
  <c r="D12" i="26"/>
  <c r="C12" i="26"/>
  <c r="AI12" i="4"/>
  <c r="AE5" i="5" l="1"/>
  <c r="AD5" i="5"/>
  <c r="AC5" i="5"/>
  <c r="AB5" i="5"/>
  <c r="AA5" i="5"/>
  <c r="Z5" i="5"/>
  <c r="Y5" i="5"/>
  <c r="X5" i="5"/>
  <c r="W5" i="5"/>
  <c r="V5" i="5"/>
  <c r="U5" i="5"/>
  <c r="T5" i="5"/>
  <c r="S5" i="5"/>
  <c r="R5" i="5"/>
  <c r="Q5" i="5"/>
  <c r="P5" i="5"/>
  <c r="O5" i="5"/>
  <c r="N5" i="5"/>
  <c r="M5" i="5"/>
  <c r="L5" i="5"/>
  <c r="K5" i="5"/>
  <c r="J5" i="5"/>
  <c r="I5" i="5"/>
  <c r="H5" i="5"/>
  <c r="G5" i="5"/>
  <c r="F5" i="5"/>
  <c r="E5" i="5"/>
  <c r="D5" i="5"/>
  <c r="C5" i="5"/>
  <c r="AG5" i="17"/>
  <c r="AF5" i="17"/>
  <c r="AE5" i="17"/>
  <c r="AD5" i="17"/>
  <c r="AC5" i="17"/>
  <c r="AB5" i="17"/>
  <c r="AA5" i="17"/>
  <c r="Z5" i="17"/>
  <c r="Y5" i="17"/>
  <c r="X5" i="17"/>
  <c r="W5" i="17"/>
  <c r="V5" i="17"/>
  <c r="U5" i="17"/>
  <c r="T5" i="17"/>
  <c r="S5" i="17"/>
  <c r="R5" i="17"/>
  <c r="Q5" i="17"/>
  <c r="P5" i="17"/>
  <c r="O5" i="17"/>
  <c r="N5" i="17"/>
  <c r="M5" i="17"/>
  <c r="L5" i="17"/>
  <c r="K5" i="17"/>
  <c r="J5" i="17"/>
  <c r="I5" i="17"/>
  <c r="H5" i="17"/>
  <c r="G5" i="17"/>
  <c r="F5" i="17"/>
  <c r="E5" i="17"/>
  <c r="D5" i="17"/>
  <c r="C5" i="17"/>
  <c r="AF5" i="18"/>
  <c r="AE5" i="18"/>
  <c r="AD5" i="18"/>
  <c r="AC5" i="18"/>
  <c r="AB5" i="18"/>
  <c r="AA5" i="18"/>
  <c r="Z5" i="18"/>
  <c r="Y5" i="18"/>
  <c r="X5" i="18"/>
  <c r="W5" i="18"/>
  <c r="V5" i="18"/>
  <c r="U5" i="18"/>
  <c r="T5" i="18"/>
  <c r="S5" i="18"/>
  <c r="R5" i="18"/>
  <c r="Q5" i="18"/>
  <c r="P5" i="18"/>
  <c r="O5" i="18"/>
  <c r="N5" i="18"/>
  <c r="M5" i="18"/>
  <c r="L5" i="18"/>
  <c r="K5" i="18"/>
  <c r="J5" i="18"/>
  <c r="I5" i="18"/>
  <c r="H5" i="18"/>
  <c r="G5" i="18"/>
  <c r="F5" i="18"/>
  <c r="E5" i="18"/>
  <c r="D5" i="18"/>
  <c r="C5" i="18"/>
  <c r="AG5" i="19"/>
  <c r="AF5" i="19"/>
  <c r="AE5" i="19"/>
  <c r="AD5" i="19"/>
  <c r="AC5" i="19"/>
  <c r="AB5" i="19"/>
  <c r="AA5" i="19"/>
  <c r="Z5" i="19"/>
  <c r="Y5" i="19"/>
  <c r="X5" i="19"/>
  <c r="W5" i="19"/>
  <c r="V5" i="19"/>
  <c r="U5" i="19"/>
  <c r="T5" i="19"/>
  <c r="S5" i="19"/>
  <c r="R5" i="19"/>
  <c r="Q5" i="19"/>
  <c r="P5" i="19"/>
  <c r="O5" i="19"/>
  <c r="N5" i="19"/>
  <c r="M5" i="19"/>
  <c r="L5" i="19"/>
  <c r="K5" i="19"/>
  <c r="J5" i="19"/>
  <c r="I5" i="19"/>
  <c r="H5" i="19"/>
  <c r="G5" i="19"/>
  <c r="F5" i="19"/>
  <c r="E5" i="19"/>
  <c r="D5" i="19"/>
  <c r="C5" i="19"/>
  <c r="AF5" i="20"/>
  <c r="AE5" i="20"/>
  <c r="AD5" i="20"/>
  <c r="AC5" i="20"/>
  <c r="AB5" i="20"/>
  <c r="AA5" i="20"/>
  <c r="Z5" i="20"/>
  <c r="Y5" i="20"/>
  <c r="X5" i="20"/>
  <c r="W5" i="20"/>
  <c r="V5" i="20"/>
  <c r="U5" i="20"/>
  <c r="T5" i="20"/>
  <c r="S5" i="20"/>
  <c r="R5" i="20"/>
  <c r="Q5" i="20"/>
  <c r="P5" i="20"/>
  <c r="O5" i="20"/>
  <c r="N5" i="20"/>
  <c r="M5" i="20"/>
  <c r="L5" i="20"/>
  <c r="K5" i="20"/>
  <c r="J5" i="20"/>
  <c r="I5" i="20"/>
  <c r="H5" i="20"/>
  <c r="G5" i="20"/>
  <c r="F5" i="20"/>
  <c r="E5" i="20"/>
  <c r="D5" i="20"/>
  <c r="C5" i="20"/>
  <c r="AG5" i="21"/>
  <c r="AF5" i="21"/>
  <c r="AE5"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C5" i="21"/>
  <c r="AG5" i="22"/>
  <c r="AF5" i="22"/>
  <c r="AE5" i="22"/>
  <c r="AD5" i="22"/>
  <c r="AC5" i="22"/>
  <c r="AB5" i="22"/>
  <c r="AA5" i="22"/>
  <c r="Z5" i="22"/>
  <c r="Y5" i="22"/>
  <c r="X5" i="22"/>
  <c r="W5" i="22"/>
  <c r="V5" i="22"/>
  <c r="U5" i="22"/>
  <c r="T5" i="22"/>
  <c r="S5" i="22"/>
  <c r="R5" i="22"/>
  <c r="Q5" i="22"/>
  <c r="P5" i="22"/>
  <c r="O5" i="22"/>
  <c r="N5" i="22"/>
  <c r="M5" i="22"/>
  <c r="L5" i="22"/>
  <c r="K5" i="22"/>
  <c r="J5" i="22"/>
  <c r="I5" i="22"/>
  <c r="H5" i="22"/>
  <c r="G5" i="22"/>
  <c r="F5" i="22"/>
  <c r="E5" i="22"/>
  <c r="D5" i="22"/>
  <c r="C5" i="22"/>
  <c r="AF5" i="23"/>
  <c r="AE5" i="23"/>
  <c r="AD5" i="23"/>
  <c r="AC5" i="23"/>
  <c r="AB5" i="23"/>
  <c r="AA5" i="23"/>
  <c r="Z5" i="23"/>
  <c r="Y5" i="23"/>
  <c r="X5" i="23"/>
  <c r="W5" i="23"/>
  <c r="V5" i="23"/>
  <c r="U5" i="23"/>
  <c r="T5" i="23"/>
  <c r="S5" i="23"/>
  <c r="R5" i="23"/>
  <c r="Q5" i="23"/>
  <c r="P5" i="23"/>
  <c r="O5" i="23"/>
  <c r="N5" i="23"/>
  <c r="M5" i="23"/>
  <c r="L5" i="23"/>
  <c r="K5" i="23"/>
  <c r="J5" i="23"/>
  <c r="I5" i="23"/>
  <c r="H5" i="23"/>
  <c r="G5" i="23"/>
  <c r="F5" i="23"/>
  <c r="E5" i="23"/>
  <c r="D5" i="23"/>
  <c r="C5" i="23"/>
  <c r="AG5" i="24"/>
  <c r="AF5" i="24"/>
  <c r="AE5" i="24"/>
  <c r="AD5" i="24"/>
  <c r="AC5" i="24"/>
  <c r="AB5" i="24"/>
  <c r="AA5" i="24"/>
  <c r="Z5" i="24"/>
  <c r="Y5" i="24"/>
  <c r="X5" i="24"/>
  <c r="W5" i="24"/>
  <c r="V5" i="24"/>
  <c r="U5" i="24"/>
  <c r="T5" i="24"/>
  <c r="S5" i="24"/>
  <c r="R5" i="24"/>
  <c r="Q5" i="24"/>
  <c r="P5" i="24"/>
  <c r="O5" i="24"/>
  <c r="N5" i="24"/>
  <c r="M5" i="24"/>
  <c r="L5" i="24"/>
  <c r="K5" i="24"/>
  <c r="J5" i="24"/>
  <c r="I5" i="24"/>
  <c r="H5" i="24"/>
  <c r="G5" i="24"/>
  <c r="F5" i="24"/>
  <c r="E5" i="24"/>
  <c r="D5" i="24"/>
  <c r="C5" i="24"/>
  <c r="AF5" i="25"/>
  <c r="AE5" i="25"/>
  <c r="AD5" i="25"/>
  <c r="AC5" i="25"/>
  <c r="AB5" i="25"/>
  <c r="AA5" i="25"/>
  <c r="Z5" i="25"/>
  <c r="Y5" i="25"/>
  <c r="X5" i="25"/>
  <c r="W5" i="25"/>
  <c r="V5" i="25"/>
  <c r="U5" i="25"/>
  <c r="T5" i="25"/>
  <c r="S5" i="25"/>
  <c r="R5" i="25"/>
  <c r="Q5" i="25"/>
  <c r="P5" i="25"/>
  <c r="O5" i="25"/>
  <c r="N5" i="25"/>
  <c r="M5" i="25"/>
  <c r="L5" i="25"/>
  <c r="K5" i="25"/>
  <c r="J5" i="25"/>
  <c r="I5" i="25"/>
  <c r="H5" i="25"/>
  <c r="G5" i="25"/>
  <c r="F5" i="25"/>
  <c r="E5" i="25"/>
  <c r="D5" i="25"/>
  <c r="C5" i="25"/>
  <c r="AG5" i="15"/>
  <c r="AF5" i="15"/>
  <c r="AE5" i="15"/>
  <c r="AD5" i="15"/>
  <c r="AC5" i="15"/>
  <c r="AB5" i="15"/>
  <c r="AA5" i="15"/>
  <c r="Z5" i="15"/>
  <c r="Y5" i="15"/>
  <c r="X5" i="15"/>
  <c r="W5" i="15"/>
  <c r="V5" i="15"/>
  <c r="U5" i="15"/>
  <c r="T5" i="15"/>
  <c r="S5" i="15"/>
  <c r="R5" i="15"/>
  <c r="Q5" i="15"/>
  <c r="P5" i="15"/>
  <c r="O5" i="15"/>
  <c r="N5" i="15"/>
  <c r="M5" i="15"/>
  <c r="L5" i="15"/>
  <c r="K5" i="15"/>
  <c r="J5" i="15"/>
  <c r="I5" i="15"/>
  <c r="H5" i="15"/>
  <c r="G5" i="15"/>
  <c r="F5" i="15"/>
  <c r="E5" i="15"/>
  <c r="D5" i="15"/>
  <c r="C5" i="15"/>
  <c r="AG5" i="4"/>
  <c r="AF5" i="4"/>
  <c r="AE5" i="4"/>
  <c r="AD5" i="4"/>
  <c r="AC5" i="4"/>
  <c r="AB5" i="4"/>
  <c r="AA5" i="4"/>
  <c r="Z5" i="4"/>
  <c r="Y5" i="4"/>
  <c r="X5" i="4"/>
  <c r="W5" i="4"/>
  <c r="V5" i="4"/>
  <c r="U5" i="4"/>
  <c r="T5" i="4"/>
  <c r="S5" i="4"/>
  <c r="R5" i="4"/>
  <c r="Q5" i="4"/>
  <c r="P5" i="4"/>
  <c r="O5" i="4"/>
  <c r="N5" i="4"/>
  <c r="M5" i="4"/>
  <c r="L5" i="4"/>
  <c r="K5" i="4"/>
  <c r="J5" i="4"/>
  <c r="I5" i="4"/>
  <c r="H5" i="4"/>
  <c r="G5" i="4"/>
  <c r="F5" i="4"/>
  <c r="E5" i="4"/>
  <c r="D5" i="4"/>
  <c r="C5" i="4"/>
  <c r="AH7" i="25" l="1"/>
  <c r="AH8" i="25"/>
  <c r="AH9" i="25"/>
  <c r="AH10" i="25"/>
  <c r="AH11" i="25"/>
  <c r="AH7" i="23"/>
  <c r="AH8" i="23"/>
  <c r="AH9" i="23"/>
  <c r="AH10" i="23"/>
  <c r="AH11" i="23"/>
  <c r="AH7" i="20"/>
  <c r="AH8" i="20"/>
  <c r="AH9" i="20"/>
  <c r="AH10" i="20"/>
  <c r="AH11" i="20"/>
  <c r="AH7" i="18"/>
  <c r="AH8" i="18"/>
  <c r="AH9" i="18"/>
  <c r="AH10" i="18"/>
  <c r="AH11" i="18"/>
  <c r="AD12" i="15"/>
  <c r="AE12" i="15"/>
  <c r="AF12" i="15"/>
  <c r="AG12" i="15"/>
  <c r="AE12" i="25"/>
  <c r="AF12" i="25"/>
  <c r="AG12" i="25"/>
  <c r="AE12" i="24"/>
  <c r="AF12" i="24"/>
  <c r="AG12" i="24"/>
  <c r="AE12" i="23"/>
  <c r="AF12" i="23"/>
  <c r="AG12" i="23"/>
  <c r="AF12" i="22"/>
  <c r="AG12" i="22"/>
  <c r="AF12" i="21"/>
  <c r="AG12" i="21"/>
  <c r="AF12" i="20"/>
  <c r="AG12" i="20"/>
  <c r="AF12" i="19"/>
  <c r="AG12" i="19"/>
  <c r="AG12" i="18"/>
  <c r="AF12" i="18"/>
  <c r="AF12" i="17"/>
  <c r="AG12" i="17"/>
  <c r="B12" i="23" l="1"/>
  <c r="AD12" i="25"/>
  <c r="AC12" i="25"/>
  <c r="AB12" i="25"/>
  <c r="AA12" i="25"/>
  <c r="Z12" i="25"/>
  <c r="Y12" i="25"/>
  <c r="X12" i="25"/>
  <c r="W12" i="25"/>
  <c r="V12" i="25"/>
  <c r="U12" i="25"/>
  <c r="T12" i="25"/>
  <c r="S12" i="25"/>
  <c r="R12" i="25"/>
  <c r="Q12" i="25"/>
  <c r="P12" i="25"/>
  <c r="O12" i="25"/>
  <c r="N12" i="25"/>
  <c r="M12" i="25"/>
  <c r="L12" i="25"/>
  <c r="K12" i="25"/>
  <c r="J12" i="25"/>
  <c r="I12" i="25"/>
  <c r="H12" i="25"/>
  <c r="G12" i="25"/>
  <c r="F12" i="25"/>
  <c r="E12" i="25"/>
  <c r="D12" i="25"/>
  <c r="C12" i="25"/>
  <c r="B12" i="25"/>
  <c r="AH4" i="25"/>
  <c r="B1" i="25"/>
  <c r="AD12" i="24"/>
  <c r="AC12" i="24"/>
  <c r="AB12" i="24"/>
  <c r="AA12" i="24"/>
  <c r="Z12" i="24"/>
  <c r="Y12" i="24"/>
  <c r="X12" i="24"/>
  <c r="W12" i="24"/>
  <c r="V12" i="24"/>
  <c r="U12" i="24"/>
  <c r="T12" i="24"/>
  <c r="S12" i="24"/>
  <c r="R12" i="24"/>
  <c r="Q12" i="24"/>
  <c r="P12" i="24"/>
  <c r="O12" i="24"/>
  <c r="N12" i="24"/>
  <c r="M12" i="24"/>
  <c r="L12" i="24"/>
  <c r="K12" i="24"/>
  <c r="J12" i="24"/>
  <c r="I12" i="24"/>
  <c r="H12" i="24"/>
  <c r="G12" i="24"/>
  <c r="F12" i="24"/>
  <c r="E12" i="24"/>
  <c r="D12" i="24"/>
  <c r="C12" i="24"/>
  <c r="B12" i="24"/>
  <c r="AH11" i="24"/>
  <c r="AH10" i="24"/>
  <c r="AH9" i="24"/>
  <c r="AH8" i="24"/>
  <c r="AH7" i="24"/>
  <c r="AH4" i="24"/>
  <c r="B1" i="24"/>
  <c r="AD12" i="23"/>
  <c r="AC12" i="23"/>
  <c r="AB12" i="23"/>
  <c r="AA12" i="23"/>
  <c r="Z12" i="23"/>
  <c r="Y12" i="23"/>
  <c r="X12" i="23"/>
  <c r="W12" i="23"/>
  <c r="V12" i="23"/>
  <c r="U12" i="23"/>
  <c r="T12" i="23"/>
  <c r="S12" i="23"/>
  <c r="R12" i="23"/>
  <c r="Q12" i="23"/>
  <c r="P12" i="23"/>
  <c r="O12" i="23"/>
  <c r="N12" i="23"/>
  <c r="M12" i="23"/>
  <c r="L12" i="23"/>
  <c r="K12" i="23"/>
  <c r="J12" i="23"/>
  <c r="I12" i="23"/>
  <c r="H12" i="23"/>
  <c r="G12" i="23"/>
  <c r="F12" i="23"/>
  <c r="E12" i="23"/>
  <c r="D12" i="23"/>
  <c r="C12" i="23"/>
  <c r="AH12" i="23"/>
  <c r="AH4" i="23"/>
  <c r="B1" i="23"/>
  <c r="AE12" i="22"/>
  <c r="AD12" i="22"/>
  <c r="AC12" i="22"/>
  <c r="AB12" i="22"/>
  <c r="AA12" i="22"/>
  <c r="Z12" i="22"/>
  <c r="Y12" i="22"/>
  <c r="X12" i="22"/>
  <c r="W12" i="22"/>
  <c r="V12" i="22"/>
  <c r="U12" i="22"/>
  <c r="T12" i="22"/>
  <c r="S12" i="22"/>
  <c r="R12" i="22"/>
  <c r="Q12" i="22"/>
  <c r="P12" i="22"/>
  <c r="O12" i="22"/>
  <c r="N12" i="22"/>
  <c r="M12" i="22"/>
  <c r="L12" i="22"/>
  <c r="K12" i="22"/>
  <c r="J12" i="22"/>
  <c r="I12" i="22"/>
  <c r="H12" i="22"/>
  <c r="G12" i="22"/>
  <c r="F12" i="22"/>
  <c r="E12" i="22"/>
  <c r="D12" i="22"/>
  <c r="C12" i="22"/>
  <c r="B12" i="22"/>
  <c r="AH11" i="22"/>
  <c r="AH10" i="22"/>
  <c r="AH9" i="22"/>
  <c r="AH8" i="22"/>
  <c r="AH7" i="22"/>
  <c r="AH4" i="22"/>
  <c r="B1" i="22"/>
  <c r="AE12" i="21"/>
  <c r="AD12" i="21"/>
  <c r="AC12" i="21"/>
  <c r="AB12" i="21"/>
  <c r="AA12" i="21"/>
  <c r="Z12" i="21"/>
  <c r="Y12" i="21"/>
  <c r="X12" i="21"/>
  <c r="W12" i="21"/>
  <c r="V12" i="21"/>
  <c r="U12" i="21"/>
  <c r="T12" i="21"/>
  <c r="S12" i="21"/>
  <c r="R12" i="21"/>
  <c r="Q12" i="21"/>
  <c r="P12" i="21"/>
  <c r="O12" i="21"/>
  <c r="N12" i="21"/>
  <c r="M12" i="21"/>
  <c r="L12" i="21"/>
  <c r="K12" i="21"/>
  <c r="J12" i="21"/>
  <c r="I12" i="21"/>
  <c r="H12" i="21"/>
  <c r="G12" i="21"/>
  <c r="F12" i="21"/>
  <c r="E12" i="21"/>
  <c r="D12" i="21"/>
  <c r="C12" i="21"/>
  <c r="B12" i="21"/>
  <c r="AH11" i="21"/>
  <c r="AH10" i="21"/>
  <c r="AH9" i="21"/>
  <c r="AH8" i="21"/>
  <c r="AH7" i="21"/>
  <c r="AH4" i="21"/>
  <c r="B1" i="21"/>
  <c r="AE12" i="20"/>
  <c r="AD12" i="20"/>
  <c r="AC12" i="20"/>
  <c r="AB12" i="20"/>
  <c r="AA12" i="20"/>
  <c r="Z12" i="20"/>
  <c r="Y12" i="20"/>
  <c r="X12" i="20"/>
  <c r="W12" i="20"/>
  <c r="V12" i="20"/>
  <c r="U12" i="20"/>
  <c r="T12" i="20"/>
  <c r="S12" i="20"/>
  <c r="R12" i="20"/>
  <c r="Q12" i="20"/>
  <c r="P12" i="20"/>
  <c r="O12" i="20"/>
  <c r="N12" i="20"/>
  <c r="M12" i="20"/>
  <c r="L12" i="20"/>
  <c r="K12" i="20"/>
  <c r="J12" i="20"/>
  <c r="I12" i="20"/>
  <c r="H12" i="20"/>
  <c r="G12" i="20"/>
  <c r="F12" i="20"/>
  <c r="E12" i="20"/>
  <c r="D12" i="20"/>
  <c r="C12" i="20"/>
  <c r="B12" i="20"/>
  <c r="AH4" i="20"/>
  <c r="B1" i="20"/>
  <c r="AE12" i="19"/>
  <c r="AD12" i="19"/>
  <c r="AC12" i="19"/>
  <c r="AB12" i="19"/>
  <c r="AA12" i="19"/>
  <c r="Z12" i="19"/>
  <c r="Y12" i="19"/>
  <c r="X12" i="19"/>
  <c r="W12" i="19"/>
  <c r="V12" i="19"/>
  <c r="U12" i="19"/>
  <c r="T12" i="19"/>
  <c r="S12" i="19"/>
  <c r="R12" i="19"/>
  <c r="Q12" i="19"/>
  <c r="P12" i="19"/>
  <c r="O12" i="19"/>
  <c r="N12" i="19"/>
  <c r="M12" i="19"/>
  <c r="L12" i="19"/>
  <c r="K12" i="19"/>
  <c r="J12" i="19"/>
  <c r="I12" i="19"/>
  <c r="H12" i="19"/>
  <c r="G12" i="19"/>
  <c r="F12" i="19"/>
  <c r="E12" i="19"/>
  <c r="D12" i="19"/>
  <c r="C12" i="19"/>
  <c r="B12" i="19"/>
  <c r="AH11" i="19"/>
  <c r="AH10" i="19"/>
  <c r="AH9" i="19"/>
  <c r="AH8" i="19"/>
  <c r="AH7" i="19"/>
  <c r="AH4" i="19"/>
  <c r="B1" i="19"/>
  <c r="AE12" i="18"/>
  <c r="AD12" i="18"/>
  <c r="AC12" i="18"/>
  <c r="AB12" i="18"/>
  <c r="AA12" i="18"/>
  <c r="Z12" i="18"/>
  <c r="Y12" i="18"/>
  <c r="X12" i="18"/>
  <c r="W12" i="18"/>
  <c r="V12" i="18"/>
  <c r="U12" i="18"/>
  <c r="T12" i="18"/>
  <c r="S12" i="18"/>
  <c r="R12" i="18"/>
  <c r="Q12" i="18"/>
  <c r="P12" i="18"/>
  <c r="O12" i="18"/>
  <c r="N12" i="18"/>
  <c r="M12" i="18"/>
  <c r="L12" i="18"/>
  <c r="K12" i="18"/>
  <c r="J12" i="18"/>
  <c r="I12" i="18"/>
  <c r="H12" i="18"/>
  <c r="G12" i="18"/>
  <c r="F12" i="18"/>
  <c r="E12" i="18"/>
  <c r="D12" i="18"/>
  <c r="C12" i="18"/>
  <c r="B12" i="18"/>
  <c r="AH12" i="18"/>
  <c r="AH4" i="18"/>
  <c r="B1" i="18"/>
  <c r="AE12" i="17"/>
  <c r="AD12" i="17"/>
  <c r="AC12" i="17"/>
  <c r="AB12" i="17"/>
  <c r="AA12" i="17"/>
  <c r="Z12" i="17"/>
  <c r="Y12" i="17"/>
  <c r="X12" i="17"/>
  <c r="W12" i="17"/>
  <c r="V12" i="17"/>
  <c r="U12" i="17"/>
  <c r="T12" i="17"/>
  <c r="S12" i="17"/>
  <c r="R12" i="17"/>
  <c r="Q12" i="17"/>
  <c r="P12" i="17"/>
  <c r="O12" i="17"/>
  <c r="N12" i="17"/>
  <c r="M12" i="17"/>
  <c r="L12" i="17"/>
  <c r="K12" i="17"/>
  <c r="J12" i="17"/>
  <c r="I12" i="17"/>
  <c r="H12" i="17"/>
  <c r="G12" i="17"/>
  <c r="F12" i="17"/>
  <c r="E12" i="17"/>
  <c r="D12" i="17"/>
  <c r="C12" i="17"/>
  <c r="B12" i="17"/>
  <c r="AH11" i="17"/>
  <c r="AH10" i="17"/>
  <c r="AH9" i="17"/>
  <c r="AH8" i="17"/>
  <c r="AH7" i="17"/>
  <c r="AH4" i="17"/>
  <c r="B1" i="17"/>
  <c r="B1" i="15"/>
  <c r="B1" i="5"/>
  <c r="AH12" i="17" l="1"/>
  <c r="AH12" i="21"/>
  <c r="AH12" i="22"/>
  <c r="AH12" i="25"/>
  <c r="AH12" i="20"/>
  <c r="AH12" i="19"/>
  <c r="AH12" i="24"/>
  <c r="AH4" i="15" l="1"/>
  <c r="C12" i="4" l="1"/>
  <c r="D12" i="4"/>
  <c r="E12" i="4"/>
  <c r="F12" i="4"/>
  <c r="G12" i="4"/>
  <c r="H12" i="4"/>
  <c r="I12" i="4"/>
  <c r="J12" i="4"/>
  <c r="K12" i="4"/>
  <c r="L12" i="4"/>
  <c r="M12" i="4"/>
  <c r="N12" i="4"/>
  <c r="O12" i="4"/>
  <c r="P12" i="4"/>
  <c r="Q12" i="4"/>
  <c r="R12" i="4"/>
  <c r="S12" i="4"/>
  <c r="T12" i="4"/>
  <c r="U12" i="4"/>
  <c r="V12" i="4"/>
  <c r="W12" i="4"/>
  <c r="X12" i="4"/>
  <c r="Y12" i="4"/>
  <c r="Z12" i="4"/>
  <c r="AA12" i="4"/>
  <c r="AB12" i="4"/>
  <c r="AC12" i="4"/>
  <c r="AD12" i="4"/>
  <c r="AE12" i="4"/>
  <c r="AF12" i="4"/>
  <c r="AG12" i="4"/>
  <c r="AH7" i="15" l="1"/>
  <c r="AH8" i="15"/>
  <c r="AH9" i="15"/>
  <c r="AH10" i="15"/>
  <c r="AH11" i="15"/>
  <c r="AH12" i="15" l="1"/>
  <c r="C12" i="15"/>
  <c r="D12" i="15"/>
  <c r="E12" i="15"/>
  <c r="F12" i="15"/>
  <c r="G12" i="15"/>
  <c r="H12" i="15"/>
  <c r="I12" i="15"/>
  <c r="J12" i="15"/>
  <c r="K12" i="15"/>
  <c r="L12" i="15"/>
  <c r="M12" i="15"/>
  <c r="N12" i="15"/>
  <c r="O12" i="15"/>
  <c r="P12" i="15"/>
  <c r="Q12" i="15"/>
  <c r="R12" i="15"/>
  <c r="S12" i="15"/>
  <c r="T12" i="15"/>
  <c r="U12" i="15"/>
  <c r="V12" i="15"/>
  <c r="W12" i="15"/>
  <c r="X12" i="15"/>
  <c r="Y12" i="15"/>
  <c r="Z12" i="15"/>
  <c r="AA12" i="15"/>
  <c r="AB12" i="15"/>
  <c r="AC12" i="15"/>
  <c r="B12" i="15" l="1"/>
  <c r="B12" i="5"/>
  <c r="B12" i="4"/>
  <c r="AH11" i="5" l="1"/>
  <c r="AH10" i="5"/>
  <c r="AH9" i="5"/>
  <c r="AE12" i="5"/>
  <c r="AD12" i="5"/>
  <c r="AC12" i="5"/>
  <c r="AB12" i="5"/>
  <c r="AA12" i="5"/>
  <c r="Z12" i="5"/>
  <c r="Y12" i="5"/>
  <c r="X12" i="5"/>
  <c r="W12" i="5"/>
  <c r="V12" i="5"/>
  <c r="U12" i="5"/>
  <c r="T12" i="5"/>
  <c r="S12" i="5"/>
  <c r="R12" i="5"/>
  <c r="Q12" i="5"/>
  <c r="P12" i="5"/>
  <c r="O12" i="5"/>
  <c r="N12" i="5"/>
  <c r="M12" i="5"/>
  <c r="L12" i="5"/>
  <c r="K12" i="5"/>
  <c r="J12" i="5"/>
  <c r="I12" i="5"/>
  <c r="H12" i="5"/>
  <c r="G12" i="5"/>
  <c r="F12" i="5"/>
  <c r="E12" i="5"/>
  <c r="D12" i="5"/>
  <c r="C12" i="5"/>
  <c r="AH8" i="5"/>
  <c r="AH7" i="5"/>
  <c r="AH12" i="5" l="1"/>
  <c r="AH12" i="4" l="1"/>
</calcChain>
</file>

<file path=xl/sharedStrings.xml><?xml version="1.0" encoding="utf-8"?>
<sst xmlns="http://schemas.openxmlformats.org/spreadsheetml/2006/main" count="656" uniqueCount="76">
  <si>
    <t>Janvier</t>
  </si>
  <si>
    <t>Nom de l’employé</t>
  </si>
  <si>
    <t>1</t>
  </si>
  <si>
    <t>2</t>
  </si>
  <si>
    <t>3</t>
  </si>
  <si>
    <t>P</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</si>
  <si>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</si>
  <si>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</si>
  <si>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</si>
  <si>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</si>
  <si>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</si>
  <si>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</si>
  <si>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</si>
  <si>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</si>
  <si>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</si>
  <si>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</si>
  <si>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</si>
  <si>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</si>
  <si>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</si>
  <si>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</si>
  <si>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</si>
  <si>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</si>
  <si>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</si>
  <si>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</si>
  <si>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</si>
  <si>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</si>
  <si>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</si>
  <si>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</si>
  <si>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</si>
  <si>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</si>
  <si>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</si>
  <si>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</si>
  <si>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</si>
  <si>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</si>
  <si>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Entrez l’année :</t>
  </si>
  <si>
    <t>Total des jours</t>
  </si>
  <si>
    <t>Février</t>
  </si>
  <si>
    <t xml:space="preserve"> </t>
  </si>
  <si>
    <t xml:space="preserve">  </t>
  </si>
  <si>
    <t>Mars</t>
  </si>
  <si>
    <t>Avril</t>
  </si>
  <si>
    <t>Mai</t>
  </si>
  <si>
    <t>Juin</t>
  </si>
  <si>
    <t>Juillet</t>
  </si>
  <si>
    <t>Août</t>
  </si>
  <si>
    <t>Septembre</t>
  </si>
  <si>
    <t>Octobre</t>
  </si>
  <si>
    <t>Novembre</t>
  </si>
  <si>
    <t>Décembre</t>
  </si>
  <si>
    <t>Calendrier des stagiaires - ESAT JACQUEMART</t>
  </si>
  <si>
    <t>Présent</t>
  </si>
  <si>
    <t>ABS</t>
  </si>
  <si>
    <t xml:space="preserve">Nom du stagiaire </t>
  </si>
  <si>
    <t>Noms des stagiaires</t>
  </si>
  <si>
    <t>Stagiaire 2</t>
  </si>
  <si>
    <t>Stagiaire 3</t>
  </si>
  <si>
    <t>Stagiaire 4</t>
  </si>
  <si>
    <t>Stagiaire 5</t>
  </si>
  <si>
    <t>Dates de présence</t>
  </si>
  <si>
    <t>Clé de motif de présence</t>
  </si>
  <si>
    <t>Stagiaire 1</t>
  </si>
  <si>
    <t>Début de Stage</t>
  </si>
  <si>
    <t>Fin de Stage</t>
  </si>
  <si>
    <t>Adresse Facturation</t>
  </si>
  <si>
    <t>Atelier</t>
  </si>
  <si>
    <t>Période de facturation</t>
  </si>
  <si>
    <t>PR</t>
  </si>
  <si>
    <t>Présence + Repas</t>
  </si>
  <si>
    <t>Absence</t>
  </si>
  <si>
    <t xml:space="preserve">PR </t>
  </si>
  <si>
    <t>Total  Jours P</t>
  </si>
  <si>
    <t>Total Jours PR</t>
  </si>
  <si>
    <t>Total Présence Repas sur l'année</t>
  </si>
  <si>
    <t>Dupont Albert</t>
  </si>
  <si>
    <t>pr</t>
  </si>
  <si>
    <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</si>
</sst>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 numFmtId="167" formatCode="[$-40C]mmm\-yy;@"/>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8"/>
      <name val="Calibri"/>
      <family val="2"/>
      <scheme val="minor"/>
    </font>
  </fonts>
  <fills count="33">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s>
  <borders count="6">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9" fillId="21" borderId="0" applyNumberFormat="0" applyBorder="0" applyAlignment="0" applyProtection="0"/>
    <xf numFmtId="0" fontId="10" fillId="22" borderId="0" applyNumberFormat="0" applyBorder="0" applyAlignment="0" applyProtection="0"/>
    <xf numFmtId="0" fontId="11" fillId="23" borderId="0" applyNumberFormat="0" applyBorder="0" applyAlignment="0" applyProtection="0"/>
    <xf numFmtId="0" fontId="12" fillId="24" borderId="1" applyNumberFormat="0" applyAlignment="0" applyProtection="0"/>
    <xf numFmtId="0" fontId="13" fillId="25" borderId="2" applyNumberFormat="0" applyAlignment="0" applyProtection="0"/>
    <xf numFmtId="0" fontId="14" fillId="25" borderId="1" applyNumberFormat="0" applyAlignment="0" applyProtection="0"/>
    <xf numFmtId="0" fontId="15" fillId="0" borderId="3" applyNumberFormat="0" applyFill="0" applyAlignment="0" applyProtection="0"/>
    <xf numFmtId="0" fontId="16" fillId="26" borderId="4" applyNumberFormat="0" applyAlignment="0" applyProtection="0"/>
    <xf numFmtId="0" fontId="17" fillId="0" borderId="0" applyNumberFormat="0" applyFill="0" applyBorder="0" applyAlignment="0" applyProtection="0"/>
    <xf numFmtId="0" fontId="1" fillId="27" borderId="5" applyNumberFormat="0" applyFont="0" applyAlignment="0" applyProtection="0"/>
    <xf numFmtId="0" fontId="18"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3">
    <xf numFmtId="0" fontId="0" fillId="0" borderId="0" xfId="0">
      <alignment horizontal="left" vertical="center"/>
    </xf>
    <xf numFmtId="0" fontId="0" fillId="0" borderId="0" xfId="0" applyAlignment="1" applyProtection="1">
      <alignment horizontal="center" vertical="center"/>
    </xf>
    <xf numFmtId="0" fontId="0" fillId="0" borderId="0" xfId="0" applyFont="1" applyFill="1" applyBorder="1" applyAlignment="1" applyProtection="1">
      <alignment horizontal="center" vertical="center"/>
    </xf>
    <xf numFmtId="0" fontId="2" fillId="15" borderId="0" xfId="12" applyAlignment="1" applyProtection="1">
      <alignment horizontal="center" vertical="center"/>
    </xf>
    <xf numFmtId="0" fontId="2" fillId="10" borderId="0" xfId="19" applyAlignment="1" applyProtection="1">
      <alignment horizontal="center" vertical="center"/>
    </xf>
    <xf numFmtId="0" fontId="2" fillId="13" borderId="0" xfId="23" applyFont="1" applyAlignment="1" applyProtection="1">
      <alignment horizontal="center" vertical="center"/>
    </xf>
    <xf numFmtId="166" fontId="2" fillId="9" borderId="0" xfId="8" applyNumberFormat="1" applyFont="1" applyAlignment="1" applyProtection="1">
      <alignment horizontal="center" vertical="center"/>
    </xf>
    <xf numFmtId="166" fontId="2" fillId="14" borderId="0" xfId="24" applyNumberFormat="1" applyFont="1" applyAlignment="1" applyProtection="1">
      <alignment horizontal="center" vertical="center"/>
    </xf>
    <xf numFmtId="0" fontId="1" fillId="0" borderId="0" xfId="26" applyFill="1" applyBorder="1">
      <alignment horizontal="left" vertical="center" wrapText="1" indent="2"/>
    </xf>
    <xf numFmtId="1" fontId="1" fillId="0" borderId="0" xfId="25" applyFill="1" applyBorder="1" applyProtection="1">
      <alignment horizontal="center" vertical="center"/>
    </xf>
    <xf numFmtId="0" fontId="0" fillId="0" borderId="0" xfId="0" applyProtection="1">
      <alignment horizontal="left" vertical="center"/>
    </xf>
    <xf numFmtId="0" fontId="5" fillId="2" borderId="0" xfId="3" applyProtection="1">
      <alignment horizontal="center" vertical="center"/>
    </xf>
    <xf numFmtId="166" fontId="0" fillId="0" borderId="0" xfId="0" applyNumberFormat="1" applyFont="1" applyFill="1" applyBorder="1" applyAlignment="1" applyProtection="1">
      <alignment horizontal="center" vertical="center"/>
    </xf>
    <xf numFmtId="0" fontId="6" fillId="0" borderId="0" xfId="1" applyAlignment="1" applyProtection="1">
      <alignment vertical="top"/>
    </xf>
    <xf numFmtId="0" fontId="1" fillId="2" borderId="0" xfId="21" applyBorder="1" applyAlignment="1" applyProtection="1">
      <alignment horizontal="left" vertical="center" indent="1"/>
    </xf>
    <xf numFmtId="0" fontId="0" fillId="0" borderId="0" xfId="21" applyFont="1" applyFill="1" applyBorder="1" applyAlignment="1" applyProtection="1">
      <alignment horizontal="center" vertical="center"/>
    </xf>
    <xf numFmtId="0" fontId="1" fillId="0" borderId="0" xfId="26" applyFill="1" applyBorder="1" applyProtection="1">
      <alignment horizontal="left" vertical="center" wrapText="1" indent="2"/>
    </xf>
    <xf numFmtId="0" fontId="0" fillId="0" borderId="0" xfId="0" applyAlignment="1" applyProtection="1">
      <alignment horizontal="left" vertical="center" wrapText="1"/>
    </xf>
    <xf numFmtId="0" fontId="2" fillId="20" borderId="0" xfId="4" applyProtection="1">
      <alignment horizontal="right" vertical="center" indent="1"/>
    </xf>
    <xf numFmtId="0" fontId="7" fillId="0" borderId="0" xfId="27" applyProtection="1">
      <alignment horizontal="center"/>
    </xf>
    <xf numFmtId="0" fontId="0" fillId="0" borderId="0" xfId="0" applyFont="1" applyFill="1" applyBorder="1" applyAlignment="1" applyProtection="1">
      <alignment horizontal="left" vertical="center" indent="1"/>
    </xf>
    <xf numFmtId="0" fontId="6" fillId="0" borderId="0" xfId="1">
      <alignment vertical="top"/>
    </xf>
    <xf numFmtId="0" fontId="8" fillId="0" borderId="0" xfId="0" applyFont="1" applyFill="1" applyBorder="1" applyAlignment="1" applyProtection="1">
      <alignment horizontal="center" vertical="center"/>
    </xf>
    <xf numFmtId="0" fontId="0" fillId="2" borderId="0" xfId="21" applyFont="1" applyBorder="1" applyAlignment="1" applyProtection="1">
      <alignment horizontal="left" vertical="center" indent="1"/>
    </xf>
    <xf numFmtId="0" fontId="0" fillId="0" borderId="0" xfId="26" applyFont="1" applyFill="1" applyBorder="1">
      <alignment horizontal="left" vertical="center" wrapText="1" indent="2"/>
    </xf>
    <xf numFmtId="0" fontId="0" fillId="0" borderId="0" xfId="26" applyFont="1">
      <alignment horizontal="left" vertical="center" wrapText="1" indent="2"/>
    </xf>
    <xf numFmtId="0" fontId="5" fillId="2" borderId="0" xfId="3" applyProtection="1">
      <alignment horizontal="center" vertical="center"/>
    </xf>
    <xf numFmtId="0" fontId="1" fillId="0" borderId="0" xfId="26">
      <alignment horizontal="left" vertical="center" wrapText="1" indent="2"/>
    </xf>
    <xf numFmtId="0" fontId="0" fillId="0" borderId="0" xfId="26" applyFont="1" applyAlignment="1">
      <alignment horizontal="center" vertical="center" wrapText="1"/>
    </xf>
    <xf numFmtId="0" fontId="0" fillId="0" borderId="0" xfId="0" applyAlignment="1">
      <alignment horizontal="center" vertical="center"/>
    </xf>
    <xf numFmtId="167" fontId="0" fillId="0" borderId="0" xfId="26" applyNumberFormat="1" applyFont="1" applyAlignment="1">
      <alignment horizontal="center" vertical="center" wrapText="1"/>
    </xf>
    <xf numFmtId="167" fontId="1" fillId="0" borderId="0" xfId="26" applyNumberFormat="1">
      <alignment horizontal="left" vertical="center" wrapText="1" indent="2"/>
    </xf>
    <xf numFmtId="14" fontId="0" fillId="0" borderId="0" xfId="26" applyNumberFormat="1" applyFont="1" applyAlignment="1">
      <alignment horizontal="center" vertical="center" wrapText="1"/>
    </xf>
    <xf numFmtId="49" fontId="0" fillId="0" borderId="0" xfId="26" applyNumberFormat="1" applyFont="1" applyAlignment="1">
      <alignment horizontal="center" vertical="center" wrapText="1"/>
    </xf>
    <xf numFmtId="0" fontId="1" fillId="0" borderId="0" xfId="26" applyAlignment="1">
      <alignment horizontal="left" vertical="center" wrapText="1"/>
    </xf>
    <xf numFmtId="0" fontId="0" fillId="2" borderId="0" xfId="21" applyFont="1" applyBorder="1" applyAlignment="1" applyProtection="1">
      <alignment horizontal="center" vertical="center"/>
    </xf>
    <xf numFmtId="0" fontId="5" fillId="2" borderId="0" xfId="3" applyProtection="1">
      <alignment horizontal="center" vertical="center"/>
    </xf>
    <xf numFmtId="0" fontId="0" fillId="2" borderId="0" xfId="21" applyFont="1" applyAlignment="1" applyProtection="1">
      <alignment horizontal="left" vertical="center"/>
    </xf>
    <xf numFmtId="0" fontId="0" fillId="0" borderId="0" xfId="0" applyAlignment="1">
      <alignment horizontal="center" vertical="center" wrapText="1"/>
    </xf>
    <xf numFmtId="0" fontId="5" fillId="2" borderId="0" xfId="3" applyProtection="1">
      <alignment horizontal="center" vertical="center"/>
    </xf>
    <xf numFmtId="0" fontId="0" fillId="2" borderId="0" xfId="21" applyFont="1" applyAlignment="1" applyProtection="1">
      <alignment horizontal="left" vertical="center"/>
    </xf>
    <xf numFmtId="0" fontId="1" fillId="2" borderId="0" xfId="21" applyAlignment="1" applyProtection="1">
      <alignment horizontal="left" vertical="center"/>
    </xf>
    <xf numFmtId="2" fontId="0" fillId="0" borderId="0" xfId="0" applyNumberFormat="1" applyFont="1" applyFill="1" applyBorder="1" applyAlignment="1" applyProtection="1">
      <alignment horizontal="center" vertical="center"/>
    </xf>
  </cellXfs>
  <cellStyles count="49">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Employé" xfId="26" xr:uid="{00000000-0005-0000-0000-00001B000000}"/>
    <cellStyle name="Entrée" xfId="36" builtinId="20" customBuiltin="1"/>
    <cellStyle name="Étiquette" xfId="27" xr:uid="{00000000-0005-0000-0000-00001D000000}"/>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te" xfId="42" builtinId="1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950">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2" formatCode="0.00"/>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0"/>
      </font>
      <border>
        <vertical/>
        <horizontal/>
      </border>
    </dxf>
    <dxf>
      <font>
        <b val="0"/>
        <i val="0"/>
        <color theme="3"/>
      </font>
      <border>
        <vertical/>
        <horizontal/>
      </border>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numFmt numFmtId="0" formatCode="General"/>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numFmt numFmtId="167" formatCode="[$-40C]mmm\-yy;@"/>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alignment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ill>
        <patternFill patternType="none">
          <fgColor indexed="64"/>
          <bgColor indexed="65"/>
        </patternFill>
      </fill>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ill>
        <patternFill patternType="none">
          <fgColor indexed="64"/>
          <bgColor indexed="65"/>
        </patternFill>
      </fill>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xr9:uid="{00000000-0011-0000-FFFF-FFFF00000000}">
      <tableStyleElement type="wholeTable" dxfId="949"/>
      <tableStyleElement type="headerRow" dxfId="948"/>
      <tableStyleElement type="totalRow" dxfId="947"/>
      <tableStyleElement type="firstColumn" dxfId="946"/>
      <tableStyleElement type="lastColumn" dxfId="945"/>
      <tableStyleElement type="firstRowStripe" dxfId="944"/>
      <tableStyleElement type="secondRowStripe" dxfId="943"/>
      <tableStyleElement type="firstColumnStripe" dxfId="942"/>
      <tableStyleElement type="secondColumnStripe" dxfId="941"/>
      <tableStyleElement type="firstHeaderCell" dxfId="940"/>
      <tableStyleElement type="lastHeaderCell" dxfId="939"/>
      <tableStyleElement type="firstTotalCell" dxfId="938"/>
      <tableStyleElement type="lastTotalCell" dxfId="93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B6:AH12" totalsRowCount="1" headerRowDxfId="936" dataDxfId="935" totalsRowDxfId="934">
  <autoFilter ref="B6:AH11"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00000000-0010-0000-0000-000001000000}" name="Nom du stagiaire " totalsRowFunction="custom" dataDxfId="933" totalsRowDxfId="198" dataCellStyle="Employé">
      <totalsRowFormula>NomMois&amp;" Total"</totalsRowFormula>
    </tableColumn>
    <tableColumn id="2" xr3:uid="{00000000-0010-0000-0000-000002000000}" name="1" totalsRowFunction="custom" dataDxfId="932" totalsRowDxfId="197">
      <totalsRowFormula>SUBTOTAL(103,Janvier!$C$7:$C$11)</totalsRowFormula>
    </tableColumn>
    <tableColumn id="3" xr3:uid="{00000000-0010-0000-0000-000003000000}" name="2" totalsRowFunction="custom" dataDxfId="931" totalsRowDxfId="196">
      <totalsRowFormula>SUBTOTAL(103,Janvier!$D$7:$D$11)</totalsRowFormula>
    </tableColumn>
    <tableColumn id="4" xr3:uid="{00000000-0010-0000-0000-000004000000}" name="3" totalsRowFunction="custom" dataDxfId="930" totalsRowDxfId="195">
      <totalsRowFormula>SUBTOTAL(103,Janvier!$E$7:$E$11)</totalsRowFormula>
    </tableColumn>
    <tableColumn id="5" xr3:uid="{00000000-0010-0000-0000-000005000000}" name="4" totalsRowFunction="custom" dataDxfId="929" totalsRowDxfId="194">
      <totalsRowFormula>SUBTOTAL(103,Janvier!$F$7:$F$11)</totalsRowFormula>
    </tableColumn>
    <tableColumn id="6" xr3:uid="{00000000-0010-0000-0000-000006000000}" name="5" totalsRowFunction="custom" totalsRowDxfId="193">
      <totalsRowFormula>SUBTOTAL(103,Janvier!$G$7:$G$11)</totalsRowFormula>
    </tableColumn>
    <tableColumn id="7" xr3:uid="{00000000-0010-0000-0000-000007000000}" name="6" totalsRowFunction="custom" dataDxfId="928" totalsRowDxfId="192">
      <totalsRowFormula>SUBTOTAL(103,Janvier!$H$7:$H$11)</totalsRowFormula>
    </tableColumn>
    <tableColumn id="8" xr3:uid="{00000000-0010-0000-0000-000008000000}" name="7" totalsRowFunction="custom" dataDxfId="927" totalsRowDxfId="191">
      <totalsRowFormula>SUBTOTAL(103,Janvier!$I$7:$I$11)</totalsRowFormula>
    </tableColumn>
    <tableColumn id="9" xr3:uid="{00000000-0010-0000-0000-000009000000}" name="8" totalsRowFunction="custom" dataDxfId="926" totalsRowDxfId="190">
      <totalsRowFormula>SUBTOTAL(103,Janvier!$J$7:$J$11)</totalsRowFormula>
    </tableColumn>
    <tableColumn id="10" xr3:uid="{00000000-0010-0000-0000-00000A000000}" name="9" totalsRowFunction="custom" dataDxfId="925" totalsRowDxfId="189">
      <totalsRowFormula>SUBTOTAL(103,Janvier!$K$7:$K$11)</totalsRowFormula>
    </tableColumn>
    <tableColumn id="11" xr3:uid="{00000000-0010-0000-0000-00000B000000}" name="10" totalsRowFunction="custom" dataDxfId="924" totalsRowDxfId="188">
      <totalsRowFormula>SUBTOTAL(103,Janvier!$L$7:$L$11)</totalsRowFormula>
    </tableColumn>
    <tableColumn id="12" xr3:uid="{00000000-0010-0000-0000-00000C000000}" name="11" totalsRowFunction="custom" dataDxfId="923" totalsRowDxfId="187">
      <totalsRowFormula>SUBTOTAL(103,Janvier!$M$7:$M$11)</totalsRowFormula>
    </tableColumn>
    <tableColumn id="13" xr3:uid="{00000000-0010-0000-0000-00000D000000}" name="12" totalsRowFunction="custom" dataDxfId="922" totalsRowDxfId="186">
      <totalsRowFormula>SUBTOTAL(103,Janvier!$N$7:$N$11)</totalsRowFormula>
    </tableColumn>
    <tableColumn id="14" xr3:uid="{00000000-0010-0000-0000-00000E000000}" name="13" totalsRowFunction="custom" dataDxfId="921" totalsRowDxfId="185">
      <totalsRowFormula>SUBTOTAL(103,Janvier!$O$7:$O$11)</totalsRowFormula>
    </tableColumn>
    <tableColumn id="15" xr3:uid="{00000000-0010-0000-0000-00000F000000}" name="14" totalsRowFunction="custom" dataDxfId="920" totalsRowDxfId="184">
      <totalsRowFormula>SUBTOTAL(103,Janvier!$P$7:$P$11)</totalsRowFormula>
    </tableColumn>
    <tableColumn id="16" xr3:uid="{00000000-0010-0000-0000-000010000000}" name="15" totalsRowFunction="custom" dataDxfId="919" totalsRowDxfId="183">
      <totalsRowFormula>SUBTOTAL(103,Janvier!$Q$7:$Q$11)</totalsRowFormula>
    </tableColumn>
    <tableColumn id="17" xr3:uid="{00000000-0010-0000-0000-000011000000}" name="16" totalsRowFunction="custom" dataDxfId="918" totalsRowDxfId="182">
      <totalsRowFormula>SUBTOTAL(103,Janvier!$R$7:$R$11)</totalsRowFormula>
    </tableColumn>
    <tableColumn id="18" xr3:uid="{00000000-0010-0000-0000-000012000000}" name="17" totalsRowFunction="custom" dataDxfId="917" totalsRowDxfId="181">
      <totalsRowFormula>SUBTOTAL(103,Janvier!$S$7:$S$11)</totalsRowFormula>
    </tableColumn>
    <tableColumn id="19" xr3:uid="{00000000-0010-0000-0000-000013000000}" name="18" totalsRowFunction="custom" dataDxfId="916" totalsRowDxfId="180">
      <totalsRowFormula>SUBTOTAL(103,Janvier!$T$7:$T$11)</totalsRowFormula>
    </tableColumn>
    <tableColumn id="20" xr3:uid="{00000000-0010-0000-0000-000014000000}" name="19" totalsRowFunction="custom" dataDxfId="915" totalsRowDxfId="179">
      <totalsRowFormula>SUBTOTAL(103,Janvier!$U$7:$U$11)</totalsRowFormula>
    </tableColumn>
    <tableColumn id="21" xr3:uid="{00000000-0010-0000-0000-000015000000}" name="20" totalsRowFunction="custom" dataDxfId="914" totalsRowDxfId="178">
      <totalsRowFormula>SUBTOTAL(103,Janvier!$V$7:$V$11)</totalsRowFormula>
    </tableColumn>
    <tableColumn id="22" xr3:uid="{00000000-0010-0000-0000-000016000000}" name="21" totalsRowFunction="custom" dataDxfId="913" totalsRowDxfId="177">
      <totalsRowFormula>SUBTOTAL(103,Janvier!$W$7:$W$11)</totalsRowFormula>
    </tableColumn>
    <tableColumn id="23" xr3:uid="{00000000-0010-0000-0000-000017000000}" name="22" totalsRowFunction="custom" dataDxfId="912" totalsRowDxfId="176">
      <totalsRowFormula>SUBTOTAL(103,Janvier!$X$7:$X$11)</totalsRowFormula>
    </tableColumn>
    <tableColumn id="24" xr3:uid="{00000000-0010-0000-0000-000018000000}" name="23" totalsRowFunction="custom" dataDxfId="911" totalsRowDxfId="175">
      <totalsRowFormula>SUBTOTAL(103,Janvier!$Y$7:$Y$11)</totalsRowFormula>
    </tableColumn>
    <tableColumn id="25" xr3:uid="{00000000-0010-0000-0000-000019000000}" name="24" totalsRowFunction="custom" dataDxfId="910" totalsRowDxfId="174">
      <totalsRowFormula>SUBTOTAL(103,Janvier!$Z$7:$Z$11)</totalsRowFormula>
    </tableColumn>
    <tableColumn id="26" xr3:uid="{00000000-0010-0000-0000-00001A000000}" name="25" totalsRowFunction="custom" dataDxfId="909" totalsRowDxfId="173">
      <totalsRowFormula>SUBTOTAL(103,Janvier!$AA$7:$AA$11)</totalsRowFormula>
    </tableColumn>
    <tableColumn id="27" xr3:uid="{00000000-0010-0000-0000-00001B000000}" name="26" totalsRowFunction="custom" dataDxfId="908" totalsRowDxfId="172">
      <totalsRowFormula>SUBTOTAL(103,Janvier!$AB$7:$AB$11)</totalsRowFormula>
    </tableColumn>
    <tableColumn id="28" xr3:uid="{00000000-0010-0000-0000-00001C000000}" name="27" totalsRowFunction="custom" dataDxfId="907" totalsRowDxfId="171">
      <totalsRowFormula>SUBTOTAL(103,Janvier!$AC$7:$AC$11)</totalsRowFormula>
    </tableColumn>
    <tableColumn id="29" xr3:uid="{00000000-0010-0000-0000-00001D000000}" name="28" totalsRowFunction="custom" dataDxfId="906" totalsRowDxfId="170">
      <totalsRowFormula>SUBTOTAL(103,Janvier!$AD$7:$AD$11)</totalsRowFormula>
    </tableColumn>
    <tableColumn id="30" xr3:uid="{00000000-0010-0000-0000-00001E000000}" name="29" totalsRowFunction="custom" dataDxfId="905" totalsRowDxfId="169">
      <totalsRowFormula>SUBTOTAL(103,Janvier!$AE$7:$AE$11)</totalsRowFormula>
    </tableColumn>
    <tableColumn id="31" xr3:uid="{00000000-0010-0000-0000-00001F000000}" name="30" totalsRowFunction="custom" dataDxfId="904" totalsRowDxfId="168">
      <totalsRowFormula>SUBTOTAL(103,Janvier!$AF$7:$AF$11)</totalsRowFormula>
    </tableColumn>
    <tableColumn id="32" xr3:uid="{00000000-0010-0000-0000-000020000000}" name="31" totalsRowFunction="custom" dataDxfId="903" totalsRowDxfId="167">
      <totalsRowFormula>SUBTOTAL(103,Janvier!$AG$7:$AG$11)</totalsRowFormula>
    </tableColumn>
    <tableColumn id="33" xr3:uid="{00000000-0010-0000-0000-000021000000}" name="Total  Jours P" totalsRowFunction="sum" dataDxfId="199" totalsRowDxfId="166">
      <calculatedColumnFormula>COUNTIF(Janvier[[#This Row],[1]:[31]],"P")</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Février" displayName="Février" ref="B6:AH12" totalsRowCount="1" headerRowDxfId="902" dataDxfId="901" totalsRowDxfId="900">
  <tableColumns count="33">
    <tableColumn id="1" xr3:uid="{00000000-0010-0000-0100-000001000000}" name="Nom de l’employé" totalsRowFunction="custom" dataDxfId="899" totalsRowDxfId="32" dataCellStyle="Employé">
      <totalsRowFormula>NomMois&amp;" Total"</totalsRowFormula>
    </tableColumn>
    <tableColumn id="2" xr3:uid="{00000000-0010-0000-0100-000002000000}" name="1" totalsRowFunction="count" dataDxfId="898" totalsRowDxfId="31"/>
    <tableColumn id="3" xr3:uid="{00000000-0010-0000-0100-000003000000}" name="2" totalsRowFunction="count" dataDxfId="897" totalsRowDxfId="30"/>
    <tableColumn id="4" xr3:uid="{00000000-0010-0000-0100-000004000000}" name="3" totalsRowFunction="count" dataDxfId="896" totalsRowDxfId="29"/>
    <tableColumn id="5" xr3:uid="{00000000-0010-0000-0100-000005000000}" name="4" totalsRowFunction="count" dataDxfId="895" totalsRowDxfId="28"/>
    <tableColumn id="6" xr3:uid="{00000000-0010-0000-0100-000006000000}" name="5" totalsRowFunction="count" dataDxfId="894" totalsRowDxfId="27"/>
    <tableColumn id="7" xr3:uid="{00000000-0010-0000-0100-000007000000}" name="6" totalsRowFunction="count" dataDxfId="893" totalsRowDxfId="26"/>
    <tableColumn id="8" xr3:uid="{00000000-0010-0000-0100-000008000000}" name="7" totalsRowFunction="count" dataDxfId="892" totalsRowDxfId="25"/>
    <tableColumn id="9" xr3:uid="{00000000-0010-0000-0100-000009000000}" name="8" totalsRowFunction="count" dataDxfId="891" totalsRowDxfId="24"/>
    <tableColumn id="10" xr3:uid="{00000000-0010-0000-0100-00000A000000}" name="9" totalsRowFunction="count" dataDxfId="890" totalsRowDxfId="23"/>
    <tableColumn id="11" xr3:uid="{00000000-0010-0000-0100-00000B000000}" name="10" totalsRowFunction="count" dataDxfId="889" totalsRowDxfId="22"/>
    <tableColumn id="12" xr3:uid="{00000000-0010-0000-0100-00000C000000}" name="11" totalsRowFunction="count" dataDxfId="888" totalsRowDxfId="21"/>
    <tableColumn id="13" xr3:uid="{00000000-0010-0000-0100-00000D000000}" name="12" totalsRowFunction="count" dataDxfId="887" totalsRowDxfId="20"/>
    <tableColumn id="14" xr3:uid="{00000000-0010-0000-0100-00000E000000}" name="13" totalsRowFunction="count" dataDxfId="886" totalsRowDxfId="19"/>
    <tableColumn id="15" xr3:uid="{00000000-0010-0000-0100-00000F000000}" name="14" totalsRowFunction="count" dataDxfId="885" totalsRowDxfId="18"/>
    <tableColumn id="16" xr3:uid="{00000000-0010-0000-0100-000010000000}" name="15" totalsRowFunction="count" dataDxfId="884" totalsRowDxfId="17"/>
    <tableColumn id="17" xr3:uid="{00000000-0010-0000-0100-000011000000}" name="16" totalsRowFunction="count" dataDxfId="883" totalsRowDxfId="16"/>
    <tableColumn id="18" xr3:uid="{00000000-0010-0000-0100-000012000000}" name="17" totalsRowFunction="count" dataDxfId="882" totalsRowDxfId="15"/>
    <tableColumn id="19" xr3:uid="{00000000-0010-0000-0100-000013000000}" name="18" totalsRowFunction="count" dataDxfId="881" totalsRowDxfId="14"/>
    <tableColumn id="20" xr3:uid="{00000000-0010-0000-0100-000014000000}" name="19" totalsRowFunction="count" dataDxfId="880" totalsRowDxfId="13"/>
    <tableColumn id="21" xr3:uid="{00000000-0010-0000-0100-000015000000}" name="20" totalsRowFunction="count" dataDxfId="879" totalsRowDxfId="12"/>
    <tableColumn id="22" xr3:uid="{00000000-0010-0000-0100-000016000000}" name="21" totalsRowFunction="count" dataDxfId="878" totalsRowDxfId="11"/>
    <tableColumn id="23" xr3:uid="{00000000-0010-0000-0100-000017000000}" name="22" totalsRowFunction="count" dataDxfId="877" totalsRowDxfId="10"/>
    <tableColumn id="24" xr3:uid="{00000000-0010-0000-0100-000018000000}" name="23" totalsRowFunction="count" dataDxfId="876" totalsRowDxfId="9"/>
    <tableColumn id="25" xr3:uid="{00000000-0010-0000-0100-000019000000}" name="24" totalsRowFunction="count" dataDxfId="875" totalsRowDxfId="8"/>
    <tableColumn id="26" xr3:uid="{00000000-0010-0000-0100-00001A000000}" name="25" totalsRowFunction="count" dataDxfId="874" totalsRowDxfId="7"/>
    <tableColumn id="27" xr3:uid="{00000000-0010-0000-0100-00001B000000}" name="26" totalsRowFunction="count" dataDxfId="873" totalsRowDxfId="6"/>
    <tableColumn id="28" xr3:uid="{00000000-0010-0000-0100-00001C000000}" name="27" totalsRowFunction="count" dataDxfId="872" totalsRowDxfId="5"/>
    <tableColumn id="29" xr3:uid="{00000000-0010-0000-0100-00001D000000}" name="28" totalsRowFunction="count" dataDxfId="871" totalsRowDxfId="4"/>
    <tableColumn id="30" xr3:uid="{00000000-0010-0000-0100-00001E000000}" name="29" totalsRowFunction="count" dataDxfId="870" totalsRowDxfId="3"/>
    <tableColumn id="31" xr3:uid="{00000000-0010-0000-0100-00001F000000}" name=" " dataDxfId="869" totalsRowDxfId="2"/>
    <tableColumn id="32" xr3:uid="{00000000-0010-0000-0100-000020000000}" name="  " dataDxfId="868" totalsRowDxfId="1"/>
    <tableColumn id="33" xr3:uid="{00000000-0010-0000-0100-000021000000}" name="Total des jours" totalsRowFunction="sum" dataDxfId="867" totalsRowDxfId="0">
      <calculatedColumnFormula>COUNTA(Février[[#This Row],[1]:[29]])</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3000000}" name="Mars" displayName="Mars" ref="B6:AI12" totalsRowCount="1" headerRowDxfId="797" dataDxfId="796" totalsRowDxfId="795">
  <tableColumns count="34">
    <tableColumn id="1" xr3:uid="{00000000-0010-0000-0300-000001000000}" name="Nom de l’employé" totalsRowFunction="custom" dataDxfId="794" totalsRowDxfId="66" dataCellStyle="Employé">
      <totalsRowFormula>NomMois&amp;" Total"</totalsRowFormula>
    </tableColumn>
    <tableColumn id="2" xr3:uid="{00000000-0010-0000-0300-000002000000}" name="1" totalsRowFunction="count" dataDxfId="793" totalsRowDxfId="65"/>
    <tableColumn id="3" xr3:uid="{00000000-0010-0000-0300-000003000000}" name="2" totalsRowFunction="count" dataDxfId="792" totalsRowDxfId="64"/>
    <tableColumn id="4" xr3:uid="{00000000-0010-0000-0300-000004000000}" name="3" totalsRowFunction="count" dataDxfId="791" totalsRowDxfId="63"/>
    <tableColumn id="5" xr3:uid="{00000000-0010-0000-0300-000005000000}" name="4" totalsRowFunction="count" dataDxfId="790" totalsRowDxfId="62"/>
    <tableColumn id="6" xr3:uid="{00000000-0010-0000-0300-000006000000}" name="5" totalsRowFunction="count" dataDxfId="789" totalsRowDxfId="61"/>
    <tableColumn id="7" xr3:uid="{00000000-0010-0000-0300-000007000000}" name="6" totalsRowFunction="count" dataDxfId="788" totalsRowDxfId="60"/>
    <tableColumn id="8" xr3:uid="{00000000-0010-0000-0300-000008000000}" name="7" totalsRowFunction="count" dataDxfId="787" totalsRowDxfId="59"/>
    <tableColumn id="9" xr3:uid="{00000000-0010-0000-0300-000009000000}" name="8" totalsRowFunction="count" dataDxfId="786" totalsRowDxfId="58"/>
    <tableColumn id="10" xr3:uid="{00000000-0010-0000-0300-00000A000000}" name="9" totalsRowFunction="count" dataDxfId="785" totalsRowDxfId="57"/>
    <tableColumn id="11" xr3:uid="{00000000-0010-0000-0300-00000B000000}" name="10" totalsRowFunction="count" dataDxfId="784" totalsRowDxfId="56"/>
    <tableColumn id="12" xr3:uid="{00000000-0010-0000-0300-00000C000000}" name="11" totalsRowFunction="count" dataDxfId="783" totalsRowDxfId="55"/>
    <tableColumn id="13" xr3:uid="{00000000-0010-0000-0300-00000D000000}" name="12" totalsRowFunction="count" dataDxfId="782" totalsRowDxfId="54"/>
    <tableColumn id="14" xr3:uid="{00000000-0010-0000-0300-00000E000000}" name="13" totalsRowFunction="count" dataDxfId="781" totalsRowDxfId="53"/>
    <tableColumn id="15" xr3:uid="{00000000-0010-0000-0300-00000F000000}" name="14" totalsRowFunction="count" dataDxfId="780" totalsRowDxfId="52"/>
    <tableColumn id="16" xr3:uid="{00000000-0010-0000-0300-000010000000}" name="15" totalsRowFunction="count" dataDxfId="779" totalsRowDxfId="51"/>
    <tableColumn id="17" xr3:uid="{00000000-0010-0000-0300-000011000000}" name="16" totalsRowFunction="count" dataDxfId="778" totalsRowDxfId="50"/>
    <tableColumn id="18" xr3:uid="{00000000-0010-0000-0300-000012000000}" name="17" totalsRowFunction="count" dataDxfId="777" totalsRowDxfId="49"/>
    <tableColumn id="19" xr3:uid="{00000000-0010-0000-0300-000013000000}" name="18" totalsRowFunction="count" dataDxfId="776" totalsRowDxfId="48"/>
    <tableColumn id="20" xr3:uid="{00000000-0010-0000-0300-000014000000}" name="19" totalsRowFunction="count" dataDxfId="775" totalsRowDxfId="47"/>
    <tableColumn id="21" xr3:uid="{00000000-0010-0000-0300-000015000000}" name="20" totalsRowFunction="count" dataDxfId="774" totalsRowDxfId="46"/>
    <tableColumn id="22" xr3:uid="{00000000-0010-0000-0300-000016000000}" name="21" totalsRowFunction="count" dataDxfId="773" totalsRowDxfId="45"/>
    <tableColumn id="23" xr3:uid="{00000000-0010-0000-0300-000017000000}" name="22" totalsRowFunction="count" dataDxfId="772" totalsRowDxfId="44"/>
    <tableColumn id="24" xr3:uid="{00000000-0010-0000-0300-000018000000}" name="23" totalsRowFunction="count" dataDxfId="771" totalsRowDxfId="43"/>
    <tableColumn id="25" xr3:uid="{00000000-0010-0000-0300-000019000000}" name="24" totalsRowFunction="count" dataDxfId="770" totalsRowDxfId="42"/>
    <tableColumn id="26" xr3:uid="{00000000-0010-0000-0300-00001A000000}" name="25" totalsRowFunction="count" dataDxfId="769" totalsRowDxfId="41"/>
    <tableColumn id="27" xr3:uid="{00000000-0010-0000-0300-00001B000000}" name="26" totalsRowFunction="count" dataDxfId="768" totalsRowDxfId="40"/>
    <tableColumn id="28" xr3:uid="{00000000-0010-0000-0300-00001C000000}" name="27" totalsRowFunction="count" dataDxfId="767" totalsRowDxfId="39"/>
    <tableColumn id="29" xr3:uid="{00000000-0010-0000-0300-00001D000000}" name="28" totalsRowFunction="count" dataDxfId="766" totalsRowDxfId="38"/>
    <tableColumn id="30" xr3:uid="{00000000-0010-0000-0300-00001E000000}" name="29" totalsRowFunction="count" dataDxfId="765" totalsRowDxfId="37"/>
    <tableColumn id="31" xr3:uid="{00000000-0010-0000-0300-00001F000000}" name="30" totalsRowFunction="count" dataDxfId="764" totalsRowDxfId="36"/>
    <tableColumn id="32" xr3:uid="{00000000-0010-0000-0300-000020000000}" name="31" totalsRowFunction="count" dataDxfId="763" totalsRowDxfId="35"/>
    <tableColumn id="33" xr3:uid="{00000000-0010-0000-0300-000021000000}" name="Total des jours" totalsRowFunction="sum" dataDxfId="762" totalsRowDxfId="34">
      <calculatedColumnFormula>COUNTA(Mars[[#This Row],[1]:[31]])</calculatedColumnFormula>
    </tableColumn>
    <tableColumn id="34" xr3:uid="{D4C885A3-831F-4A05-B115-DDCF05A3DFAA}" name="Total Jours PR" dataDxfId="67" totalsRowDxfId="33">
      <calculatedColumnFormula>COUNTIF(Mars[[#This Row],[1]:[31]],"PR")</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4000000}" name="Avril" displayName="Avril" ref="B6:AH12" totalsRowCount="1" headerRowDxfId="761" dataDxfId="760" totalsRowDxfId="759">
  <tableColumns count="33">
    <tableColumn id="1" xr3:uid="{00000000-0010-0000-0400-000001000000}" name="Nom de l’employé" totalsRowFunction="custom" dataDxfId="758" totalsRowDxfId="757" dataCellStyle="Employé">
      <totalsRowFormula>NomMois&amp;" Total"</totalsRowFormula>
    </tableColumn>
    <tableColumn id="2" xr3:uid="{00000000-0010-0000-0400-000002000000}" name="1" totalsRowFunction="count" dataDxfId="756" totalsRowDxfId="755"/>
    <tableColumn id="3" xr3:uid="{00000000-0010-0000-0400-000003000000}" name="2" totalsRowFunction="count" dataDxfId="754" totalsRowDxfId="753"/>
    <tableColumn id="4" xr3:uid="{00000000-0010-0000-0400-000004000000}" name="3" totalsRowFunction="count" dataDxfId="752" totalsRowDxfId="751"/>
    <tableColumn id="5" xr3:uid="{00000000-0010-0000-0400-000005000000}" name="4" totalsRowFunction="count" dataDxfId="750" totalsRowDxfId="749"/>
    <tableColumn id="6" xr3:uid="{00000000-0010-0000-0400-000006000000}" name="5" totalsRowFunction="count" dataDxfId="748" totalsRowDxfId="747"/>
    <tableColumn id="7" xr3:uid="{00000000-0010-0000-0400-000007000000}" name="6" totalsRowFunction="count" dataDxfId="746" totalsRowDxfId="745"/>
    <tableColumn id="8" xr3:uid="{00000000-0010-0000-0400-000008000000}" name="7" totalsRowFunction="count" dataDxfId="744" totalsRowDxfId="743"/>
    <tableColumn id="9" xr3:uid="{00000000-0010-0000-0400-000009000000}" name="8" totalsRowFunction="count" dataDxfId="742" totalsRowDxfId="741"/>
    <tableColumn id="10" xr3:uid="{00000000-0010-0000-0400-00000A000000}" name="9" totalsRowFunction="count" dataDxfId="740" totalsRowDxfId="739"/>
    <tableColumn id="11" xr3:uid="{00000000-0010-0000-0400-00000B000000}" name="10" totalsRowFunction="count" dataDxfId="738" totalsRowDxfId="737"/>
    <tableColumn id="12" xr3:uid="{00000000-0010-0000-0400-00000C000000}" name="11" totalsRowFunction="count" dataDxfId="736" totalsRowDxfId="735"/>
    <tableColumn id="13" xr3:uid="{00000000-0010-0000-0400-00000D000000}" name="12" totalsRowFunction="count" dataDxfId="734" totalsRowDxfId="733"/>
    <tableColumn id="14" xr3:uid="{00000000-0010-0000-0400-00000E000000}" name="13" totalsRowFunction="count" dataDxfId="732" totalsRowDxfId="731"/>
    <tableColumn id="15" xr3:uid="{00000000-0010-0000-0400-00000F000000}" name="14" totalsRowFunction="count" dataDxfId="730" totalsRowDxfId="729"/>
    <tableColumn id="16" xr3:uid="{00000000-0010-0000-0400-000010000000}" name="15" totalsRowFunction="count" dataDxfId="728" totalsRowDxfId="727"/>
    <tableColumn id="17" xr3:uid="{00000000-0010-0000-0400-000011000000}" name="16" totalsRowFunction="count" dataDxfId="726" totalsRowDxfId="725"/>
    <tableColumn id="18" xr3:uid="{00000000-0010-0000-0400-000012000000}" name="17" totalsRowFunction="count" dataDxfId="724" totalsRowDxfId="723"/>
    <tableColumn id="19" xr3:uid="{00000000-0010-0000-0400-000013000000}" name="18" totalsRowFunction="count" dataDxfId="722" totalsRowDxfId="721"/>
    <tableColumn id="20" xr3:uid="{00000000-0010-0000-0400-000014000000}" name="19" totalsRowFunction="count" dataDxfId="720" totalsRowDxfId="719"/>
    <tableColumn id="21" xr3:uid="{00000000-0010-0000-0400-000015000000}" name="20" totalsRowFunction="count" dataDxfId="718" totalsRowDxfId="717"/>
    <tableColumn id="22" xr3:uid="{00000000-0010-0000-0400-000016000000}" name="21" totalsRowFunction="count" dataDxfId="716" totalsRowDxfId="715"/>
    <tableColumn id="23" xr3:uid="{00000000-0010-0000-0400-000017000000}" name="22" totalsRowFunction="count" dataDxfId="714" totalsRowDxfId="713"/>
    <tableColumn id="24" xr3:uid="{00000000-0010-0000-0400-000018000000}" name="23" totalsRowFunction="count" dataDxfId="712" totalsRowDxfId="711"/>
    <tableColumn id="25" xr3:uid="{00000000-0010-0000-0400-000019000000}" name="24" totalsRowFunction="count" dataDxfId="710" totalsRowDxfId="709"/>
    <tableColumn id="26" xr3:uid="{00000000-0010-0000-0400-00001A000000}" name="25" totalsRowFunction="count" dataDxfId="708" totalsRowDxfId="707"/>
    <tableColumn id="27" xr3:uid="{00000000-0010-0000-0400-00001B000000}" name="26" totalsRowFunction="count" dataDxfId="706" totalsRowDxfId="705"/>
    <tableColumn id="28" xr3:uid="{00000000-0010-0000-0400-00001C000000}" name="27" totalsRowFunction="count" dataDxfId="704" totalsRowDxfId="703"/>
    <tableColumn id="29" xr3:uid="{00000000-0010-0000-0400-00001D000000}" name="28" totalsRowFunction="count" dataDxfId="702" totalsRowDxfId="701"/>
    <tableColumn id="30" xr3:uid="{00000000-0010-0000-0400-00001E000000}" name="29" totalsRowFunction="count" dataDxfId="700" totalsRowDxfId="699"/>
    <tableColumn id="31" xr3:uid="{00000000-0010-0000-0400-00001F000000}" name="30" totalsRowFunction="count" dataDxfId="698" totalsRowDxfId="697"/>
    <tableColumn id="32" xr3:uid="{00000000-0010-0000-0400-000020000000}" name=" " totalsRowFunction="custom" dataDxfId="696" totalsRowDxfId="695">
      <totalsRowFormula>SUBTOTAL(103,Avril[30])</totalsRowFormula>
    </tableColumn>
    <tableColumn id="33" xr3:uid="{00000000-0010-0000-0400-000021000000}" name="Total des jours" totalsRowFunction="sum" dataDxfId="694" totalsRowDxfId="693">
      <calculatedColumnFormula>COUNTA(Avril[[#This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2000000}" name="Mai" displayName="Mai" ref="B6:AH12" totalsRowCount="1" headerRowDxfId="866" dataDxfId="865" totalsRowDxfId="864">
  <tableColumns count="33">
    <tableColumn id="1" xr3:uid="{00000000-0010-0000-0200-000001000000}" name="Nom de l’employé" totalsRowFunction="custom" dataDxfId="863" totalsRowDxfId="862" dataCellStyle="Employé">
      <totalsRowFormula>NomMois&amp;" Total"</totalsRowFormula>
    </tableColumn>
    <tableColumn id="2" xr3:uid="{00000000-0010-0000-0200-000002000000}" name="1" totalsRowFunction="count" dataDxfId="861" totalsRowDxfId="860"/>
    <tableColumn id="3" xr3:uid="{00000000-0010-0000-0200-000003000000}" name="2" totalsRowFunction="count" dataDxfId="859" totalsRowDxfId="858"/>
    <tableColumn id="4" xr3:uid="{00000000-0010-0000-0200-000004000000}" name="3" totalsRowFunction="count" dataDxfId="857" totalsRowDxfId="856"/>
    <tableColumn id="5" xr3:uid="{00000000-0010-0000-0200-000005000000}" name="4" totalsRowFunction="count" dataDxfId="855" totalsRowDxfId="854"/>
    <tableColumn id="6" xr3:uid="{00000000-0010-0000-0200-000006000000}" name="5" totalsRowFunction="count" dataDxfId="853" totalsRowDxfId="852"/>
    <tableColumn id="7" xr3:uid="{00000000-0010-0000-0200-000007000000}" name="6" totalsRowFunction="count" dataDxfId="851" totalsRowDxfId="850"/>
    <tableColumn id="8" xr3:uid="{00000000-0010-0000-0200-000008000000}" name="7" totalsRowFunction="count" dataDxfId="849" totalsRowDxfId="848"/>
    <tableColumn id="9" xr3:uid="{00000000-0010-0000-0200-000009000000}" name="8" totalsRowFunction="count" dataDxfId="847" totalsRowDxfId="846"/>
    <tableColumn id="10" xr3:uid="{00000000-0010-0000-0200-00000A000000}" name="9" totalsRowFunction="count" dataDxfId="845" totalsRowDxfId="844"/>
    <tableColumn id="11" xr3:uid="{00000000-0010-0000-0200-00000B000000}" name="10" totalsRowFunction="count" dataDxfId="843" totalsRowDxfId="842"/>
    <tableColumn id="12" xr3:uid="{00000000-0010-0000-0200-00000C000000}" name="11" totalsRowFunction="count" dataDxfId="841" totalsRowDxfId="840"/>
    <tableColumn id="13" xr3:uid="{00000000-0010-0000-0200-00000D000000}" name="12" totalsRowFunction="count" dataDxfId="839" totalsRowDxfId="838"/>
    <tableColumn id="14" xr3:uid="{00000000-0010-0000-0200-00000E000000}" name="13" totalsRowFunction="count" dataDxfId="837" totalsRowDxfId="836"/>
    <tableColumn id="15" xr3:uid="{00000000-0010-0000-0200-00000F000000}" name="14" totalsRowFunction="count" dataDxfId="835" totalsRowDxfId="834"/>
    <tableColumn id="16" xr3:uid="{00000000-0010-0000-0200-000010000000}" name="15" totalsRowFunction="count" dataDxfId="833" totalsRowDxfId="832"/>
    <tableColumn id="17" xr3:uid="{00000000-0010-0000-0200-000011000000}" name="16" totalsRowFunction="count" dataDxfId="831" totalsRowDxfId="830"/>
    <tableColumn id="18" xr3:uid="{00000000-0010-0000-0200-000012000000}" name="17" totalsRowFunction="count" dataDxfId="829" totalsRowDxfId="828"/>
    <tableColumn id="19" xr3:uid="{00000000-0010-0000-0200-000013000000}" name="18" totalsRowFunction="count" dataDxfId="827" totalsRowDxfId="826"/>
    <tableColumn id="20" xr3:uid="{00000000-0010-0000-0200-000014000000}" name="19" totalsRowFunction="count" dataDxfId="825" totalsRowDxfId="824"/>
    <tableColumn id="21" xr3:uid="{00000000-0010-0000-0200-000015000000}" name="20" totalsRowFunction="count" dataDxfId="823" totalsRowDxfId="822"/>
    <tableColumn id="22" xr3:uid="{00000000-0010-0000-0200-000016000000}" name="21" totalsRowFunction="count" dataDxfId="821" totalsRowDxfId="820"/>
    <tableColumn id="23" xr3:uid="{00000000-0010-0000-0200-000017000000}" name="22" totalsRowFunction="count" dataDxfId="819" totalsRowDxfId="818"/>
    <tableColumn id="24" xr3:uid="{00000000-0010-0000-0200-000018000000}" name="23" totalsRowFunction="count" dataDxfId="817" totalsRowDxfId="816"/>
    <tableColumn id="25" xr3:uid="{00000000-0010-0000-0200-000019000000}" name="24" totalsRowFunction="count" dataDxfId="815" totalsRowDxfId="814"/>
    <tableColumn id="26" xr3:uid="{00000000-0010-0000-0200-00001A000000}" name="25" totalsRowFunction="count" dataDxfId="813" totalsRowDxfId="812"/>
    <tableColumn id="27" xr3:uid="{00000000-0010-0000-0200-00001B000000}" name="26" totalsRowFunction="count" dataDxfId="811" totalsRowDxfId="810"/>
    <tableColumn id="28" xr3:uid="{00000000-0010-0000-0200-00001C000000}" name="27" totalsRowFunction="count" dataDxfId="809" totalsRowDxfId="808"/>
    <tableColumn id="29" xr3:uid="{00000000-0010-0000-0200-00001D000000}" name="28" totalsRowFunction="count" dataDxfId="807" totalsRowDxfId="806"/>
    <tableColumn id="30" xr3:uid="{00000000-0010-0000-0200-00001E000000}" name="29" totalsRowFunction="count" dataDxfId="805" totalsRowDxfId="804"/>
    <tableColumn id="31" xr3:uid="{00000000-0010-0000-0200-00001F000000}" name="30" totalsRowFunction="count" dataDxfId="803" totalsRowDxfId="802"/>
    <tableColumn id="32" xr3:uid="{00000000-0010-0000-0200-000020000000}" name="31" totalsRowFunction="count" dataDxfId="801" totalsRowDxfId="800"/>
    <tableColumn id="33" xr3:uid="{00000000-0010-0000-0200-000021000000}" name="Total des jours" totalsRowFunction="sum" dataDxfId="799" totalsRowDxfId="798">
      <calculatedColumnFormula>COUNTA(Mai[[#This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5000000}" name="Juin" displayName="Juin" ref="B6:AH12" totalsRowCount="1" headerRowDxfId="692" dataDxfId="691" totalsRowDxfId="690">
  <tableColumns count="33">
    <tableColumn id="1" xr3:uid="{00000000-0010-0000-0500-000001000000}" name="Nom de l’employé" totalsRowFunction="custom" dataDxfId="689" totalsRowDxfId="688" dataCellStyle="Employé">
      <totalsRowFormula>NomMois&amp;" Total"</totalsRowFormula>
    </tableColumn>
    <tableColumn id="2" xr3:uid="{00000000-0010-0000-0500-000002000000}" name="1" totalsRowFunction="count" dataDxfId="687" totalsRowDxfId="686"/>
    <tableColumn id="3" xr3:uid="{00000000-0010-0000-0500-000003000000}" name="2" totalsRowFunction="count" dataDxfId="685" totalsRowDxfId="684"/>
    <tableColumn id="4" xr3:uid="{00000000-0010-0000-0500-000004000000}" name="3" totalsRowFunction="count" dataDxfId="683" totalsRowDxfId="682"/>
    <tableColumn id="5" xr3:uid="{00000000-0010-0000-0500-000005000000}" name="4" totalsRowFunction="count" dataDxfId="681" totalsRowDxfId="680"/>
    <tableColumn id="6" xr3:uid="{00000000-0010-0000-0500-000006000000}" name="5" totalsRowFunction="count" dataDxfId="679" totalsRowDxfId="678"/>
    <tableColumn id="7" xr3:uid="{00000000-0010-0000-0500-000007000000}" name="6" totalsRowFunction="count" dataDxfId="677" totalsRowDxfId="676"/>
    <tableColumn id="8" xr3:uid="{00000000-0010-0000-0500-000008000000}" name="7" totalsRowFunction="count" dataDxfId="675" totalsRowDxfId="674"/>
    <tableColumn id="9" xr3:uid="{00000000-0010-0000-0500-000009000000}" name="8" totalsRowFunction="count" dataDxfId="673" totalsRowDxfId="672"/>
    <tableColumn id="10" xr3:uid="{00000000-0010-0000-0500-00000A000000}" name="9" totalsRowFunction="count" dataDxfId="671" totalsRowDxfId="670"/>
    <tableColumn id="11" xr3:uid="{00000000-0010-0000-0500-00000B000000}" name="10" totalsRowFunction="count" dataDxfId="669" totalsRowDxfId="668"/>
    <tableColumn id="12" xr3:uid="{00000000-0010-0000-0500-00000C000000}" name="11" totalsRowFunction="count" dataDxfId="667" totalsRowDxfId="666"/>
    <tableColumn id="13" xr3:uid="{00000000-0010-0000-0500-00000D000000}" name="12" totalsRowFunction="count" dataDxfId="665" totalsRowDxfId="664"/>
    <tableColumn id="14" xr3:uid="{00000000-0010-0000-0500-00000E000000}" name="13" totalsRowFunction="count" dataDxfId="663" totalsRowDxfId="662"/>
    <tableColumn id="15" xr3:uid="{00000000-0010-0000-0500-00000F000000}" name="14" totalsRowFunction="count" dataDxfId="661" totalsRowDxfId="660"/>
    <tableColumn id="16" xr3:uid="{00000000-0010-0000-0500-000010000000}" name="15" totalsRowFunction="count" dataDxfId="659" totalsRowDxfId="658"/>
    <tableColumn id="17" xr3:uid="{00000000-0010-0000-0500-000011000000}" name="16" totalsRowFunction="count" dataDxfId="657" totalsRowDxfId="656"/>
    <tableColumn id="18" xr3:uid="{00000000-0010-0000-0500-000012000000}" name="17" totalsRowFunction="count" dataDxfId="655" totalsRowDxfId="654"/>
    <tableColumn id="19" xr3:uid="{00000000-0010-0000-0500-000013000000}" name="18" totalsRowFunction="count" dataDxfId="653" totalsRowDxfId="652"/>
    <tableColumn id="20" xr3:uid="{00000000-0010-0000-0500-000014000000}" name="19" totalsRowFunction="count" dataDxfId="651" totalsRowDxfId="650"/>
    <tableColumn id="21" xr3:uid="{00000000-0010-0000-0500-000015000000}" name="20" totalsRowFunction="count" dataDxfId="649" totalsRowDxfId="648"/>
    <tableColumn id="22" xr3:uid="{00000000-0010-0000-0500-000016000000}" name="21" totalsRowFunction="count" dataDxfId="647" totalsRowDxfId="646"/>
    <tableColumn id="23" xr3:uid="{00000000-0010-0000-0500-000017000000}" name="22" totalsRowFunction="count" dataDxfId="645" totalsRowDxfId="644"/>
    <tableColumn id="24" xr3:uid="{00000000-0010-0000-0500-000018000000}" name="23" totalsRowFunction="count" dataDxfId="643" totalsRowDxfId="642"/>
    <tableColumn id="25" xr3:uid="{00000000-0010-0000-0500-000019000000}" name="24" totalsRowFunction="count" dataDxfId="641" totalsRowDxfId="640"/>
    <tableColumn id="26" xr3:uid="{00000000-0010-0000-0500-00001A000000}" name="25" totalsRowFunction="count" dataDxfId="639" totalsRowDxfId="638"/>
    <tableColumn id="27" xr3:uid="{00000000-0010-0000-0500-00001B000000}" name="26" totalsRowFunction="count" dataDxfId="637" totalsRowDxfId="636"/>
    <tableColumn id="28" xr3:uid="{00000000-0010-0000-0500-00001C000000}" name="27" totalsRowFunction="count" dataDxfId="635" totalsRowDxfId="634"/>
    <tableColumn id="29" xr3:uid="{00000000-0010-0000-0500-00001D000000}" name="28" totalsRowFunction="count" dataDxfId="633" totalsRowDxfId="632"/>
    <tableColumn id="30" xr3:uid="{00000000-0010-0000-0500-00001E000000}" name="29" totalsRowFunction="count" dataDxfId="631" totalsRowDxfId="630"/>
    <tableColumn id="31" xr3:uid="{00000000-0010-0000-0500-00001F000000}" name="30" totalsRowFunction="count" dataDxfId="629" totalsRowDxfId="628"/>
    <tableColumn id="32" xr3:uid="{00000000-0010-0000-0500-000020000000}" name=" " totalsRowFunction="count" dataDxfId="627" totalsRowDxfId="626"/>
    <tableColumn id="33" xr3:uid="{00000000-0010-0000-0500-000021000000}" name="Total des jours" totalsRowFunction="sum" dataDxfId="625" totalsRowDxfId="624">
      <calculatedColumnFormula>COUNTA(Juin[[#This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6000000}" name="Juillet" displayName="Juillet" ref="B6:AH12" totalsRowCount="1" headerRowDxfId="623" dataDxfId="622" totalsRowDxfId="621">
  <tableColumns count="33">
    <tableColumn id="1" xr3:uid="{00000000-0010-0000-0600-000001000000}" name="Nom de l’employé" totalsRowFunction="custom" dataDxfId="620" totalsRowDxfId="619" dataCellStyle="Employé">
      <totalsRowFormula>NomMois&amp;" Total"</totalsRowFormula>
    </tableColumn>
    <tableColumn id="2" xr3:uid="{00000000-0010-0000-0600-000002000000}" name="1" totalsRowFunction="count" dataDxfId="618" totalsRowDxfId="617"/>
    <tableColumn id="3" xr3:uid="{00000000-0010-0000-0600-000003000000}" name="2" totalsRowFunction="count" dataDxfId="616" totalsRowDxfId="615"/>
    <tableColumn id="4" xr3:uid="{00000000-0010-0000-0600-000004000000}" name="3" totalsRowFunction="count" dataDxfId="614" totalsRowDxfId="613"/>
    <tableColumn id="5" xr3:uid="{00000000-0010-0000-0600-000005000000}" name="4" totalsRowFunction="count" dataDxfId="612" totalsRowDxfId="611"/>
    <tableColumn id="6" xr3:uid="{00000000-0010-0000-0600-000006000000}" name="5" totalsRowFunction="count" dataDxfId="610" totalsRowDxfId="609"/>
    <tableColumn id="7" xr3:uid="{00000000-0010-0000-0600-000007000000}" name="6" totalsRowFunction="count" dataDxfId="608" totalsRowDxfId="607"/>
    <tableColumn id="8" xr3:uid="{00000000-0010-0000-0600-000008000000}" name="7" totalsRowFunction="count" dataDxfId="606" totalsRowDxfId="605"/>
    <tableColumn id="9" xr3:uid="{00000000-0010-0000-0600-000009000000}" name="8" totalsRowFunction="count" dataDxfId="604" totalsRowDxfId="603"/>
    <tableColumn id="10" xr3:uid="{00000000-0010-0000-0600-00000A000000}" name="9" totalsRowFunction="count" dataDxfId="602" totalsRowDxfId="601"/>
    <tableColumn id="11" xr3:uid="{00000000-0010-0000-0600-00000B000000}" name="10" totalsRowFunction="count" dataDxfId="600" totalsRowDxfId="599"/>
    <tableColumn id="12" xr3:uid="{00000000-0010-0000-0600-00000C000000}" name="11" totalsRowFunction="count" dataDxfId="598" totalsRowDxfId="597"/>
    <tableColumn id="13" xr3:uid="{00000000-0010-0000-0600-00000D000000}" name="12" totalsRowFunction="count" dataDxfId="596" totalsRowDxfId="595"/>
    <tableColumn id="14" xr3:uid="{00000000-0010-0000-0600-00000E000000}" name="13" totalsRowFunction="count" dataDxfId="594" totalsRowDxfId="593"/>
    <tableColumn id="15" xr3:uid="{00000000-0010-0000-0600-00000F000000}" name="14" totalsRowFunction="count" dataDxfId="592" totalsRowDxfId="591"/>
    <tableColumn id="16" xr3:uid="{00000000-0010-0000-0600-000010000000}" name="15" totalsRowFunction="count" dataDxfId="590" totalsRowDxfId="589"/>
    <tableColumn id="17" xr3:uid="{00000000-0010-0000-0600-000011000000}" name="16" totalsRowFunction="count" dataDxfId="588" totalsRowDxfId="587"/>
    <tableColumn id="18" xr3:uid="{00000000-0010-0000-0600-000012000000}" name="17" totalsRowFunction="count" dataDxfId="586" totalsRowDxfId="585"/>
    <tableColumn id="19" xr3:uid="{00000000-0010-0000-0600-000013000000}" name="18" totalsRowFunction="count" dataDxfId="584" totalsRowDxfId="583"/>
    <tableColumn id="20" xr3:uid="{00000000-0010-0000-0600-000014000000}" name="19" totalsRowFunction="count" dataDxfId="582" totalsRowDxfId="581"/>
    <tableColumn id="21" xr3:uid="{00000000-0010-0000-0600-000015000000}" name="20" totalsRowFunction="count" dataDxfId="580" totalsRowDxfId="579"/>
    <tableColumn id="22" xr3:uid="{00000000-0010-0000-0600-000016000000}" name="21" totalsRowFunction="count" dataDxfId="578" totalsRowDxfId="577"/>
    <tableColumn id="23" xr3:uid="{00000000-0010-0000-0600-000017000000}" name="22" totalsRowFunction="count" dataDxfId="576" totalsRowDxfId="575"/>
    <tableColumn id="24" xr3:uid="{00000000-0010-0000-0600-000018000000}" name="23" totalsRowFunction="count" dataDxfId="574" totalsRowDxfId="573"/>
    <tableColumn id="25" xr3:uid="{00000000-0010-0000-0600-000019000000}" name="24" totalsRowFunction="count" dataDxfId="572" totalsRowDxfId="571"/>
    <tableColumn id="26" xr3:uid="{00000000-0010-0000-0600-00001A000000}" name="25" totalsRowFunction="count" dataDxfId="570" totalsRowDxfId="569"/>
    <tableColumn id="27" xr3:uid="{00000000-0010-0000-0600-00001B000000}" name="26" totalsRowFunction="count" dataDxfId="568" totalsRowDxfId="567"/>
    <tableColumn id="28" xr3:uid="{00000000-0010-0000-0600-00001C000000}" name="27" totalsRowFunction="count" dataDxfId="566" totalsRowDxfId="565"/>
    <tableColumn id="29" xr3:uid="{00000000-0010-0000-0600-00001D000000}" name="28" totalsRowFunction="count" dataDxfId="564" totalsRowDxfId="563"/>
    <tableColumn id="30" xr3:uid="{00000000-0010-0000-0600-00001E000000}" name="29" totalsRowFunction="count" dataDxfId="562" totalsRowDxfId="561"/>
    <tableColumn id="31" xr3:uid="{00000000-0010-0000-0600-00001F000000}" name="30" totalsRowFunction="count" dataDxfId="560" totalsRowDxfId="559"/>
    <tableColumn id="32" xr3:uid="{00000000-0010-0000-0600-000020000000}" name="31" totalsRowFunction="count" dataDxfId="558" totalsRowDxfId="557"/>
    <tableColumn id="33" xr3:uid="{00000000-0010-0000-0600-000021000000}" name="Total des jours" totalsRowFunction="sum" dataDxfId="556" totalsRowDxfId="555">
      <calculatedColumnFormula>COUNTA(Juillet[[#This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7000000}" name="Août" displayName="Août" ref="B6:AH12" totalsRowCount="1" headerRowDxfId="554" dataDxfId="553" totalsRowDxfId="552">
  <tableColumns count="33">
    <tableColumn id="1" xr3:uid="{00000000-0010-0000-0700-000001000000}" name="Nom de l’employé" totalsRowFunction="custom" dataDxfId="551" totalsRowDxfId="550" dataCellStyle="Employé">
      <totalsRowFormula>NomMois&amp;" Total"</totalsRowFormula>
    </tableColumn>
    <tableColumn id="2" xr3:uid="{00000000-0010-0000-0700-000002000000}" name="1" totalsRowFunction="count" dataDxfId="549" totalsRowDxfId="548"/>
    <tableColumn id="3" xr3:uid="{00000000-0010-0000-0700-000003000000}" name="2" totalsRowFunction="count" dataDxfId="547" totalsRowDxfId="546"/>
    <tableColumn id="4" xr3:uid="{00000000-0010-0000-0700-000004000000}" name="3" totalsRowFunction="count" dataDxfId="545" totalsRowDxfId="544"/>
    <tableColumn id="5" xr3:uid="{00000000-0010-0000-0700-000005000000}" name="4" totalsRowFunction="count" dataDxfId="543" totalsRowDxfId="542"/>
    <tableColumn id="6" xr3:uid="{00000000-0010-0000-0700-000006000000}" name="5" totalsRowFunction="count" dataDxfId="541" totalsRowDxfId="540"/>
    <tableColumn id="7" xr3:uid="{00000000-0010-0000-0700-000007000000}" name="6" totalsRowFunction="count" dataDxfId="539" totalsRowDxfId="538"/>
    <tableColumn id="8" xr3:uid="{00000000-0010-0000-0700-000008000000}" name="7" totalsRowFunction="count" dataDxfId="537" totalsRowDxfId="536"/>
    <tableColumn id="9" xr3:uid="{00000000-0010-0000-0700-000009000000}" name="8" totalsRowFunction="count" dataDxfId="535" totalsRowDxfId="534"/>
    <tableColumn id="10" xr3:uid="{00000000-0010-0000-0700-00000A000000}" name="9" totalsRowFunction="count" dataDxfId="533" totalsRowDxfId="532"/>
    <tableColumn id="11" xr3:uid="{00000000-0010-0000-0700-00000B000000}" name="10" totalsRowFunction="count" dataDxfId="531" totalsRowDxfId="530"/>
    <tableColumn id="12" xr3:uid="{00000000-0010-0000-0700-00000C000000}" name="11" totalsRowFunction="count" dataDxfId="529" totalsRowDxfId="528"/>
    <tableColumn id="13" xr3:uid="{00000000-0010-0000-0700-00000D000000}" name="12" totalsRowFunction="count" dataDxfId="527" totalsRowDxfId="526"/>
    <tableColumn id="14" xr3:uid="{00000000-0010-0000-0700-00000E000000}" name="13" totalsRowFunction="count" dataDxfId="525" totalsRowDxfId="524"/>
    <tableColumn id="15" xr3:uid="{00000000-0010-0000-0700-00000F000000}" name="14" totalsRowFunction="count" dataDxfId="523" totalsRowDxfId="522"/>
    <tableColumn id="16" xr3:uid="{00000000-0010-0000-0700-000010000000}" name="15" totalsRowFunction="count" dataDxfId="521" totalsRowDxfId="520"/>
    <tableColumn id="17" xr3:uid="{00000000-0010-0000-0700-000011000000}" name="16" totalsRowFunction="count" dataDxfId="519" totalsRowDxfId="518"/>
    <tableColumn id="18" xr3:uid="{00000000-0010-0000-0700-000012000000}" name="17" totalsRowFunction="count" dataDxfId="517" totalsRowDxfId="516"/>
    <tableColumn id="19" xr3:uid="{00000000-0010-0000-0700-000013000000}" name="18" totalsRowFunction="count" dataDxfId="515" totalsRowDxfId="514"/>
    <tableColumn id="20" xr3:uid="{00000000-0010-0000-0700-000014000000}" name="19" totalsRowFunction="count" dataDxfId="513" totalsRowDxfId="512"/>
    <tableColumn id="21" xr3:uid="{00000000-0010-0000-0700-000015000000}" name="20" totalsRowFunction="count" dataDxfId="511" totalsRowDxfId="510"/>
    <tableColumn id="22" xr3:uid="{00000000-0010-0000-0700-000016000000}" name="21" totalsRowFunction="count" dataDxfId="509" totalsRowDxfId="508"/>
    <tableColumn id="23" xr3:uid="{00000000-0010-0000-0700-000017000000}" name="22" totalsRowFunction="count" dataDxfId="507" totalsRowDxfId="506"/>
    <tableColumn id="24" xr3:uid="{00000000-0010-0000-0700-000018000000}" name="23" totalsRowFunction="count" dataDxfId="505" totalsRowDxfId="504"/>
    <tableColumn id="25" xr3:uid="{00000000-0010-0000-0700-000019000000}" name="24" totalsRowFunction="count" dataDxfId="503" totalsRowDxfId="502"/>
    <tableColumn id="26" xr3:uid="{00000000-0010-0000-0700-00001A000000}" name="25" totalsRowFunction="count" dataDxfId="501" totalsRowDxfId="500"/>
    <tableColumn id="27" xr3:uid="{00000000-0010-0000-0700-00001B000000}" name="26" totalsRowFunction="count" dataDxfId="499" totalsRowDxfId="498"/>
    <tableColumn id="28" xr3:uid="{00000000-0010-0000-0700-00001C000000}" name="27" totalsRowFunction="count" dataDxfId="497" totalsRowDxfId="496"/>
    <tableColumn id="29" xr3:uid="{00000000-0010-0000-0700-00001D000000}" name="28" totalsRowFunction="count" dataDxfId="495" totalsRowDxfId="494"/>
    <tableColumn id="30" xr3:uid="{00000000-0010-0000-0700-00001E000000}" name="29" totalsRowFunction="count" dataDxfId="493" totalsRowDxfId="492"/>
    <tableColumn id="31" xr3:uid="{00000000-0010-0000-0700-00001F000000}" name="30" totalsRowFunction="count" dataDxfId="491" totalsRowDxfId="490"/>
    <tableColumn id="32" xr3:uid="{00000000-0010-0000-0700-000020000000}" name="31" totalsRowFunction="count" dataDxfId="489" totalsRowDxfId="488"/>
    <tableColumn id="33" xr3:uid="{00000000-0010-0000-0700-000021000000}" name="Total des jours" totalsRowFunction="sum" dataDxfId="487" totalsRowDxfId="486">
      <calculatedColumnFormula>COUNTA(Août[[#This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8000000}" name="Septembre" displayName="Septembre" ref="B6:AH12" totalsRowCount="1" headerRowDxfId="485" dataDxfId="484" totalsRowDxfId="483">
  <tableColumns count="33">
    <tableColumn id="1" xr3:uid="{00000000-0010-0000-0800-000001000000}" name="Nom de l’employé" totalsRowFunction="custom" dataDxfId="482" totalsRowDxfId="481" dataCellStyle="Employé">
      <totalsRowFormula>NomMois&amp;" Total"</totalsRowFormula>
    </tableColumn>
    <tableColumn id="2" xr3:uid="{00000000-0010-0000-0800-000002000000}" name="1" totalsRowFunction="count" dataDxfId="480" totalsRowDxfId="479"/>
    <tableColumn id="3" xr3:uid="{00000000-0010-0000-0800-000003000000}" name="2" totalsRowFunction="count" dataDxfId="478" totalsRowDxfId="477"/>
    <tableColumn id="4" xr3:uid="{00000000-0010-0000-0800-000004000000}" name="3" totalsRowFunction="count" dataDxfId="476" totalsRowDxfId="475"/>
    <tableColumn id="5" xr3:uid="{00000000-0010-0000-0800-000005000000}" name="4" totalsRowFunction="count" dataDxfId="474" totalsRowDxfId="473"/>
    <tableColumn id="6" xr3:uid="{00000000-0010-0000-0800-000006000000}" name="5" totalsRowFunction="count" dataDxfId="472" totalsRowDxfId="471"/>
    <tableColumn id="7" xr3:uid="{00000000-0010-0000-0800-000007000000}" name="6" totalsRowFunction="count" dataDxfId="470" totalsRowDxfId="469"/>
    <tableColumn id="8" xr3:uid="{00000000-0010-0000-0800-000008000000}" name="7" totalsRowFunction="count" dataDxfId="468" totalsRowDxfId="467"/>
    <tableColumn id="9" xr3:uid="{00000000-0010-0000-0800-000009000000}" name="8" totalsRowFunction="count" dataDxfId="466" totalsRowDxfId="465"/>
    <tableColumn id="10" xr3:uid="{00000000-0010-0000-0800-00000A000000}" name="9" totalsRowFunction="count" dataDxfId="464" totalsRowDxfId="463"/>
    <tableColumn id="11" xr3:uid="{00000000-0010-0000-0800-00000B000000}" name="10" totalsRowFunction="count" dataDxfId="462" totalsRowDxfId="461"/>
    <tableColumn id="12" xr3:uid="{00000000-0010-0000-0800-00000C000000}" name="11" totalsRowFunction="count" dataDxfId="460" totalsRowDxfId="459"/>
    <tableColumn id="13" xr3:uid="{00000000-0010-0000-0800-00000D000000}" name="12" totalsRowFunction="count" dataDxfId="458" totalsRowDxfId="457"/>
    <tableColumn id="14" xr3:uid="{00000000-0010-0000-0800-00000E000000}" name="13" totalsRowFunction="count" dataDxfId="456" totalsRowDxfId="455"/>
    <tableColumn id="15" xr3:uid="{00000000-0010-0000-0800-00000F000000}" name="14" totalsRowFunction="count" dataDxfId="454" totalsRowDxfId="453"/>
    <tableColumn id="16" xr3:uid="{00000000-0010-0000-0800-000010000000}" name="15" totalsRowFunction="count" dataDxfId="452" totalsRowDxfId="451"/>
    <tableColumn id="17" xr3:uid="{00000000-0010-0000-0800-000011000000}" name="16" totalsRowFunction="count" dataDxfId="450" totalsRowDxfId="449"/>
    <tableColumn id="18" xr3:uid="{00000000-0010-0000-0800-000012000000}" name="17" totalsRowFunction="count" dataDxfId="448" totalsRowDxfId="447"/>
    <tableColumn id="19" xr3:uid="{00000000-0010-0000-0800-000013000000}" name="18" totalsRowFunction="count" dataDxfId="446" totalsRowDxfId="445"/>
    <tableColumn id="20" xr3:uid="{00000000-0010-0000-0800-000014000000}" name="19" totalsRowFunction="count" dataDxfId="444" totalsRowDxfId="443"/>
    <tableColumn id="21" xr3:uid="{00000000-0010-0000-0800-000015000000}" name="20" totalsRowFunction="count" dataDxfId="442" totalsRowDxfId="441"/>
    <tableColumn id="22" xr3:uid="{00000000-0010-0000-0800-000016000000}" name="21" totalsRowFunction="count" dataDxfId="440" totalsRowDxfId="439"/>
    <tableColumn id="23" xr3:uid="{00000000-0010-0000-0800-000017000000}" name="22" totalsRowFunction="count" dataDxfId="438" totalsRowDxfId="437"/>
    <tableColumn id="24" xr3:uid="{00000000-0010-0000-0800-000018000000}" name="23" totalsRowFunction="count" dataDxfId="436" totalsRowDxfId="435"/>
    <tableColumn id="25" xr3:uid="{00000000-0010-0000-0800-000019000000}" name="24" totalsRowFunction="count" dataDxfId="434" totalsRowDxfId="433"/>
    <tableColumn id="26" xr3:uid="{00000000-0010-0000-0800-00001A000000}" name="25" totalsRowFunction="count" dataDxfId="432" totalsRowDxfId="431"/>
    <tableColumn id="27" xr3:uid="{00000000-0010-0000-0800-00001B000000}" name="26" totalsRowFunction="count" dataDxfId="430" totalsRowDxfId="429"/>
    <tableColumn id="28" xr3:uid="{00000000-0010-0000-0800-00001C000000}" name="27" totalsRowFunction="count" dataDxfId="428" totalsRowDxfId="427"/>
    <tableColumn id="29" xr3:uid="{00000000-0010-0000-0800-00001D000000}" name="28" totalsRowFunction="count" dataDxfId="426" totalsRowDxfId="425"/>
    <tableColumn id="30" xr3:uid="{00000000-0010-0000-0800-00001E000000}" name="29" totalsRowFunction="count" dataDxfId="424" totalsRowDxfId="423"/>
    <tableColumn id="31" xr3:uid="{00000000-0010-0000-0800-00001F000000}" name="30" totalsRowFunction="count" dataDxfId="422" totalsRowDxfId="421"/>
    <tableColumn id="32" xr3:uid="{00000000-0010-0000-0800-000020000000}" name=" " totalsRowFunction="count" dataDxfId="420" totalsRowDxfId="419"/>
    <tableColumn id="33" xr3:uid="{00000000-0010-0000-0800-000021000000}" name="Total des jours" totalsRowFunction="sum" dataDxfId="418" totalsRowDxfId="417">
      <calculatedColumnFormula>COUNTA(Septembre[[#This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9000000}" name="Octobre" displayName="Octobre" ref="B6:AH12" totalsRowCount="1" headerRowDxfId="416" dataDxfId="415" totalsRowDxfId="414">
  <tableColumns count="33">
    <tableColumn id="1" xr3:uid="{00000000-0010-0000-0900-000001000000}" name="Nom de l’employé" totalsRowFunction="custom" dataDxfId="413" totalsRowDxfId="412" dataCellStyle="Employé">
      <totalsRowFormula>NomMois&amp;" Total"</totalsRowFormula>
    </tableColumn>
    <tableColumn id="2" xr3:uid="{00000000-0010-0000-0900-000002000000}" name="1" totalsRowFunction="count" dataDxfId="411" totalsRowDxfId="410"/>
    <tableColumn id="3" xr3:uid="{00000000-0010-0000-0900-000003000000}" name="2" totalsRowFunction="count" dataDxfId="409" totalsRowDxfId="408"/>
    <tableColumn id="4" xr3:uid="{00000000-0010-0000-0900-000004000000}" name="3" totalsRowFunction="count" dataDxfId="407" totalsRowDxfId="406"/>
    <tableColumn id="5" xr3:uid="{00000000-0010-0000-0900-000005000000}" name="4" totalsRowFunction="count" dataDxfId="405" totalsRowDxfId="404"/>
    <tableColumn id="6" xr3:uid="{00000000-0010-0000-0900-000006000000}" name="5" totalsRowFunction="count" dataDxfId="403" totalsRowDxfId="402"/>
    <tableColumn id="7" xr3:uid="{00000000-0010-0000-0900-000007000000}" name="6" totalsRowFunction="count" dataDxfId="401" totalsRowDxfId="400"/>
    <tableColumn id="8" xr3:uid="{00000000-0010-0000-0900-000008000000}" name="7" totalsRowFunction="count" dataDxfId="399" totalsRowDxfId="398"/>
    <tableColumn id="9" xr3:uid="{00000000-0010-0000-0900-000009000000}" name="8" totalsRowFunction="count" dataDxfId="397" totalsRowDxfId="396"/>
    <tableColumn id="10" xr3:uid="{00000000-0010-0000-0900-00000A000000}" name="9" totalsRowFunction="count" dataDxfId="395" totalsRowDxfId="394"/>
    <tableColumn id="11" xr3:uid="{00000000-0010-0000-0900-00000B000000}" name="10" totalsRowFunction="count" dataDxfId="393" totalsRowDxfId="392"/>
    <tableColumn id="12" xr3:uid="{00000000-0010-0000-0900-00000C000000}" name="11" totalsRowFunction="count" dataDxfId="391" totalsRowDxfId="390"/>
    <tableColumn id="13" xr3:uid="{00000000-0010-0000-0900-00000D000000}" name="12" totalsRowFunction="count" dataDxfId="389" totalsRowDxfId="388"/>
    <tableColumn id="14" xr3:uid="{00000000-0010-0000-0900-00000E000000}" name="13" totalsRowFunction="count" dataDxfId="387" totalsRowDxfId="386"/>
    <tableColumn id="15" xr3:uid="{00000000-0010-0000-0900-00000F000000}" name="14" totalsRowFunction="count" dataDxfId="385" totalsRowDxfId="384"/>
    <tableColumn id="16" xr3:uid="{00000000-0010-0000-0900-000010000000}" name="15" totalsRowFunction="count" dataDxfId="383" totalsRowDxfId="382"/>
    <tableColumn id="17" xr3:uid="{00000000-0010-0000-0900-000011000000}" name="16" totalsRowFunction="count" dataDxfId="381" totalsRowDxfId="380"/>
    <tableColumn id="18" xr3:uid="{00000000-0010-0000-0900-000012000000}" name="17" totalsRowFunction="count" dataDxfId="379" totalsRowDxfId="378"/>
    <tableColumn id="19" xr3:uid="{00000000-0010-0000-0900-000013000000}" name="18" totalsRowFunction="count" dataDxfId="377" totalsRowDxfId="376"/>
    <tableColumn id="20" xr3:uid="{00000000-0010-0000-0900-000014000000}" name="19" totalsRowFunction="count" dataDxfId="375" totalsRowDxfId="374"/>
    <tableColumn id="21" xr3:uid="{00000000-0010-0000-0900-000015000000}" name="20" totalsRowFunction="count" dataDxfId="373" totalsRowDxfId="372"/>
    <tableColumn id="22" xr3:uid="{00000000-0010-0000-0900-000016000000}" name="21" totalsRowFunction="count" dataDxfId="371" totalsRowDxfId="370"/>
    <tableColumn id="23" xr3:uid="{00000000-0010-0000-0900-000017000000}" name="22" totalsRowFunction="count" dataDxfId="369" totalsRowDxfId="368"/>
    <tableColumn id="24" xr3:uid="{00000000-0010-0000-0900-000018000000}" name="23" totalsRowFunction="count" dataDxfId="367" totalsRowDxfId="366"/>
    <tableColumn id="25" xr3:uid="{00000000-0010-0000-0900-000019000000}" name="24" totalsRowFunction="count" dataDxfId="365" totalsRowDxfId="364"/>
    <tableColumn id="26" xr3:uid="{00000000-0010-0000-0900-00001A000000}" name="25" totalsRowFunction="count" dataDxfId="363" totalsRowDxfId="362"/>
    <tableColumn id="27" xr3:uid="{00000000-0010-0000-0900-00001B000000}" name="26" totalsRowFunction="count" dataDxfId="361" totalsRowDxfId="360"/>
    <tableColumn id="28" xr3:uid="{00000000-0010-0000-0900-00001C000000}" name="27" totalsRowFunction="count" dataDxfId="359" totalsRowDxfId="358"/>
    <tableColumn id="29" xr3:uid="{00000000-0010-0000-0900-00001D000000}" name="28" totalsRowFunction="count" dataDxfId="357" totalsRowDxfId="356"/>
    <tableColumn id="30" xr3:uid="{00000000-0010-0000-0900-00001E000000}" name="29" totalsRowFunction="count" dataDxfId="355" totalsRowDxfId="354"/>
    <tableColumn id="31" xr3:uid="{00000000-0010-0000-0900-00001F000000}" name="30" totalsRowFunction="count" dataDxfId="353" totalsRowDxfId="352"/>
    <tableColumn id="32" xr3:uid="{00000000-0010-0000-0900-000020000000}" name="31" totalsRowFunction="count" dataDxfId="351" totalsRowDxfId="350"/>
    <tableColumn id="33" xr3:uid="{00000000-0010-0000-0900-000021000000}" name="Total des jours" totalsRowFunction="sum" dataDxfId="349" totalsRowDxfId="348">
      <calculatedColumnFormula>COUNTA(Octobre[[#This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A000000}" name="Novembre" displayName="Novembre" ref="B6:AH12" totalsRowCount="1" headerRowDxfId="347" dataDxfId="346" totalsRowDxfId="345">
  <tableColumns count="33">
    <tableColumn id="1" xr3:uid="{00000000-0010-0000-0A00-000001000000}" name="Nom de l’employé" totalsRowFunction="custom" dataDxfId="344" totalsRowDxfId="343" dataCellStyle="Employé">
      <totalsRowFormula>NomMois&amp;" Total"</totalsRowFormula>
    </tableColumn>
    <tableColumn id="2" xr3:uid="{00000000-0010-0000-0A00-000002000000}" name="1" totalsRowFunction="count" dataDxfId="342" totalsRowDxfId="341"/>
    <tableColumn id="3" xr3:uid="{00000000-0010-0000-0A00-000003000000}" name="2" totalsRowFunction="count" dataDxfId="340" totalsRowDxfId="339"/>
    <tableColumn id="4" xr3:uid="{00000000-0010-0000-0A00-000004000000}" name="3" totalsRowFunction="count" dataDxfId="338" totalsRowDxfId="337"/>
    <tableColumn id="5" xr3:uid="{00000000-0010-0000-0A00-000005000000}" name="4" totalsRowFunction="count" dataDxfId="336" totalsRowDxfId="335"/>
    <tableColumn id="6" xr3:uid="{00000000-0010-0000-0A00-000006000000}" name="5" totalsRowFunction="count" dataDxfId="334" totalsRowDxfId="333"/>
    <tableColumn id="7" xr3:uid="{00000000-0010-0000-0A00-000007000000}" name="6" totalsRowFunction="count" dataDxfId="332" totalsRowDxfId="331"/>
    <tableColumn id="8" xr3:uid="{00000000-0010-0000-0A00-000008000000}" name="7" totalsRowFunction="count" dataDxfId="330" totalsRowDxfId="329"/>
    <tableColumn id="9" xr3:uid="{00000000-0010-0000-0A00-000009000000}" name="8" totalsRowFunction="count" dataDxfId="328" totalsRowDxfId="327"/>
    <tableColumn id="10" xr3:uid="{00000000-0010-0000-0A00-00000A000000}" name="9" totalsRowFunction="count" dataDxfId="326" totalsRowDxfId="325"/>
    <tableColumn id="11" xr3:uid="{00000000-0010-0000-0A00-00000B000000}" name="10" totalsRowFunction="count" dataDxfId="324" totalsRowDxfId="323"/>
    <tableColumn id="12" xr3:uid="{00000000-0010-0000-0A00-00000C000000}" name="11" totalsRowFunction="count" dataDxfId="322" totalsRowDxfId="321"/>
    <tableColumn id="13" xr3:uid="{00000000-0010-0000-0A00-00000D000000}" name="12" totalsRowFunction="count" dataDxfId="320" totalsRowDxfId="319"/>
    <tableColumn id="14" xr3:uid="{00000000-0010-0000-0A00-00000E000000}" name="13" totalsRowFunction="count" dataDxfId="318" totalsRowDxfId="317"/>
    <tableColumn id="15" xr3:uid="{00000000-0010-0000-0A00-00000F000000}" name="14" totalsRowFunction="count" dataDxfId="316" totalsRowDxfId="315"/>
    <tableColumn id="16" xr3:uid="{00000000-0010-0000-0A00-000010000000}" name="15" totalsRowFunction="count" dataDxfId="314" totalsRowDxfId="313"/>
    <tableColumn id="17" xr3:uid="{00000000-0010-0000-0A00-000011000000}" name="16" totalsRowFunction="count" dataDxfId="312" totalsRowDxfId="311"/>
    <tableColumn id="18" xr3:uid="{00000000-0010-0000-0A00-000012000000}" name="17" totalsRowFunction="count" dataDxfId="310" totalsRowDxfId="309"/>
    <tableColumn id="19" xr3:uid="{00000000-0010-0000-0A00-000013000000}" name="18" totalsRowFunction="count" dataDxfId="308" totalsRowDxfId="307"/>
    <tableColumn id="20" xr3:uid="{00000000-0010-0000-0A00-000014000000}" name="19" totalsRowFunction="count" dataDxfId="306" totalsRowDxfId="305"/>
    <tableColumn id="21" xr3:uid="{00000000-0010-0000-0A00-000015000000}" name="20" totalsRowFunction="count" dataDxfId="304" totalsRowDxfId="303"/>
    <tableColumn id="22" xr3:uid="{00000000-0010-0000-0A00-000016000000}" name="21" totalsRowFunction="count" dataDxfId="302" totalsRowDxfId="301"/>
    <tableColumn id="23" xr3:uid="{00000000-0010-0000-0A00-000017000000}" name="22" totalsRowFunction="count" dataDxfId="300" totalsRowDxfId="299"/>
    <tableColumn id="24" xr3:uid="{00000000-0010-0000-0A00-000018000000}" name="23" totalsRowFunction="count" dataDxfId="298" totalsRowDxfId="297"/>
    <tableColumn id="25" xr3:uid="{00000000-0010-0000-0A00-000019000000}" name="24" totalsRowFunction="count" dataDxfId="296" totalsRowDxfId="295"/>
    <tableColumn id="26" xr3:uid="{00000000-0010-0000-0A00-00001A000000}" name="25" totalsRowFunction="count" dataDxfId="294" totalsRowDxfId="293"/>
    <tableColumn id="27" xr3:uid="{00000000-0010-0000-0A00-00001B000000}" name="26" totalsRowFunction="count" dataDxfId="292" totalsRowDxfId="291"/>
    <tableColumn id="28" xr3:uid="{00000000-0010-0000-0A00-00001C000000}" name="27" totalsRowFunction="count" dataDxfId="290" totalsRowDxfId="289"/>
    <tableColumn id="29" xr3:uid="{00000000-0010-0000-0A00-00001D000000}" name="28" totalsRowFunction="count" dataDxfId="288" totalsRowDxfId="287"/>
    <tableColumn id="30" xr3:uid="{00000000-0010-0000-0A00-00001E000000}" name="29" totalsRowFunction="count" dataDxfId="286" totalsRowDxfId="285"/>
    <tableColumn id="31" xr3:uid="{00000000-0010-0000-0A00-00001F000000}" name="30" totalsRowFunction="count" dataDxfId="284" totalsRowDxfId="283"/>
    <tableColumn id="32" xr3:uid="{00000000-0010-0000-0A00-000020000000}" name=" " totalsRowFunction="count" dataDxfId="282" totalsRowDxfId="281"/>
    <tableColumn id="33" xr3:uid="{00000000-0010-0000-0A00-000021000000}" name="Total des jours" totalsRowFunction="sum" dataDxfId="280" totalsRowDxfId="279">
      <calculatedColumnFormula>COUNTA(Novembre[[#This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Décembre" displayName="Décembre" ref="B6:AH12" totalsRowCount="1" headerRowDxfId="278" dataDxfId="277" totalsRowDxfId="276">
  <tableColumns count="33">
    <tableColumn id="1" xr3:uid="{00000000-0010-0000-0B00-000001000000}" name="Nom de l’employé" totalsRowFunction="custom" dataDxfId="275" totalsRowDxfId="274" dataCellStyle="Employé">
      <totalsRowFormula>NomMois&amp;" Total"</totalsRowFormula>
    </tableColumn>
    <tableColumn id="2" xr3:uid="{00000000-0010-0000-0B00-000002000000}" name="1" totalsRowFunction="count" dataDxfId="273" totalsRowDxfId="272"/>
    <tableColumn id="3" xr3:uid="{00000000-0010-0000-0B00-000003000000}" name="2" totalsRowFunction="count" dataDxfId="271" totalsRowDxfId="270"/>
    <tableColumn id="4" xr3:uid="{00000000-0010-0000-0B00-000004000000}" name="3" totalsRowFunction="count" dataDxfId="269" totalsRowDxfId="268"/>
    <tableColumn id="5" xr3:uid="{00000000-0010-0000-0B00-000005000000}" name="4" totalsRowFunction="count" dataDxfId="267" totalsRowDxfId="266"/>
    <tableColumn id="6" xr3:uid="{00000000-0010-0000-0B00-000006000000}" name="5" totalsRowFunction="count" dataDxfId="265" totalsRowDxfId="264"/>
    <tableColumn id="7" xr3:uid="{00000000-0010-0000-0B00-000007000000}" name="6" totalsRowFunction="count" dataDxfId="263" totalsRowDxfId="262"/>
    <tableColumn id="8" xr3:uid="{00000000-0010-0000-0B00-000008000000}" name="7" totalsRowFunction="count" dataDxfId="261" totalsRowDxfId="260"/>
    <tableColumn id="9" xr3:uid="{00000000-0010-0000-0B00-000009000000}" name="8" totalsRowFunction="count" dataDxfId="259" totalsRowDxfId="258"/>
    <tableColumn id="10" xr3:uid="{00000000-0010-0000-0B00-00000A000000}" name="9" totalsRowFunction="count" dataDxfId="257" totalsRowDxfId="256"/>
    <tableColumn id="11" xr3:uid="{00000000-0010-0000-0B00-00000B000000}" name="10" totalsRowFunction="count" dataDxfId="255" totalsRowDxfId="254"/>
    <tableColumn id="12" xr3:uid="{00000000-0010-0000-0B00-00000C000000}" name="11" totalsRowFunction="count" dataDxfId="253" totalsRowDxfId="252"/>
    <tableColumn id="13" xr3:uid="{00000000-0010-0000-0B00-00000D000000}" name="12" totalsRowFunction="count" dataDxfId="251" totalsRowDxfId="250"/>
    <tableColumn id="14" xr3:uid="{00000000-0010-0000-0B00-00000E000000}" name="13" totalsRowFunction="count" dataDxfId="249" totalsRowDxfId="248"/>
    <tableColumn id="15" xr3:uid="{00000000-0010-0000-0B00-00000F000000}" name="14" totalsRowFunction="count" dataDxfId="247" totalsRowDxfId="246"/>
    <tableColumn id="16" xr3:uid="{00000000-0010-0000-0B00-000010000000}" name="15" totalsRowFunction="count" dataDxfId="245" totalsRowDxfId="244"/>
    <tableColumn id="17" xr3:uid="{00000000-0010-0000-0B00-000011000000}" name="16" totalsRowFunction="count" dataDxfId="243" totalsRowDxfId="242"/>
    <tableColumn id="18" xr3:uid="{00000000-0010-0000-0B00-000012000000}" name="17" totalsRowFunction="count" dataDxfId="241" totalsRowDxfId="240"/>
    <tableColumn id="19" xr3:uid="{00000000-0010-0000-0B00-000013000000}" name="18" totalsRowFunction="count" dataDxfId="239" totalsRowDxfId="238"/>
    <tableColumn id="20" xr3:uid="{00000000-0010-0000-0B00-000014000000}" name="19" totalsRowFunction="count" dataDxfId="237" totalsRowDxfId="236"/>
    <tableColumn id="21" xr3:uid="{00000000-0010-0000-0B00-000015000000}" name="20" totalsRowFunction="count" dataDxfId="235" totalsRowDxfId="234"/>
    <tableColumn id="22" xr3:uid="{00000000-0010-0000-0B00-000016000000}" name="21" totalsRowFunction="count" dataDxfId="233" totalsRowDxfId="232"/>
    <tableColumn id="23" xr3:uid="{00000000-0010-0000-0B00-000017000000}" name="22" totalsRowFunction="count" dataDxfId="231" totalsRowDxfId="230"/>
    <tableColumn id="24" xr3:uid="{00000000-0010-0000-0B00-000018000000}" name="23" totalsRowFunction="count" dataDxfId="229" totalsRowDxfId="228"/>
    <tableColumn id="25" xr3:uid="{00000000-0010-0000-0B00-000019000000}" name="24" totalsRowFunction="count" dataDxfId="227" totalsRowDxfId="226"/>
    <tableColumn id="26" xr3:uid="{00000000-0010-0000-0B00-00001A000000}" name="25" totalsRowFunction="count" dataDxfId="225" totalsRowDxfId="224"/>
    <tableColumn id="27" xr3:uid="{00000000-0010-0000-0B00-00001B000000}" name="26" totalsRowFunction="count" dataDxfId="223" totalsRowDxfId="222"/>
    <tableColumn id="28" xr3:uid="{00000000-0010-0000-0B00-00001C000000}" name="27" totalsRowFunction="count" dataDxfId="221" totalsRowDxfId="220"/>
    <tableColumn id="29" xr3:uid="{00000000-0010-0000-0B00-00001D000000}" name="28" totalsRowFunction="count" dataDxfId="219" totalsRowDxfId="218"/>
    <tableColumn id="30" xr3:uid="{00000000-0010-0000-0B00-00001E000000}" name="29" totalsRowFunction="count" dataDxfId="217" totalsRowDxfId="216"/>
    <tableColumn id="31" xr3:uid="{00000000-0010-0000-0B00-00001F000000}" name="30" totalsRowFunction="count" dataDxfId="215" totalsRowDxfId="214"/>
    <tableColumn id="32" xr3:uid="{00000000-0010-0000-0B00-000020000000}" name="31" totalsRowFunction="count" dataDxfId="213" totalsRowDxfId="212"/>
    <tableColumn id="33" xr3:uid="{00000000-0010-0000-0B00-000021000000}" name="Total des jours" totalsRowFunction="sum" dataDxfId="211" totalsRowDxfId="210">
      <calculatedColumnFormula>COUNTA(Décembre[[#This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0BE7175-1E34-4EEF-B839-A6B2EEC21805}" name="Décembre2" displayName="Décembre2" ref="B6:O12" totalsRowCount="1" headerRowDxfId="165" dataDxfId="164" totalsRowDxfId="163">
  <tableColumns count="14">
    <tableColumn id="1" xr3:uid="{41AD6E01-1B77-4FAE-B523-24BF74A1E447}" name="Nom de l’employé" totalsRowFunction="custom" dataDxfId="162" totalsRowDxfId="81" dataCellStyle="Employé">
      <totalsRowFormula>" Total"</totalsRowFormula>
    </tableColumn>
    <tableColumn id="2" xr3:uid="{7E3BC9FB-96E1-407F-99C1-7F63D7695C0A}" name="1" totalsRowFunction="custom" dataDxfId="82" totalsRowDxfId="80">
      <calculatedColumnFormula>SUMIF(INDIRECT(C$5&amp;"!B:B"),$B7,INDIRECT(C$5&amp;"!AI:AI"))</calculatedColumnFormula>
      <totalsRowFormula>+SUM(C7:C11)</totalsRowFormula>
    </tableColumn>
    <tableColumn id="3" xr3:uid="{25FEDCC1-B3E1-4D57-B8CB-81DFCDEF4AE2}" name="2" totalsRowFunction="custom" dataDxfId="161" totalsRowDxfId="79">
      <calculatedColumnFormula>SUMIF(INDIRECT(D$5&amp;"!B:B"),$B7,INDIRECT(D$5&amp;"!AI:AI"))</calculatedColumnFormula>
      <totalsRowFormula>+SUM(D7:D11)</totalsRowFormula>
    </tableColumn>
    <tableColumn id="4" xr3:uid="{68A3A275-8461-4279-BC65-8080AD8E28AF}" name="3" totalsRowFunction="custom" dataDxfId="160" totalsRowDxfId="78">
      <calculatedColumnFormula>SUMIF(INDIRECT(E$5&amp;"!B:B"),$B7,INDIRECT(E$5&amp;"!AI:AI"))</calculatedColumnFormula>
      <totalsRowFormula>+SUM(E7:E11)</totalsRowFormula>
    </tableColumn>
    <tableColumn id="5" xr3:uid="{9DFA8DF1-1090-4EFB-8360-895D778EA694}" name="4" totalsRowFunction="custom" dataDxfId="159" totalsRowDxfId="77">
      <calculatedColumnFormula>SUMIF(INDIRECT(F$5&amp;"!B:B"),$B7,INDIRECT(F$5&amp;"!AI:AI"))</calculatedColumnFormula>
      <totalsRowFormula>+SUM(F7:F11)</totalsRowFormula>
    </tableColumn>
    <tableColumn id="6" xr3:uid="{647086C5-CA82-474A-8ECA-FB89CB1BC5D8}" name="5" totalsRowFunction="custom" dataDxfId="158" totalsRowDxfId="76">
      <calculatedColumnFormula>SUMIF(INDIRECT(G$5&amp;"!B:B"),$B7,INDIRECT(G$5&amp;"!AI:AI"))</calculatedColumnFormula>
      <totalsRowFormula>+SUM(G7:G11)</totalsRowFormula>
    </tableColumn>
    <tableColumn id="7" xr3:uid="{50F177AE-145A-4155-B220-4A9A88C5248A}" name="6" totalsRowFunction="custom" dataDxfId="157" totalsRowDxfId="75">
      <calculatedColumnFormula>SUMIF(INDIRECT(H$5&amp;"!B:B"),$B7,INDIRECT(H$5&amp;"!AI:AI"))</calculatedColumnFormula>
      <totalsRowFormula>+SUM(H7:H11)</totalsRowFormula>
    </tableColumn>
    <tableColumn id="8" xr3:uid="{F55B9970-9400-43DC-9E05-0EA97A14E6E7}" name="7" totalsRowFunction="custom" dataDxfId="156" totalsRowDxfId="74">
      <calculatedColumnFormula>SUMIF(INDIRECT(I$5&amp;"!B:B"),$B7,INDIRECT(I$5&amp;"!AI:AI"))</calculatedColumnFormula>
      <totalsRowFormula>+SUM(I7:I11)</totalsRowFormula>
    </tableColumn>
    <tableColumn id="9" xr3:uid="{0BD8C0D2-B050-4C6F-B640-FB2516516B2A}" name="8" totalsRowFunction="custom" dataDxfId="155" totalsRowDxfId="73">
      <calculatedColumnFormula>SUMIF(INDIRECT(J$5&amp;"!B:B"),$B7,INDIRECT(J$5&amp;"!AI:AI"))</calculatedColumnFormula>
      <totalsRowFormula>+SUM(J7:J11)</totalsRowFormula>
    </tableColumn>
    <tableColumn id="10" xr3:uid="{A097AEE3-09EC-49BA-871F-3BC532060E8E}" name="9" totalsRowFunction="custom" dataDxfId="154" totalsRowDxfId="72">
      <calculatedColumnFormula>SUMIF(INDIRECT(K$5&amp;"!B:B"),$B7,INDIRECT(K$5&amp;"!AI:AI"))</calculatedColumnFormula>
      <totalsRowFormula>+SUM(K7:K11)</totalsRowFormula>
    </tableColumn>
    <tableColumn id="11" xr3:uid="{3D745A4C-4B96-4E10-937F-CF2842D7AD02}" name="10" totalsRowFunction="custom" dataDxfId="153" totalsRowDxfId="71">
      <calculatedColumnFormula>SUMIF(INDIRECT(L$5&amp;"!B:B"),$B7,INDIRECT(L$5&amp;"!AI:AI"))</calculatedColumnFormula>
      <totalsRowFormula>+SUM(L7:L11)</totalsRowFormula>
    </tableColumn>
    <tableColumn id="12" xr3:uid="{30DF7071-88D1-45A8-A06E-AE0D1F113CA6}" name="11" totalsRowFunction="custom" dataDxfId="152" totalsRowDxfId="70">
      <calculatedColumnFormula>SUMIF(INDIRECT(M$5&amp;"!B:B"),$B7,INDIRECT(M$5&amp;"!AI:AI"))</calculatedColumnFormula>
      <totalsRowFormula>+SUM(M7:M11)</totalsRowFormula>
    </tableColumn>
    <tableColumn id="13" xr3:uid="{2B693578-B0F5-4117-859C-F1416EF982AF}" name="12" totalsRowFunction="custom" dataDxfId="151" totalsRowDxfId="69">
      <calculatedColumnFormula>SUMIF(INDIRECT(N$5&amp;"!B:B"),$B7,INDIRECT(N$5&amp;"!AI:AI"))</calculatedColumnFormula>
      <totalsRowFormula>+SUM(N7:N11)</totalsRowFormula>
    </tableColumn>
    <tableColumn id="33" xr3:uid="{FFEF9600-0D7D-4B64-8A52-FEE99AB136AE}" name="Total des jours" totalsRowFunction="sum" dataDxfId="150" totalsRowDxfId="68">
      <calculatedColumnFormula>COUNTA(#REF!)</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NomStagiaires" displayName="NomStagiaires" ref="B3:H8">
  <autoFilter ref="B3:H8" xr:uid="{00000000-0009-0000-0100-00000D000000}"/>
  <tableColumns count="7">
    <tableColumn id="1" xr3:uid="{00000000-0010-0000-0C00-000001000000}" name="Noms des stagiaires" totalsRowFunction="count" totalsRowDxfId="209" dataCellStyle="Employé"/>
    <tableColumn id="2" xr3:uid="{00000000-0010-0000-0C00-000002000000}" name="Début de Stage" totalsRowDxfId="208" dataCellStyle="Employé"/>
    <tableColumn id="4" xr3:uid="{00000000-0010-0000-0C00-000004000000}" name="Fin de Stage" totalsRowDxfId="207" dataCellStyle="Employé"/>
    <tableColumn id="6" xr3:uid="{00000000-0010-0000-0C00-000006000000}" name="Atelier" totalsRowDxfId="206" dataCellStyle="Employé"/>
    <tableColumn id="5" xr3:uid="{00000000-0010-0000-0C00-000005000000}" name="Adresse Facturation" dataDxfId="205" totalsRowDxfId="204" dataCellStyle="Employé"/>
    <tableColumn id="7" xr3:uid="{00000000-0010-0000-0C00-000007000000}" name="Période de facturation" dataDxfId="203" totalsRowDxfId="202" dataCellStyle="Employé">
      <calculatedColumnFormula>NomStagiaires[[#This Row],[Fin de Stage]]</calculatedColumnFormula>
    </tableColumn>
    <tableColumn id="3" xr3:uid="{00000000-0010-0000-0C00-000003000000}" name="Total Présence Repas sur l'année" dataDxfId="201" totalsRowDxfId="200" dataCellStyle="Employé">
      <calculatedColumnFormula>NB.</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2" tint="-0.89999084444715716"/>
  </sheetPr>
  <dimension ref="A1:AI12"/>
  <sheetViews>
    <sheetView showGridLines="0" zoomScaleNormal="100" workbookViewId="0">
      <selection activeCell="AI6" sqref="AI6:AI11"/>
    </sheetView>
  </sheetViews>
  <sheetFormatPr baseColWidth="10" defaultColWidth="9.140625" defaultRowHeight="30" customHeight="1" x14ac:dyDescent="0.25"/>
  <cols>
    <col min="1" max="1" width="2.7109375" style="10" customWidth="1"/>
    <col min="2" max="2" width="25.7109375" style="10" customWidth="1"/>
    <col min="3" max="8" width="4.7109375" style="10" customWidth="1"/>
    <col min="9" max="9" width="7.28515625" style="10" customWidth="1"/>
    <col min="10" max="11" width="4.7109375" style="10" customWidth="1"/>
    <col min="12" max="12" width="4.42578125" style="10" bestFit="1" customWidth="1"/>
    <col min="13" max="33" width="4.7109375" style="10" customWidth="1"/>
    <col min="34" max="34" width="13.5703125" style="10" customWidth="1"/>
    <col min="35" max="35" width="13.85546875" bestFit="1" customWidth="1"/>
  </cols>
  <sheetData>
    <row r="1" spans="1:35" ht="50.1" customHeight="1" x14ac:dyDescent="0.25">
      <c r="A1" s="17"/>
      <c r="B1" s="13" t="s">
        <v>49</v>
      </c>
    </row>
    <row r="2" spans="1:35" ht="15" customHeight="1" x14ac:dyDescent="0.25">
      <c r="B2" s="18" t="s">
        <v>59</v>
      </c>
      <c r="C2" s="3" t="s">
        <v>5</v>
      </c>
      <c r="D2" s="40" t="s">
        <v>50</v>
      </c>
      <c r="E2" s="41"/>
      <c r="F2" s="4" t="s">
        <v>66</v>
      </c>
      <c r="G2" s="40" t="s">
        <v>67</v>
      </c>
      <c r="H2" s="41"/>
      <c r="I2" s="41"/>
      <c r="J2" s="5" t="s">
        <v>51</v>
      </c>
      <c r="K2" s="40" t="s">
        <v>68</v>
      </c>
      <c r="L2" s="41"/>
      <c r="M2" s="6"/>
      <c r="N2" s="40"/>
      <c r="O2" s="41"/>
      <c r="P2" s="41"/>
      <c r="Q2" s="41"/>
      <c r="R2" s="7"/>
      <c r="S2" s="41"/>
      <c r="T2" s="41"/>
      <c r="U2" s="41"/>
      <c r="V2" s="41"/>
    </row>
    <row r="3" spans="1:35" ht="15" customHeight="1" x14ac:dyDescent="0.25">
      <c r="AH3" s="19" t="s">
        <v>34</v>
      </c>
    </row>
    <row r="4" spans="1:35" ht="30" customHeight="1" x14ac:dyDescent="0.25">
      <c r="B4" s="11" t="s">
        <v>0</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v>2021</v>
      </c>
    </row>
    <row r="5" spans="1:35" ht="15" customHeight="1" x14ac:dyDescent="0.25">
      <c r="B5" s="11"/>
      <c r="C5" s="1" t="str">
        <f>TEXT(WEEKDAY(DATE(AnnéeCalendrier,1,1),1),"jjj")</f>
        <v>ven</v>
      </c>
      <c r="D5" s="1" t="str">
        <f>TEXT(WEEKDAY(DATE(AnnéeCalendrier,1,2),1),"jjj")</f>
        <v>sam</v>
      </c>
      <c r="E5" s="1" t="str">
        <f>TEXT(WEEKDAY(DATE(AnnéeCalendrier,1,3),1),"jjj")</f>
        <v>dim</v>
      </c>
      <c r="F5" s="1" t="str">
        <f>TEXT(WEEKDAY(DATE(AnnéeCalendrier,1,4),1),"jjj")</f>
        <v>lun</v>
      </c>
      <c r="G5" s="1" t="str">
        <f>TEXT(WEEKDAY(DATE(AnnéeCalendrier,1,5),1),"jjj")</f>
        <v>mar</v>
      </c>
      <c r="H5" s="1" t="str">
        <f>TEXT(WEEKDAY(DATE(AnnéeCalendrier,1,6),1),"jjj")</f>
        <v>mer</v>
      </c>
      <c r="I5" s="1" t="str">
        <f>TEXT(WEEKDAY(DATE(AnnéeCalendrier,1,7),1),"jjj")</f>
        <v>jeu</v>
      </c>
      <c r="J5" s="1" t="str">
        <f>TEXT(WEEKDAY(DATE(AnnéeCalendrier,1,8),1),"jjj")</f>
        <v>ven</v>
      </c>
      <c r="K5" s="1" t="str">
        <f>TEXT(WEEKDAY(DATE(AnnéeCalendrier,1,9),1),"jjj")</f>
        <v>sam</v>
      </c>
      <c r="L5" s="1" t="str">
        <f>TEXT(WEEKDAY(DATE(AnnéeCalendrier,1,10),1),"jjj")</f>
        <v>dim</v>
      </c>
      <c r="M5" s="1" t="str">
        <f>TEXT(WEEKDAY(DATE(AnnéeCalendrier,1,11),1),"jjj")</f>
        <v>lun</v>
      </c>
      <c r="N5" s="1" t="str">
        <f>TEXT(WEEKDAY(DATE(AnnéeCalendrier,1,12),1),"jjj")</f>
        <v>mar</v>
      </c>
      <c r="O5" s="1" t="str">
        <f>TEXT(WEEKDAY(DATE(AnnéeCalendrier,1,13),1),"jjj")</f>
        <v>mer</v>
      </c>
      <c r="P5" s="1" t="str">
        <f>TEXT(WEEKDAY(DATE(AnnéeCalendrier,1,14),1),"jjj")</f>
        <v>jeu</v>
      </c>
      <c r="Q5" s="1" t="str">
        <f>TEXT(WEEKDAY(DATE(AnnéeCalendrier,1,15),1),"jjj")</f>
        <v>ven</v>
      </c>
      <c r="R5" s="1" t="str">
        <f>TEXT(WEEKDAY(DATE(AnnéeCalendrier,1,16),1),"jjj")</f>
        <v>sam</v>
      </c>
      <c r="S5" s="1" t="str">
        <f>TEXT(WEEKDAY(DATE(AnnéeCalendrier,1,17),1),"jjj")</f>
        <v>dim</v>
      </c>
      <c r="T5" s="1" t="str">
        <f>TEXT(WEEKDAY(DATE(AnnéeCalendrier,1,18),1),"jjj")</f>
        <v>lun</v>
      </c>
      <c r="U5" s="1" t="str">
        <f>TEXT(WEEKDAY(DATE(AnnéeCalendrier,1,19),1),"jjj")</f>
        <v>mar</v>
      </c>
      <c r="V5" s="1" t="str">
        <f>TEXT(WEEKDAY(DATE(AnnéeCalendrier,1,20),1),"jjj")</f>
        <v>mer</v>
      </c>
      <c r="W5" s="1" t="str">
        <f>TEXT(WEEKDAY(DATE(AnnéeCalendrier,1,21),1),"jjj")</f>
        <v>jeu</v>
      </c>
      <c r="X5" s="1" t="str">
        <f>TEXT(WEEKDAY(DATE(AnnéeCalendrier,1,22),1),"jjj")</f>
        <v>ven</v>
      </c>
      <c r="Y5" s="1" t="str">
        <f>TEXT(WEEKDAY(DATE(AnnéeCalendrier,1,23),1),"jjj")</f>
        <v>sam</v>
      </c>
      <c r="Z5" s="1" t="str">
        <f>TEXT(WEEKDAY(DATE(AnnéeCalendrier,1,24),1),"jjj")</f>
        <v>dim</v>
      </c>
      <c r="AA5" s="1" t="str">
        <f>TEXT(WEEKDAY(DATE(AnnéeCalendrier,1,25),1),"jjj")</f>
        <v>lun</v>
      </c>
      <c r="AB5" s="1" t="str">
        <f>TEXT(WEEKDAY(DATE(AnnéeCalendrier,1,26),1),"jjj")</f>
        <v>mar</v>
      </c>
      <c r="AC5" s="1" t="str">
        <f>TEXT(WEEKDAY(DATE(AnnéeCalendrier,1,27),1),"jjj")</f>
        <v>mer</v>
      </c>
      <c r="AD5" s="1" t="str">
        <f>TEXT(WEEKDAY(DATE(AnnéeCalendrier,1,28),1),"jjj")</f>
        <v>jeu</v>
      </c>
      <c r="AE5" s="1" t="str">
        <f>TEXT(WEEKDAY(DATE(AnnéeCalendrier,1,29),1),"jjj")</f>
        <v>ven</v>
      </c>
      <c r="AF5" s="1" t="str">
        <f>TEXT(WEEKDAY(DATE(AnnéeCalendrier,1,30),1),"jjj")</f>
        <v>sam</v>
      </c>
      <c r="AG5" s="1" t="str">
        <f>TEXT(WEEKDAY(DATE(AnnéeCalendrier,1,31),1),"jjj")</f>
        <v>dim</v>
      </c>
      <c r="AH5" s="11"/>
      <c r="AI5" s="26"/>
    </row>
    <row r="6" spans="1:35" ht="15" customHeight="1" x14ac:dyDescent="0.25">
      <c r="B6" s="23" t="s">
        <v>52</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32</v>
      </c>
      <c r="AG6" s="2" t="s">
        <v>33</v>
      </c>
      <c r="AH6" s="15" t="s">
        <v>70</v>
      </c>
      <c r="AI6" s="35" t="s">
        <v>71</v>
      </c>
    </row>
    <row r="7" spans="1:35" ht="30" customHeight="1" x14ac:dyDescent="0.25">
      <c r="B7" s="24" t="s">
        <v>73</v>
      </c>
      <c r="C7" s="2"/>
      <c r="D7" s="2"/>
      <c r="E7" s="2"/>
      <c r="F7" s="2"/>
      <c r="G7" s="2"/>
      <c r="H7" s="2"/>
      <c r="I7" s="2"/>
      <c r="J7" s="2" t="s">
        <v>5</v>
      </c>
      <c r="K7" s="2" t="s">
        <v>5</v>
      </c>
      <c r="L7" s="2" t="s">
        <v>5</v>
      </c>
      <c r="M7" s="2" t="s">
        <v>5</v>
      </c>
      <c r="N7" s="2" t="s">
        <v>5</v>
      </c>
      <c r="O7" s="2" t="s">
        <v>66</v>
      </c>
      <c r="P7" s="2" t="s">
        <v>66</v>
      </c>
      <c r="Q7" s="2" t="s">
        <v>66</v>
      </c>
      <c r="R7" s="2" t="s">
        <v>66</v>
      </c>
      <c r="S7" s="2" t="s">
        <v>66</v>
      </c>
      <c r="T7" s="2" t="s">
        <v>66</v>
      </c>
      <c r="U7" s="2" t="s">
        <v>66</v>
      </c>
      <c r="V7" s="2" t="s">
        <v>66</v>
      </c>
      <c r="W7" s="2"/>
      <c r="X7" s="2"/>
      <c r="Y7" s="2"/>
      <c r="Z7" s="2"/>
      <c r="AA7" s="2"/>
      <c r="AB7" s="2"/>
      <c r="AC7" s="2"/>
      <c r="AD7" s="2"/>
      <c r="AE7" s="2"/>
      <c r="AF7" s="2"/>
      <c r="AG7" s="2"/>
      <c r="AH7" s="9">
        <f>COUNTIF(Janvier[[#This Row],[1]:[31]],"P")</f>
        <v>5</v>
      </c>
      <c r="AI7" s="9">
        <f>COUNTIF(Janvier[[#This Row],[1]:[31]],"PR")</f>
        <v>8</v>
      </c>
    </row>
    <row r="8" spans="1:35" ht="30" customHeight="1" x14ac:dyDescent="0.25">
      <c r="B8" s="8" t="s">
        <v>54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COUNTIF(Janvier[[#This Row],[1]:[31]],"P")</f>
        <v>0</v>
      </c>
      <c r="AI8" s="9">
        <f>COUNTIF(Janvier[[#This Row],[1]:[31]],"PR")</f>
        <v>0</v>
      </c>
    </row>
    <row r="9" spans="1:35" ht="30" customHeight="1" x14ac:dyDescent="0.25">
      <c r="B9" s="8" t="s">
        <v>55</v>
      </c>
      <c r="C9" s="2"/>
      <c r="D9" s="2"/>
      <c r="E9" s="2"/>
      <c r="F9" s="2"/>
      <c r="G9" s="2"/>
      <c r="H9" s="2"/>
      <c r="I9" s="2"/>
      <c r="J9" s="2"/>
      <c r="K9" s="2"/>
      <c r="L9" s="2"/>
      <c r="M9" s="2"/>
      <c r="N9" s="2"/>
      <c r="O9" s="2"/>
      <c r="P9" s="2" t="s">
        <v>66</v>
      </c>
      <c r="Q9" s="2"/>
      <c r="R9" s="2" t="s">
        <v>74</v>
      </c>
      <c r="S9" s="2"/>
      <c r="T9" s="2"/>
      <c r="U9" s="2" t="s">
        <v>75</v>
      </c>
      <c r="V9" s="2"/>
      <c r="W9" s="2"/>
      <c r="X9" s="2"/>
      <c r="Y9" s="2"/>
      <c r="Z9" s="2"/>
      <c r="AA9" s="2"/>
      <c r="AB9" s="2"/>
      <c r="AC9" s="2"/>
      <c r="AD9" s="2"/>
      <c r="AE9" s="2"/>
      <c r="AF9" s="2"/>
      <c r="AG9" s="2"/>
      <c r="AH9" s="9">
        <f>COUNTIF(Janvier[[#This Row],[1]:[31]],"P")</f>
        <v>1</v>
      </c>
      <c r="AI9" s="9">
        <f>COUNTIF(Janvier[[#This Row],[1]:[31]],"PR")</f>
        <v>2</v>
      </c>
    </row>
    <row r="10" spans="1:35" ht="30" customHeight="1" x14ac:dyDescent="0.25">
      <c r="B10" s="8" t="s">
        <v>56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COUNTIF(Janvier[[#This Row],[1]:[31]],"P")</f>
        <v>0</v>
      </c>
      <c r="AI10" s="9">
        <f>COUNTIF(Janvier[[#This Row],[1]:[31]],"PR")</f>
        <v>0</v>
      </c>
    </row>
    <row r="11" spans="1:35" ht="30" customHeight="1" x14ac:dyDescent="0.25">
      <c r="B11" s="8" t="s">
        <v>57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COUNTIF(Janvier[[#This Row],[1]:[31]],"P")</f>
        <v>0</v>
      </c>
      <c r="AI11" s="9">
        <f>COUNTIF(Janvier[[#This Row],[1]:[31]],"PR")</f>
        <v>0</v>
      </c>
    </row>
    <row r="12" spans="1:35" ht="30" customHeight="1" x14ac:dyDescent="0.25">
      <c r="B12" s="20" t="str">
        <f>NomMois&amp;" Total"</f>
        <v>Janvier Total</v>
      </c>
      <c r="C12" s="12">
        <f>SUBTOTAL(103,Janvier!$C$7:$C$11)</f>
        <v>0</v>
      </c>
      <c r="D12" s="12">
        <f>SUBTOTAL(103,Janvier!$D$7:$D$11)</f>
        <v>0</v>
      </c>
      <c r="E12" s="12">
        <f>SUBTOTAL(103,Janvier!$E$7:$E$11)</f>
        <v>0</v>
      </c>
      <c r="F12" s="12">
        <f>SUBTOTAL(103,Janvier!$F$7:$F$11)</f>
        <v>0</v>
      </c>
      <c r="G12" s="12">
        <f>SUBTOTAL(103,Janvier!$G$7:$G$11)</f>
        <v>0</v>
      </c>
      <c r="H12" s="12">
        <f>SUBTOTAL(103,Janvier!$H$7:$H$11)</f>
        <v>0</v>
      </c>
      <c r="I12" s="12">
        <f>SUBTOTAL(103,Janvier!$I$7:$I$11)</f>
        <v>0</v>
      </c>
      <c r="J12" s="12">
        <f>SUBTOTAL(103,Janvier!$J$7:$J$11)</f>
        <v>1</v>
      </c>
      <c r="K12" s="12">
        <f>SUBTOTAL(103,Janvier!$K$7:$K$11)</f>
        <v>1</v>
      </c>
      <c r="L12" s="12">
        <f>SUBTOTAL(103,Janvier!$L$7:$L$11)</f>
        <v>1</v>
      </c>
      <c r="M12" s="12">
        <f>SUBTOTAL(103,Janvier!$M$7:$M$11)</f>
        <v>1</v>
      </c>
      <c r="N12" s="12">
        <f>SUBTOTAL(103,Janvier!$N$7:$N$11)</f>
        <v>1</v>
      </c>
      <c r="O12" s="12">
        <f>SUBTOTAL(103,Janvier!$O$7:$O$11)</f>
        <v>1</v>
      </c>
      <c r="P12" s="12">
        <f>SUBTOTAL(103,Janvier!$P$7:$P$11)</f>
        <v>2</v>
      </c>
      <c r="Q12" s="12">
        <f>SUBTOTAL(103,Janvier!$Q$7:$Q$11)</f>
        <v>1</v>
      </c>
      <c r="R12" s="12">
        <f>SUBTOTAL(103,Janvier!$R$7:$R$11)</f>
        <v>2</v>
      </c>
      <c r="S12" s="12">
        <f>SUBTOTAL(103,Janvier!$S$7:$S$11)</f>
        <v>1</v>
      </c>
      <c r="T12" s="12">
        <f>SUBTOTAL(103,Janvier!$T$7:$T$11)</f>
        <v>1</v>
      </c>
      <c r="U12" s="12">
        <f>SUBTOTAL(103,Janvier!$U$7:$U$11)</f>
        <v>2</v>
      </c>
      <c r="V12" s="12">
        <f>SUBTOTAL(103,Janvier!$V$7:$V$11)</f>
        <v>1</v>
      </c>
      <c r="W12" s="12">
        <f>SUBTOTAL(103,Janvier!$W$7:$W$11)</f>
        <v>0</v>
      </c>
      <c r="X12" s="12">
        <f>SUBTOTAL(103,Janvier!$X$7:$X$11)</f>
        <v>0</v>
      </c>
      <c r="Y12" s="12">
        <f>SUBTOTAL(103,Janvier!$Y$7:$Y$11)</f>
        <v>0</v>
      </c>
      <c r="Z12" s="12">
        <f>SUBTOTAL(103,Janvier!$Z$7:$Z$11)</f>
        <v>0</v>
      </c>
      <c r="AA12" s="12">
        <f>SUBTOTAL(103,Janvier!$AA$7:$AA$11)</f>
        <v>0</v>
      </c>
      <c r="AB12" s="12">
        <f>SUBTOTAL(103,Janvier!$AB$7:$AB$11)</f>
        <v>0</v>
      </c>
      <c r="AC12" s="12">
        <f>SUBTOTAL(103,Janvier!$AC$7:$AC$11)</f>
        <v>0</v>
      </c>
      <c r="AD12" s="12">
        <f>SUBTOTAL(103,Janvier!$AD$7:$AD$11)</f>
        <v>0</v>
      </c>
      <c r="AE12" s="12">
        <f>SUBTOTAL(103,Janvier!$AE$7:$AE$11)</f>
        <v>0</v>
      </c>
      <c r="AF12" s="12">
        <f>SUBTOTAL(103,Janvier!$AF$7:$AF$11)</f>
        <v>0</v>
      </c>
      <c r="AG12" s="12">
        <f>SUBTOTAL(103,Janvier!$AG$7:$AG$11)</f>
        <v>0</v>
      </c>
      <c r="AH12" s="12">
        <f>SUBTOTAL(109,Janvier[Total  Jours P])</f>
        <v>6</v>
      </c>
      <c r="AI12" s="12">
        <f>SUBTOTAL(109,Janvier[[Nom du stagiaire ]])</f>
        <v>0</v>
      </c>
    </row>
  </sheetData>
  <mergeCells count="6">
    <mergeCell ref="C4:AG4"/>
    <mergeCell ref="D2:E2"/>
    <mergeCell ref="G2:I2"/>
    <mergeCell ref="K2:L2"/>
    <mergeCell ref="N2:Q2"/>
    <mergeCell ref="S2:V2"/>
  </mergeCells>
  <conditionalFormatting sqref="C7:AG11">
    <cfRule type="expression" priority="1" stopIfTrue="1">
      <formula>C7=""</formula>
    </cfRule>
    <cfRule type="expression" dxfId="149" priority="6" stopIfTrue="1">
      <formula>C7=CléPersonnalisée2</formula>
    </cfRule>
    <cfRule type="expression" dxfId="148" priority="7" stopIfTrue="1">
      <formula>C7=CléPersonnalisée1</formula>
    </cfRule>
    <cfRule type="expression" dxfId="147" priority="8" stopIfTrue="1">
      <formula>C7=CléMaladie</formula>
    </cfRule>
    <cfRule type="expression" dxfId="146" priority="9" stopIfTrue="1">
      <formula>C7=CléPersonnel</formula>
    </cfRule>
    <cfRule type="expression" dxfId="145" priority="10" stopIfTrue="1">
      <formula>C7=CléPrésence</formula>
    </cfRule>
  </conditionalFormatting>
  <conditionalFormatting sqref="AH7:AI11">
    <cfRule type="dataBar" priority="168">
      <dataBar>
        <cfvo type="num" val="0"/>
        <cfvo type="num" val="31"/>
        <color theme="2" tint="-0.249977111117893"/>
      </dataBar>
      <extLst>
        <ext xmlns:x14="http://schemas.microsoft.com/office/spreadsheetml/2009/9/main" uri="{B025F937-C7B1-47D3-B67F-A62EFF666E3E}">
          <x14:id>{ECCE2C3C-1B01-4700-B60E-DAAAB19A9C1A}</x14:id>
        </ext>
      </extLst>
    </cfRule>
  </conditionalFormatting>
  <dataValidations count="15">
    <dataValidation allowBlank="1" showInputMessage="1" showErrorMessage="1" prompt="Entrez l’année dans cette cellule." sqref="AH4" xr:uid="{00000000-0002-0000-00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0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0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000-000003000000}"/>
    <dataValidation allowBlank="1" showInputMessage="1" showErrorMessage="1" prompt="Calcule automatiquement le nombre total de jours d’absence d’un employé durant ce mois" sqref="AH6:AI6" xr:uid="{00000000-0002-0000-0000-000004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0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000-000006000000}"/>
    <dataValidation allowBlank="1" showInputMessage="1" showErrorMessage="1" prompt="Cette ligne définit les clés utilisées dans le tableau : Congé en C2, Personnel en F2 et Congé maladie en J2. Les cellules M2 et R2 sont personnalisables" sqref="B2" xr:uid="{00000000-0002-0000-0000-000007000000}"/>
    <dataValidation allowBlank="1" showInputMessage="1" showErrorMessage="1" prompt="La lettre « C » indique une absence pour cause de congé" sqref="C2" xr:uid="{00000000-0002-0000-0000-000008000000}"/>
    <dataValidation allowBlank="1" showInputMessage="1" showErrorMessage="1" prompt="La lettre « P » indique une absence pour motifs personnels" sqref="F2" xr:uid="{00000000-0002-0000-0000-000009000000}"/>
    <dataValidation allowBlank="1" showInputMessage="1" showErrorMessage="1" prompt="La lettre « M » indique une absence pour cause de maladie" sqref="J2" xr:uid="{00000000-0002-0000-0000-00000A000000}"/>
    <dataValidation allowBlank="1" showInputMessage="1" showErrorMessage="1" prompt="Entrez une lettre et personnalisez l’étiquette à droite pour ajouter un élément de clé" sqref="M2 R2" xr:uid="{00000000-0002-0000-0000-00000B000000}"/>
    <dataValidation allowBlank="1" showInputMessage="1" showErrorMessage="1" prompt="Entrez une étiquette pour décrire la clé personnalisée à gauche" sqref="N2 S2" xr:uid="{00000000-0002-0000-0000-00000C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000-00000D000000}"/>
    <dataValidation allowBlank="1" showInputMessage="1" showErrorMessage="1" prompt="Entrez l’année dans la cellule ci-dessous" sqref="AH3" xr:uid="{00000000-0002-0000-0000-00000E000000}"/>
  </dataValidations>
  <pageMargins left="0.7" right="0.7" top="0.75" bottom="0.75" header="0.3" footer="0.3"/>
  <pageSetup paperSize="9" fitToHeight="0"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AH7:AI11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F000000}">
          <x14:formula1>
            <xm:f>'Noms des stagiaires'!$B$4:$B$8</xm:f>
          </x14:formula1>
          <xm:sqref>B7:B11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2" tint="-0.749992370372631"/>
  </sheetPr>
  <dimension ref="A1:AI12"/>
  <sheetViews>
    <sheetView showGridLines="0" zoomScaleNormal="100" workbookViewId="0">
      <selection activeCell="S16" sqref="S16"/>
    </sheetView>
  </sheetViews>
  <sheetFormatPr baseColWidth="10" defaultColWidth="9.140625" defaultRowHeight="30" customHeight="1" x14ac:dyDescent="0.25"/>
  <cols>
    <col min="1" max="1" width="2.7109375" style="10" customWidth="1"/>
    <col min="2" max="2" width="25.7109375" style="10" customWidth="1"/>
    <col min="3" max="8" width="4.7109375" style="10" customWidth="1"/>
    <col min="9" max="9" width="6.5703125" style="10" customWidth="1"/>
    <col min="10" max="33" width="4.7109375" style="10" customWidth="1"/>
    <col min="34" max="34" width="13.5703125" style="10" customWidth="1"/>
    <col min="35" max="35" width="13.140625" bestFit="1" customWidth="1"/>
  </cols>
  <sheetData>
    <row r="1" spans="2:35" ht="50.1" customHeight="1" x14ac:dyDescent="0.25">
      <c r="B1" s="13" t="str">
        <f>Titre_Absence_Employé</f>
        <v>Calendrier des stagiaires - ESAT JACQUEMART</v>
      </c>
    </row>
    <row r="2" spans="2:35" ht="15" customHeight="1" x14ac:dyDescent="0.25">
      <c r="B2" s="18" t="s">
        <v>59</v>
      </c>
      <c r="C2" s="3" t="s">
        <v>5</v>
      </c>
      <c r="D2" s="40" t="s">
        <v>50</v>
      </c>
      <c r="E2" s="41"/>
      <c r="F2" s="4" t="s">
        <v>69</v>
      </c>
      <c r="G2" s="40" t="s">
        <v>67</v>
      </c>
      <c r="H2" s="41"/>
      <c r="I2" s="41"/>
      <c r="J2" s="5" t="s">
        <v>51</v>
      </c>
      <c r="K2" s="40" t="s">
        <v>68</v>
      </c>
      <c r="L2" s="41"/>
      <c r="M2" s="6"/>
      <c r="N2" s="40"/>
      <c r="O2" s="41"/>
      <c r="P2" s="41"/>
      <c r="Q2" s="41"/>
      <c r="R2" s="7"/>
      <c r="S2" s="41"/>
      <c r="T2" s="41"/>
      <c r="U2" s="41"/>
      <c r="V2" s="41"/>
    </row>
    <row r="3" spans="2:35" ht="15" customHeight="1" x14ac:dyDescent="0.25">
      <c r="B3"/>
    </row>
    <row r="4" spans="2:35" ht="30" customHeight="1" x14ac:dyDescent="0.25">
      <c r="B4" s="11" t="s">
        <v>36</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v>2021</v>
      </c>
    </row>
    <row r="5" spans="2:35" ht="15" customHeight="1" x14ac:dyDescent="0.25">
      <c r="B5" s="11"/>
      <c r="C5" s="1" t="str">
        <f>TEXT(WEEKDAY(DATE(AnnéeCalendrier,2,1),1),"jjj")</f>
        <v>lun</v>
      </c>
      <c r="D5" s="1" t="str">
        <f>TEXT(WEEKDAY(DATE(AnnéeCalendrier,2,2),1),"jjj")</f>
        <v>mar</v>
      </c>
      <c r="E5" s="1" t="str">
        <f>TEXT(WEEKDAY(DATE(AnnéeCalendrier,2,3),1),"jjj")</f>
        <v>mer</v>
      </c>
      <c r="F5" s="1" t="str">
        <f>TEXT(WEEKDAY(DATE(AnnéeCalendrier,2,4),1),"jjj")</f>
        <v>jeu</v>
      </c>
      <c r="G5" s="1" t="str">
        <f>TEXT(WEEKDAY(DATE(AnnéeCalendrier,2,5),1),"jjj")</f>
        <v>ven</v>
      </c>
      <c r="H5" s="1" t="str">
        <f>TEXT(WEEKDAY(DATE(AnnéeCalendrier,2,6),1),"jjj")</f>
        <v>sam</v>
      </c>
      <c r="I5" s="1" t="str">
        <f>TEXT(WEEKDAY(DATE(AnnéeCalendrier,2,7),1),"jjj")</f>
        <v>dim</v>
      </c>
      <c r="J5" s="1" t="str">
        <f>TEXT(WEEKDAY(DATE(AnnéeCalendrier,2,8),1),"jjj")</f>
        <v>lun</v>
      </c>
      <c r="K5" s="1" t="str">
        <f>TEXT(WEEKDAY(DATE(AnnéeCalendrier,2,9),1),"jjj")</f>
        <v>mar</v>
      </c>
      <c r="L5" s="1" t="str">
        <f>TEXT(WEEKDAY(DATE(AnnéeCalendrier,2,10),1),"jjj")</f>
        <v>mer</v>
      </c>
      <c r="M5" s="1" t="str">
        <f>TEXT(WEEKDAY(DATE(AnnéeCalendrier,2,11),1),"jjj")</f>
        <v>jeu</v>
      </c>
      <c r="N5" s="1" t="str">
        <f>TEXT(WEEKDAY(DATE(AnnéeCalendrier,2,12),1),"jjj")</f>
        <v>ven</v>
      </c>
      <c r="O5" s="1" t="str">
        <f>TEXT(WEEKDAY(DATE(AnnéeCalendrier,2,13),1),"jjj")</f>
        <v>sam</v>
      </c>
      <c r="P5" s="1" t="str">
        <f>TEXT(WEEKDAY(DATE(AnnéeCalendrier,2,14),1),"jjj")</f>
        <v>dim</v>
      </c>
      <c r="Q5" s="1" t="str">
        <f>TEXT(WEEKDAY(DATE(AnnéeCalendrier,2,15),1),"jjj")</f>
        <v>lun</v>
      </c>
      <c r="R5" s="1" t="str">
        <f>TEXT(WEEKDAY(DATE(AnnéeCalendrier,2,16),1),"jjj")</f>
        <v>mar</v>
      </c>
      <c r="S5" s="1" t="str">
        <f>TEXT(WEEKDAY(DATE(AnnéeCalendrier,2,17),1),"jjj")</f>
        <v>mer</v>
      </c>
      <c r="T5" s="1" t="str">
        <f>TEXT(WEEKDAY(DATE(AnnéeCalendrier,2,18),1),"jjj")</f>
        <v>jeu</v>
      </c>
      <c r="U5" s="1" t="str">
        <f>TEXT(WEEKDAY(DATE(AnnéeCalendrier,2,19),1),"jjj")</f>
        <v>ven</v>
      </c>
      <c r="V5" s="1" t="str">
        <f>TEXT(WEEKDAY(DATE(AnnéeCalendrier,2,20),1),"jjj")</f>
        <v>sam</v>
      </c>
      <c r="W5" s="1" t="str">
        <f>TEXT(WEEKDAY(DATE(AnnéeCalendrier,2,21),1),"jjj")</f>
        <v>dim</v>
      </c>
      <c r="X5" s="1" t="str">
        <f>TEXT(WEEKDAY(DATE(AnnéeCalendrier,2,22),1),"jjj")</f>
        <v>lun</v>
      </c>
      <c r="Y5" s="1" t="str">
        <f>TEXT(WEEKDAY(DATE(AnnéeCalendrier,2,23),1),"jjj")</f>
        <v>mar</v>
      </c>
      <c r="Z5" s="1" t="str">
        <f>TEXT(WEEKDAY(DATE(AnnéeCalendrier,2,24),1),"jjj")</f>
        <v>mer</v>
      </c>
      <c r="AA5" s="1" t="str">
        <f>TEXT(WEEKDAY(DATE(AnnéeCalendrier,2,25),1),"jjj")</f>
        <v>jeu</v>
      </c>
      <c r="AB5" s="1" t="str">
        <f>TEXT(WEEKDAY(DATE(AnnéeCalendrier,2,26),1),"jjj")</f>
        <v>ven</v>
      </c>
      <c r="AC5" s="1" t="str">
        <f>TEXT(WEEKDAY(DATE(AnnéeCalendrier,2,27),1),"jjj")</f>
        <v>sam</v>
      </c>
      <c r="AD5" s="1" t="str">
        <f>TEXT(WEEKDAY(DATE(AnnéeCalendrier,2,28),1),"jjj")</f>
        <v>dim</v>
      </c>
      <c r="AE5" s="1" t="str">
        <f>TEXT(WEEKDAY(DATE(AnnéeCalendrier,2,29),1),"jjj")</f>
        <v>lun</v>
      </c>
      <c r="AF5" s="1"/>
      <c r="AG5" s="1"/>
      <c r="AH5" s="11"/>
    </row>
    <row r="6" spans="2:35"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37</v>
      </c>
      <c r="AG6" s="2" t="s">
        <v>38</v>
      </c>
      <c r="AH6" s="15" t="s">
        <v>35</v>
      </c>
      <c r="AI6" s="35" t="s">
        <v>71</v>
      </c>
    </row>
    <row r="7" spans="2:35" ht="30" customHeight="1" x14ac:dyDescent="0.25">
      <c r="B7" s="16" t="s">
        <v>73</v>
      </c>
      <c r="C7" s="2"/>
      <c r="D7" s="2"/>
      <c r="E7" s="2"/>
      <c r="F7" s="2"/>
      <c r="G7" s="2" t="s">
        <v>66</v>
      </c>
      <c r="H7" s="2"/>
      <c r="I7" s="2"/>
      <c r="J7" s="2"/>
      <c r="K7" s="2"/>
      <c r="L7" s="2"/>
      <c r="M7" s="2"/>
      <c r="N7" s="2"/>
      <c r="O7" s="2"/>
      <c r="P7" s="2"/>
      <c r="Q7" s="2"/>
      <c r="R7" s="2"/>
      <c r="S7" s="2"/>
      <c r="T7" s="2"/>
      <c r="U7" s="2"/>
      <c r="V7" s="2"/>
      <c r="W7" s="2"/>
      <c r="X7" s="2"/>
      <c r="Y7" s="2"/>
      <c r="Z7" s="2"/>
      <c r="AA7" s="2"/>
      <c r="AB7" s="2"/>
      <c r="AC7" s="2"/>
      <c r="AD7" s="2"/>
      <c r="AE7" s="2"/>
      <c r="AF7" s="2"/>
      <c r="AG7" s="2"/>
      <c r="AH7" s="9">
        <f>COUNTA(Février[[#This Row],[1]:[29]])</f>
        <v>1</v>
      </c>
      <c r="AI7" s="9">
        <f>COUNTIF(Février[[#This Row],[1]:[28]],"PR")</f>
        <v>1</v>
      </c>
    </row>
    <row r="8" spans="2:35" ht="30" customHeight="1" x14ac:dyDescent="0.25">
      <c r="B8" s="16" t="s">
        <v>54</v>
      </c>
      <c r="C8" s="2"/>
      <c r="D8" s="2"/>
      <c r="E8" s="2"/>
      <c r="F8" s="2"/>
      <c r="G8" s="2"/>
      <c r="H8" s="2"/>
      <c r="I8" s="2"/>
      <c r="J8" s="2"/>
      <c r="K8" s="2"/>
      <c r="L8" s="2"/>
      <c r="M8" s="2"/>
      <c r="N8" s="2" t="s">
        <v>66</v>
      </c>
      <c r="O8" s="2"/>
      <c r="P8" s="2"/>
      <c r="Q8" s="2"/>
      <c r="R8" s="2"/>
      <c r="S8" s="2"/>
      <c r="T8" s="2"/>
      <c r="U8" s="2"/>
      <c r="V8" s="2"/>
      <c r="W8" s="2"/>
      <c r="X8" s="2"/>
      <c r="Y8" s="2"/>
      <c r="Z8" s="2"/>
      <c r="AA8" s="2"/>
      <c r="AB8" s="2"/>
      <c r="AC8" s="2"/>
      <c r="AD8" s="2"/>
      <c r="AE8" s="2"/>
      <c r="AF8" s="2"/>
      <c r="AG8" s="2"/>
      <c r="AH8" s="9">
        <f>COUNTA(Février[[#This Row],[1]:[29]])</f>
        <v>1</v>
      </c>
      <c r="AI8" s="9">
        <f>COUNTIF(Février[[#This Row],[1]:[28]],"PR")</f>
        <v>1</v>
      </c>
    </row>
    <row r="9" spans="2:35" ht="30" customHeight="1" x14ac:dyDescent="0.25">
      <c r="B9" s="16" t="s">
        <v>55</v>
      </c>
      <c r="C9" s="2"/>
      <c r="D9" s="2"/>
      <c r="E9" s="2"/>
      <c r="F9" s="2"/>
      <c r="G9" s="2"/>
      <c r="H9" s="2"/>
      <c r="I9" s="2"/>
      <c r="J9" s="2"/>
      <c r="K9" s="2" t="s">
        <v>66</v>
      </c>
      <c r="L9" s="2"/>
      <c r="M9" s="2"/>
      <c r="N9" s="2" t="s">
        <v>66</v>
      </c>
      <c r="O9" s="2"/>
      <c r="P9" s="2"/>
      <c r="Q9" s="2"/>
      <c r="R9" s="2"/>
      <c r="S9" s="2"/>
      <c r="T9" s="2"/>
      <c r="U9" s="2"/>
      <c r="V9" s="2"/>
      <c r="W9" s="2"/>
      <c r="X9" s="2"/>
      <c r="Y9" s="2"/>
      <c r="Z9" s="2"/>
      <c r="AA9" s="2"/>
      <c r="AB9" s="2"/>
      <c r="AC9" s="2"/>
      <c r="AD9" s="2"/>
      <c r="AE9" s="2"/>
      <c r="AF9" s="2"/>
      <c r="AG9" s="2"/>
      <c r="AH9" s="9">
        <f>COUNTA(Février[[#This Row],[1]:[29]])</f>
        <v>2</v>
      </c>
      <c r="AI9" s="9">
        <f>COUNTIF(Février[[#This Row],[1]:[28]],"PR")</f>
        <v>2</v>
      </c>
    </row>
    <row r="10" spans="2:35" ht="30" customHeight="1" x14ac:dyDescent="0.25">
      <c r="B10" s="16" t="s">
        <v>56</v>
      </c>
      <c r="C10" s="2"/>
      <c r="D10" s="2"/>
      <c r="E10" s="2"/>
      <c r="F10" s="2"/>
      <c r="G10" s="2"/>
      <c r="H10" s="2"/>
      <c r="I10" s="2"/>
      <c r="J10" s="2"/>
      <c r="K10" s="2" t="s">
        <v>66</v>
      </c>
      <c r="L10" s="2"/>
      <c r="M10" s="2"/>
      <c r="N10" s="2"/>
      <c r="O10" s="2"/>
      <c r="P10" s="2"/>
      <c r="Q10" s="2"/>
      <c r="R10" s="2"/>
      <c r="S10" s="2"/>
      <c r="T10" s="2"/>
      <c r="U10" s="2"/>
      <c r="V10" s="2"/>
      <c r="W10" s="2"/>
      <c r="X10" s="2"/>
      <c r="Y10" s="2"/>
      <c r="Z10" s="2"/>
      <c r="AA10" s="2"/>
      <c r="AB10" s="2"/>
      <c r="AC10" s="2"/>
      <c r="AD10" s="2"/>
      <c r="AE10" s="2"/>
      <c r="AF10" s="2"/>
      <c r="AG10" s="2"/>
      <c r="AH10" s="9">
        <f>COUNTA(Février[[#This Row],[1]:[29]])</f>
        <v>1</v>
      </c>
      <c r="AI10" s="9">
        <f>COUNTIF(Février[[#This Row],[1]:[28]],"PR")</f>
        <v>1</v>
      </c>
    </row>
    <row r="11" spans="2:35" ht="30" customHeight="1" x14ac:dyDescent="0.25">
      <c r="B11" s="16" t="s">
        <v>57</v>
      </c>
      <c r="C11" s="2"/>
      <c r="D11" s="2"/>
      <c r="E11" s="2"/>
      <c r="F11" s="2"/>
      <c r="G11" s="2"/>
      <c r="H11" s="2"/>
      <c r="I11" s="2"/>
      <c r="J11" s="2"/>
      <c r="K11" s="2"/>
      <c r="L11" s="2"/>
      <c r="M11" s="2"/>
      <c r="N11" s="2"/>
      <c r="O11" s="2"/>
      <c r="P11" s="2"/>
      <c r="Q11" s="2"/>
      <c r="R11" s="2" t="s">
        <v>66</v>
      </c>
      <c r="S11" s="2"/>
      <c r="T11" s="2"/>
      <c r="U11" s="2"/>
      <c r="V11" s="2"/>
      <c r="W11" s="2"/>
      <c r="X11" s="2"/>
      <c r="Y11" s="2"/>
      <c r="Z11" s="2"/>
      <c r="AA11" s="2"/>
      <c r="AB11" s="2"/>
      <c r="AC11" s="2"/>
      <c r="AD11" s="2"/>
      <c r="AE11" s="2"/>
      <c r="AF11" s="2"/>
      <c r="AG11" s="2"/>
      <c r="AH11" s="9">
        <f>COUNTA(Février[[#This Row],[1]:[29]])</f>
        <v>1</v>
      </c>
      <c r="AI11" s="9">
        <f>COUNTIF(Février[[#This Row],[1]:[28]],"PR")</f>
        <v>1</v>
      </c>
    </row>
    <row r="12" spans="2:35" ht="30" customHeight="1" x14ac:dyDescent="0.25">
      <c r="B12" s="20" t="str">
        <f>NomMois&amp;" Total"</f>
        <v>Février Total</v>
      </c>
      <c r="C12" s="12">
        <f>SUBTOTAL(103,Février[1])</f>
        <v>0</v>
      </c>
      <c r="D12" s="12">
        <f>SUBTOTAL(103,Février[2])</f>
        <v>0</v>
      </c>
      <c r="E12" s="12">
        <f>SUBTOTAL(103,Février[3])</f>
        <v>0</v>
      </c>
      <c r="F12" s="12">
        <f>SUBTOTAL(103,Février[4])</f>
        <v>0</v>
      </c>
      <c r="G12" s="12">
        <f>SUBTOTAL(103,Février[5])</f>
        <v>1</v>
      </c>
      <c r="H12" s="12">
        <f>SUBTOTAL(103,Février[6])</f>
        <v>0</v>
      </c>
      <c r="I12" s="12">
        <f>SUBTOTAL(103,Février[7])</f>
        <v>0</v>
      </c>
      <c r="J12" s="12">
        <f>SUBTOTAL(103,Février[8])</f>
        <v>0</v>
      </c>
      <c r="K12" s="12">
        <f>SUBTOTAL(103,Février[9])</f>
        <v>2</v>
      </c>
      <c r="L12" s="12">
        <f>SUBTOTAL(103,Février[10])</f>
        <v>0</v>
      </c>
      <c r="M12" s="12">
        <f>SUBTOTAL(103,Février[11])</f>
        <v>0</v>
      </c>
      <c r="N12" s="12">
        <f>SUBTOTAL(103,Février[12])</f>
        <v>2</v>
      </c>
      <c r="O12" s="12">
        <f>SUBTOTAL(103,Février[13])</f>
        <v>0</v>
      </c>
      <c r="P12" s="12">
        <f>SUBTOTAL(103,Février[14])</f>
        <v>0</v>
      </c>
      <c r="Q12" s="12">
        <f>SUBTOTAL(103,Février[15])</f>
        <v>0</v>
      </c>
      <c r="R12" s="12">
        <f>SUBTOTAL(103,Février[16])</f>
        <v>1</v>
      </c>
      <c r="S12" s="12">
        <f>SUBTOTAL(103,Février[17])</f>
        <v>0</v>
      </c>
      <c r="T12" s="12">
        <f>SUBTOTAL(103,Février[18])</f>
        <v>0</v>
      </c>
      <c r="U12" s="12">
        <f>SUBTOTAL(103,Février[19])</f>
        <v>0</v>
      </c>
      <c r="V12" s="12">
        <f>SUBTOTAL(103,Février[20])</f>
        <v>0</v>
      </c>
      <c r="W12" s="12">
        <f>SUBTOTAL(103,Février[21])</f>
        <v>0</v>
      </c>
      <c r="X12" s="12">
        <f>SUBTOTAL(103,Février[22])</f>
        <v>0</v>
      </c>
      <c r="Y12" s="12">
        <f>SUBTOTAL(103,Février[23])</f>
        <v>0</v>
      </c>
      <c r="Z12" s="12">
        <f>SUBTOTAL(103,Février[24])</f>
        <v>0</v>
      </c>
      <c r="AA12" s="12">
        <f>SUBTOTAL(103,Février[25])</f>
        <v>0</v>
      </c>
      <c r="AB12" s="12">
        <f>SUBTOTAL(103,Février[26])</f>
        <v>0</v>
      </c>
      <c r="AC12" s="12">
        <f>SUBTOTAL(103,Février[27])</f>
        <v>0</v>
      </c>
      <c r="AD12" s="12">
        <f>SUBTOTAL(103,Février[28])</f>
        <v>0</v>
      </c>
      <c r="AE12" s="12">
        <f>SUBTOTAL(103,Février[29])</f>
        <v>0</v>
      </c>
      <c r="AF12" s="12"/>
      <c r="AG12" s="12"/>
      <c r="AH12" s="12">
        <f>SUBTOTAL(109,Février[Total des jours])</f>
        <v>6</v>
      </c>
    </row>
  </sheetData>
  <mergeCells count="6">
    <mergeCell ref="C4:AG4"/>
    <mergeCell ref="D2:E2"/>
    <mergeCell ref="G2:I2"/>
    <mergeCell ref="K2:L2"/>
    <mergeCell ref="N2:Q2"/>
    <mergeCell ref="S2:V2"/>
  </mergeCells>
  <conditionalFormatting sqref="AE6">
    <cfRule type="expression" dxfId="144" priority="17">
      <formula>MONTH(DATE(AnnéeCalendrier,2,29))&lt;&gt;2</formula>
    </cfRule>
  </conditionalFormatting>
  <conditionalFormatting sqref="AE5">
    <cfRule type="expression" dxfId="143" priority="16">
      <formula>MONTH(DATE(AnnéeCalendrier,2,29))&lt;&gt;2</formula>
    </cfRule>
  </conditionalFormatting>
  <conditionalFormatting sqref="C7:AG11">
    <cfRule type="expression" priority="3" stopIfTrue="1">
      <formula>C7=""</formula>
    </cfRule>
    <cfRule type="expression" dxfId="142" priority="4" stopIfTrue="1">
      <formula>C7=CléPersonnalisée2</formula>
    </cfRule>
  </conditionalFormatting>
  <conditionalFormatting sqref="C7:AG11">
    <cfRule type="expression" dxfId="141" priority="6" stopIfTrue="1">
      <formula>C7=CléPersonnalisée1</formula>
    </cfRule>
    <cfRule type="expression" dxfId="140" priority="7" stopIfTrue="1">
      <formula>C7=CléMaladie</formula>
    </cfRule>
    <cfRule type="expression" dxfId="139" priority="8" stopIfTrue="1">
      <formula>C7=CléPersonnel</formula>
    </cfRule>
    <cfRule type="expression" dxfId="138" priority="9" stopIfTrue="1">
      <formula>C7=CléPrésence</formula>
    </cfRule>
  </conditionalFormatting>
  <conditionalFormatting sqref="AH7:AH11">
    <cfRule type="dataBar" priority="154">
      <dataBar>
        <cfvo type="min"/>
        <cfvo type="formula" val="DATEDIF(DATE(AnnéeCalendrier,2,1),DATE(AnnéeCalendrier,3,1),&quot;d&quot;)"/>
        <color theme="2" tint="-0.249977111117893"/>
      </dataBar>
      <extLst>
        <ext xmlns:x14="http://schemas.microsoft.com/office/spreadsheetml/2009/9/main" uri="{B025F937-C7B1-47D3-B67F-A62EFF666E3E}">
          <x14:id>{94738C71-AB78-40C3-A818-D083AE35CC38}</x14:id>
        </ext>
      </extLst>
    </cfRule>
  </conditionalFormatting>
  <conditionalFormatting sqref="AI7:AI11">
    <cfRule type="dataBar" priority="1">
      <dataBar>
        <cfvo type="num" val="0"/>
        <cfvo type="num" val="31"/>
        <color theme="2" tint="-0.249977111117893"/>
      </dataBar>
      <extLst>
        <ext xmlns:x14="http://schemas.microsoft.com/office/spreadsheetml/2009/9/main" uri="{B025F937-C7B1-47D3-B67F-A62EFF666E3E}">
          <x14:id>{1CFA63F8-0782-4C45-A8BB-71B6F76E2A1C}</x14:id>
        </ext>
      </extLst>
    </cfRule>
  </conditionalFormatting>
  <dataValidations xWindow="232" yWindow="365" count="15">
    <dataValidation allowBlank="1" showInputMessage="1" showErrorMessage="1" prompt="Année mise à jour automatiquement en fonction de l’année entrée dans la feuille de calcul Janvier" sqref="AH4" xr:uid="{00000000-0002-0000-0100-000000000000}"/>
    <dataValidation allowBlank="1" showInputMessage="1" showErrorMessage="1" prompt="Suivez les absences du mois de février dans cette feuille de calcul" sqref="A1" xr:uid="{00000000-0002-0000-0100-000001000000}"/>
    <dataValidation allowBlank="1" showInputMessage="1" showErrorMessage="1" prompt="Calcule automatiquement le nombre total de jours d’absence d’un employé durant ce mois dans cette colonne" sqref="AH6" xr:uid="{00000000-0002-0000-0100-000002000000}"/>
    <dataValidation allowBlank="1" showInputMessage="1" showErrorMessage="1" prompt="Le titre mis à jour automatiquement figure dans cette cellule. Pour modifier le titre, mettez à jour la cellule B1 de la feuille de calcul Janvier" sqref="B1" xr:uid="{00000000-0002-0000-0100-000003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100-000004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100-000005000000}"/>
    <dataValidation allowBlank="1" showInputMessage="1" showErrorMessage="1" prompt="Cette ligne définit les clés utilisées dans le tableau : Congé en C2, Personnel en F2 et Congé maladie en J2. Les cellules M2 et R2 sont personnalisables" sqref="B2" xr:uid="{00000000-0002-0000-0100-000006000000}"/>
    <dataValidation allowBlank="1" showInputMessage="1" showErrorMessage="1" prompt="Entrez une étiquette pour décrire la clé personnalisée à gauche" sqref="N2 S2" xr:uid="{00000000-0002-0000-0100-000007000000}"/>
    <dataValidation allowBlank="1" showInputMessage="1" showErrorMessage="1" prompt="Entrez une lettre et personnalisez l’étiquette à droite pour ajouter un élément de clé" sqref="M2 R2" xr:uid="{00000000-0002-0000-0100-000008000000}"/>
    <dataValidation allowBlank="1" showInputMessage="1" showErrorMessage="1" prompt="La lettre « M » indique une absence pour cause de maladie" sqref="J2" xr:uid="{00000000-0002-0000-0100-000009000000}"/>
    <dataValidation allowBlank="1" showInputMessage="1" showErrorMessage="1" prompt="La lettre « P » indique une absence pour motifs personnels" sqref="F2" xr:uid="{00000000-0002-0000-0100-00000A000000}"/>
    <dataValidation allowBlank="1" showInputMessage="1" showErrorMessage="1" prompt="La lettre « C » indique une absence pour cause de congé" sqref="C2" xr:uid="{00000000-0002-0000-0100-00000B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1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100-00000D000000}"/>
    <dataValidation allowBlank="1" showInputMessage="1" showErrorMessage="1" prompt="Calcule automatiquement le nombre total de jours d’absence d’un employé durant ce mois" sqref="AI6" xr:uid="{E95F3BF3-827E-44E3-8320-C348EC85C4CD}"/>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94738C71-AB78-40C3-A818-D083AE35CC38}">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 xmlns:xm="http://schemas.microsoft.com/office/excel/2006/main">
          <x14:cfRule type="dataBar" id="{1CFA63F8-0782-4C45-A8BB-71B6F76E2A1C}">
            <x14:dataBar minLength="0" maxLength="100">
              <x14:cfvo type="num">
                <xm:f>0</xm:f>
              </x14:cfvo>
              <x14:cfvo type="num">
                <xm:f>31</xm:f>
              </x14:cfvo>
              <x14:negativeFillColor rgb="FFFF0000"/>
              <x14:axisColor rgb="FF000000"/>
            </x14:dataBar>
          </x14:cfRule>
          <xm:sqref>AI7:AI11</xm:sqref>
        </x14:conditionalFormatting>
      </x14:conditionalFormattings>
    </ext>
    <ext xmlns:x14="http://schemas.microsoft.com/office/spreadsheetml/2009/9/main" uri="{CCE6A557-97BC-4b89-ADB6-D9C93CAAB3DF}">
      <x14:dataValidations xmlns:xm="http://schemas.microsoft.com/office/excel/2006/main" xWindow="232" yWindow="365" count="1">
        <x14:dataValidation type="list" allowBlank="1" showInputMessage="1" showErrorMessage="1" xr:uid="{00000000-0002-0000-0100-00000E000000}">
          <x14:formula1>
            <xm:f>'Noms des stagiaires'!$B$4:$B$8</xm:f>
          </x14:formula1>
          <xm:sqref>B7:B11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2" tint="-0.499984740745262"/>
  </sheetPr>
  <dimension ref="A1:AI12"/>
  <sheetViews>
    <sheetView showGridLines="0" zoomScaleNormal="100" workbookViewId="0">
      <selection activeCell="L15" sqref="L15"/>
    </sheetView>
  </sheetViews>
  <sheetFormatPr baseColWidth="10" defaultColWidth="9.140625" defaultRowHeight="30" customHeight="1" x14ac:dyDescent="0.25"/>
  <cols>
    <col min="1" max="1" width="2.7109375" style="10" customWidth="1"/>
    <col min="2" max="2" width="25.7109375" style="10" customWidth="1"/>
    <col min="3" max="8" width="4.7109375" style="10" customWidth="1"/>
    <col min="9" max="9" width="6.5703125" style="10" customWidth="1"/>
    <col min="10" max="33" width="4.7109375" style="10" customWidth="1"/>
    <col min="34" max="34" width="13.5703125" style="10" customWidth="1"/>
    <col min="35" max="35" width="13.140625" bestFit="1" customWidth="1"/>
  </cols>
  <sheetData>
    <row r="1" spans="2:35" ht="50.1" customHeight="1" x14ac:dyDescent="0.25">
      <c r="B1" s="13" t="str">
        <f>Titre_Absence_Employé</f>
        <v>Calendrier des stagiaires - ESAT JACQUEMART</v>
      </c>
    </row>
    <row r="2" spans="2:35" ht="15" customHeight="1" x14ac:dyDescent="0.25">
      <c r="B2" s="18" t="s">
        <v>59</v>
      </c>
      <c r="C2" s="3" t="s">
        <v>5</v>
      </c>
      <c r="D2" s="40" t="s">
        <v>50</v>
      </c>
      <c r="E2" s="41"/>
      <c r="F2" s="4" t="s">
        <v>69</v>
      </c>
      <c r="G2" s="40" t="s">
        <v>67</v>
      </c>
      <c r="H2" s="41"/>
      <c r="I2" s="41"/>
      <c r="J2" s="5" t="s">
        <v>51</v>
      </c>
      <c r="K2" s="40" t="s">
        <v>68</v>
      </c>
      <c r="L2" s="41"/>
      <c r="M2" s="6"/>
      <c r="N2" s="40"/>
      <c r="O2" s="41"/>
      <c r="P2" s="41"/>
      <c r="Q2" s="41"/>
      <c r="R2" s="7"/>
      <c r="S2" s="41"/>
      <c r="T2" s="41"/>
      <c r="U2" s="41"/>
      <c r="V2" s="41"/>
    </row>
    <row r="3" spans="2:35" ht="15" customHeight="1" x14ac:dyDescent="0.25">
      <c r="B3" s="13"/>
    </row>
    <row r="4" spans="2:35" ht="30" customHeight="1" x14ac:dyDescent="0.25">
      <c r="B4" s="11" t="s">
        <v>39</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f>AnnéeCalendrier</f>
        <v>2021</v>
      </c>
    </row>
    <row r="5" spans="2:35" ht="15" customHeight="1" x14ac:dyDescent="0.25">
      <c r="B5" s="11"/>
      <c r="C5" s="1" t="str">
        <f>TEXT(WEEKDAY(DATE(AnnéeCalendrier,3,1),1),"jjj")</f>
        <v>lun</v>
      </c>
      <c r="D5" s="1" t="str">
        <f>TEXT(WEEKDAY(DATE(AnnéeCalendrier,3,2),1),"jjj")</f>
        <v>mar</v>
      </c>
      <c r="E5" s="1" t="str">
        <f>TEXT(WEEKDAY(DATE(AnnéeCalendrier,3,3),1),"jjj")</f>
        <v>mer</v>
      </c>
      <c r="F5" s="1" t="str">
        <f>TEXT(WEEKDAY(DATE(AnnéeCalendrier,3,4),1),"jjj")</f>
        <v>jeu</v>
      </c>
      <c r="G5" s="1" t="str">
        <f>TEXT(WEEKDAY(DATE(AnnéeCalendrier,3,5),1),"jjj")</f>
        <v>ven</v>
      </c>
      <c r="H5" s="1" t="str">
        <f>TEXT(WEEKDAY(DATE(AnnéeCalendrier,3,6),1),"jjj")</f>
        <v>sam</v>
      </c>
      <c r="I5" s="1" t="str">
        <f>TEXT(WEEKDAY(DATE(AnnéeCalendrier,3,7),1),"jjj")</f>
        <v>dim</v>
      </c>
      <c r="J5" s="1" t="str">
        <f>TEXT(WEEKDAY(DATE(AnnéeCalendrier,3,8),1),"jjj")</f>
        <v>lun</v>
      </c>
      <c r="K5" s="1" t="str">
        <f>TEXT(WEEKDAY(DATE(AnnéeCalendrier,3,9),1),"jjj")</f>
        <v>mar</v>
      </c>
      <c r="L5" s="1" t="str">
        <f>TEXT(WEEKDAY(DATE(AnnéeCalendrier,3,10),1),"jjj")</f>
        <v>mer</v>
      </c>
      <c r="M5" s="1" t="str">
        <f>TEXT(WEEKDAY(DATE(AnnéeCalendrier,3,11),1),"jjj")</f>
        <v>jeu</v>
      </c>
      <c r="N5" s="1" t="str">
        <f>TEXT(WEEKDAY(DATE(AnnéeCalendrier,3,12),1),"jjj")</f>
        <v>ven</v>
      </c>
      <c r="O5" s="1" t="str">
        <f>TEXT(WEEKDAY(DATE(AnnéeCalendrier,3,13),1),"jjj")</f>
        <v>sam</v>
      </c>
      <c r="P5" s="1" t="str">
        <f>TEXT(WEEKDAY(DATE(AnnéeCalendrier,3,14),1),"jjj")</f>
        <v>dim</v>
      </c>
      <c r="Q5" s="1" t="str">
        <f>TEXT(WEEKDAY(DATE(AnnéeCalendrier,3,15),1),"jjj")</f>
        <v>lun</v>
      </c>
      <c r="R5" s="1" t="str">
        <f>TEXT(WEEKDAY(DATE(AnnéeCalendrier,3,16),1),"jjj")</f>
        <v>mar</v>
      </c>
      <c r="S5" s="1" t="str">
        <f>TEXT(WEEKDAY(DATE(AnnéeCalendrier,3,17),1),"jjj")</f>
        <v>mer</v>
      </c>
      <c r="T5" s="1" t="str">
        <f>TEXT(WEEKDAY(DATE(AnnéeCalendrier,3,18),1),"jjj")</f>
        <v>jeu</v>
      </c>
      <c r="U5" s="1" t="str">
        <f>TEXT(WEEKDAY(DATE(AnnéeCalendrier,3,19),1),"jjj")</f>
        <v>ven</v>
      </c>
      <c r="V5" s="1" t="str">
        <f>TEXT(WEEKDAY(DATE(AnnéeCalendrier,3,20),1),"jjj")</f>
        <v>sam</v>
      </c>
      <c r="W5" s="1" t="str">
        <f>TEXT(WEEKDAY(DATE(AnnéeCalendrier,3,21),1),"jjj")</f>
        <v>dim</v>
      </c>
      <c r="X5" s="1" t="str">
        <f>TEXT(WEEKDAY(DATE(AnnéeCalendrier,3,22),1),"jjj")</f>
        <v>lun</v>
      </c>
      <c r="Y5" s="1" t="str">
        <f>TEXT(WEEKDAY(DATE(AnnéeCalendrier,3,23),1),"jjj")</f>
        <v>mar</v>
      </c>
      <c r="Z5" s="1" t="str">
        <f>TEXT(WEEKDAY(DATE(AnnéeCalendrier,3,24),1),"jjj")</f>
        <v>mer</v>
      </c>
      <c r="AA5" s="1" t="str">
        <f>TEXT(WEEKDAY(DATE(AnnéeCalendrier,3,25),1),"jjj")</f>
        <v>jeu</v>
      </c>
      <c r="AB5" s="1" t="str">
        <f>TEXT(WEEKDAY(DATE(AnnéeCalendrier,3,26),1),"jjj")</f>
        <v>ven</v>
      </c>
      <c r="AC5" s="1" t="str">
        <f>TEXT(WEEKDAY(DATE(AnnéeCalendrier,3,27),1),"jjj")</f>
        <v>sam</v>
      </c>
      <c r="AD5" s="1" t="str">
        <f>TEXT(WEEKDAY(DATE(AnnéeCalendrier,3,28),1),"jjj")</f>
        <v>dim</v>
      </c>
      <c r="AE5" s="1" t="str">
        <f>TEXT(WEEKDAY(DATE(AnnéeCalendrier,3,29),1),"jjj")</f>
        <v>lun</v>
      </c>
      <c r="AF5" s="1" t="str">
        <f>TEXT(WEEKDAY(DATE(AnnéeCalendrier,3,30),1),"jjj")</f>
        <v>mar</v>
      </c>
      <c r="AG5" s="1" t="str">
        <f>TEXT(WEEKDAY(DATE(AnnéeCalendrier,3,31),1),"jjj")</f>
        <v>mer</v>
      </c>
      <c r="AH5" s="11"/>
    </row>
    <row r="6" spans="2:35"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32</v>
      </c>
      <c r="AG6" s="2" t="s">
        <v>33</v>
      </c>
      <c r="AH6" s="15" t="s">
        <v>35</v>
      </c>
      <c r="AI6" s="35" t="s">
        <v>71</v>
      </c>
    </row>
    <row r="7" spans="2:35" ht="30" customHeight="1" x14ac:dyDescent="0.25">
      <c r="B7" s="16" t="s">
        <v>73</v>
      </c>
      <c r="C7" s="2"/>
      <c r="D7" s="2"/>
      <c r="E7" s="2"/>
      <c r="F7" s="2"/>
      <c r="G7" s="2"/>
      <c r="H7" s="2"/>
      <c r="I7" s="2" t="s">
        <v>66</v>
      </c>
      <c r="J7" s="2"/>
      <c r="K7" s="2"/>
      <c r="L7" s="2"/>
      <c r="M7" s="2"/>
      <c r="N7" s="2"/>
      <c r="O7" s="2"/>
      <c r="P7" s="2"/>
      <c r="Q7" s="2"/>
      <c r="R7" s="2"/>
      <c r="S7" s="2"/>
      <c r="T7" s="2"/>
      <c r="U7" s="2"/>
      <c r="V7" s="2"/>
      <c r="W7" s="2"/>
      <c r="X7" s="2"/>
      <c r="Y7" s="2"/>
      <c r="Z7" s="2"/>
      <c r="AA7" s="2"/>
      <c r="AB7" s="2"/>
      <c r="AC7" s="2"/>
      <c r="AD7" s="2"/>
      <c r="AE7" s="2"/>
      <c r="AF7" s="2"/>
      <c r="AG7" s="2"/>
      <c r="AH7" s="9">
        <f>COUNTA(Mars[[#This Row],[1]:[31]])</f>
        <v>1</v>
      </c>
      <c r="AI7" s="9">
        <f>COUNTIF(Mars[[#This Row],[1]:[31]],"PR")</f>
        <v>1</v>
      </c>
    </row>
    <row r="8" spans="2:35" ht="30" customHeight="1" x14ac:dyDescent="0.25">
      <c r="B8" s="16" t="s">
        <v>54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COUNTA(Mars[[#This Row],[1]:[31]])</f>
        <v>0</v>
      </c>
      <c r="AI8" s="9">
        <f>COUNTIF(Mars[[#This Row],[1]:[31]],"PR")</f>
        <v>0</v>
      </c>
    </row>
    <row r="9" spans="2:35" ht="30" customHeight="1" x14ac:dyDescent="0.25">
      <c r="B9" s="16" t="s">
        <v>55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COUNTA(Mars[[#This Row],[1]:[31]])</f>
        <v>0</v>
      </c>
      <c r="AI9" s="9">
        <f>COUNTIF(Mars[[#This Row],[1]:[31]],"PR")</f>
        <v>0</v>
      </c>
    </row>
    <row r="10" spans="2:35" ht="30" customHeight="1" x14ac:dyDescent="0.25">
      <c r="B10" s="16" t="s">
        <v>56</v>
      </c>
      <c r="C10" s="2"/>
      <c r="D10" s="2"/>
      <c r="E10" s="2"/>
      <c r="F10" s="2"/>
      <c r="G10" s="2"/>
      <c r="H10" s="2"/>
      <c r="I10" s="2"/>
      <c r="J10" s="2" t="s">
        <v>66</v>
      </c>
      <c r="K10" s="2"/>
      <c r="L10" s="2"/>
      <c r="M10" s="2"/>
      <c r="N10" s="2"/>
      <c r="O10" s="2"/>
      <c r="P10" s="2"/>
      <c r="Q10" s="2"/>
      <c r="R10" s="2"/>
      <c r="S10" s="2"/>
      <c r="T10" s="2"/>
      <c r="U10" s="2"/>
      <c r="V10" s="2"/>
      <c r="W10" s="2"/>
      <c r="X10" s="2"/>
      <c r="Y10" s="2"/>
      <c r="Z10" s="2"/>
      <c r="AA10" s="2"/>
      <c r="AB10" s="2"/>
      <c r="AC10" s="2"/>
      <c r="AD10" s="2"/>
      <c r="AE10" s="2"/>
      <c r="AF10" s="2"/>
      <c r="AG10" s="2"/>
      <c r="AH10" s="9">
        <f>COUNTA(Mars[[#This Row],[1]:[31]])</f>
        <v>1</v>
      </c>
      <c r="AI10" s="9">
        <f>COUNTIF(Mars[[#This Row],[1]:[31]],"PR")</f>
        <v>1</v>
      </c>
    </row>
    <row r="11" spans="2:35" ht="30" customHeight="1" x14ac:dyDescent="0.25">
      <c r="B11" s="16" t="s">
        <v>57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COUNTA(Mars[[#This Row],[1]:[31]])</f>
        <v>0</v>
      </c>
      <c r="AI11" s="9">
        <f>COUNTIF(Mars[[#This Row],[1]:[31]],"PR")</f>
        <v>0</v>
      </c>
    </row>
    <row r="12" spans="2:35" ht="30" customHeight="1" x14ac:dyDescent="0.25">
      <c r="B12" s="20" t="str">
        <f>NomMois&amp;" Total"</f>
        <v>Mars Total</v>
      </c>
      <c r="C12" s="12">
        <f>SUBTOTAL(103,Mars[1])</f>
        <v>0</v>
      </c>
      <c r="D12" s="12">
        <f>SUBTOTAL(103,Mars[2])</f>
        <v>0</v>
      </c>
      <c r="E12" s="12">
        <f>SUBTOTAL(103,Mars[3])</f>
        <v>0</v>
      </c>
      <c r="F12" s="12">
        <f>SUBTOTAL(103,Mars[4])</f>
        <v>0</v>
      </c>
      <c r="G12" s="12">
        <f>SUBTOTAL(103,Mars[5])</f>
        <v>0</v>
      </c>
      <c r="H12" s="12">
        <f>SUBTOTAL(103,Mars[6])</f>
        <v>0</v>
      </c>
      <c r="I12" s="12">
        <f>SUBTOTAL(103,Mars[7])</f>
        <v>1</v>
      </c>
      <c r="J12" s="12">
        <f>SUBTOTAL(103,Mars[8])</f>
        <v>1</v>
      </c>
      <c r="K12" s="12">
        <f>SUBTOTAL(103,Mars[9])</f>
        <v>0</v>
      </c>
      <c r="L12" s="12">
        <f>SUBTOTAL(103,Mars[10])</f>
        <v>0</v>
      </c>
      <c r="M12" s="12">
        <f>SUBTOTAL(103,Mars[11])</f>
        <v>0</v>
      </c>
      <c r="N12" s="12">
        <f>SUBTOTAL(103,Mars[12])</f>
        <v>0</v>
      </c>
      <c r="O12" s="12">
        <f>SUBTOTAL(103,Mars[13])</f>
        <v>0</v>
      </c>
      <c r="P12" s="12">
        <f>SUBTOTAL(103,Mars[14])</f>
        <v>0</v>
      </c>
      <c r="Q12" s="12">
        <f>SUBTOTAL(103,Mars[15])</f>
        <v>0</v>
      </c>
      <c r="R12" s="12">
        <f>SUBTOTAL(103,Mars[16])</f>
        <v>0</v>
      </c>
      <c r="S12" s="12">
        <f>SUBTOTAL(103,Mars[17])</f>
        <v>0</v>
      </c>
      <c r="T12" s="12">
        <f>SUBTOTAL(103,Mars[18])</f>
        <v>0</v>
      </c>
      <c r="U12" s="12">
        <f>SUBTOTAL(103,Mars[19])</f>
        <v>0</v>
      </c>
      <c r="V12" s="12">
        <f>SUBTOTAL(103,Mars[20])</f>
        <v>0</v>
      </c>
      <c r="W12" s="12">
        <f>SUBTOTAL(103,Mars[21])</f>
        <v>0</v>
      </c>
      <c r="X12" s="12">
        <f>SUBTOTAL(103,Mars[22])</f>
        <v>0</v>
      </c>
      <c r="Y12" s="12">
        <f>SUBTOTAL(103,Mars[23])</f>
        <v>0</v>
      </c>
      <c r="Z12" s="12">
        <f>SUBTOTAL(103,Mars[24])</f>
        <v>0</v>
      </c>
      <c r="AA12" s="12">
        <f>SUBTOTAL(103,Mars[25])</f>
        <v>0</v>
      </c>
      <c r="AB12" s="12">
        <f>SUBTOTAL(103,Mars[26])</f>
        <v>0</v>
      </c>
      <c r="AC12" s="12">
        <f>SUBTOTAL(103,Mars[27])</f>
        <v>0</v>
      </c>
      <c r="AD12" s="12">
        <f>SUBTOTAL(103,Mars[28])</f>
        <v>0</v>
      </c>
      <c r="AE12" s="12">
        <f>SUBTOTAL(103,Mars[29])</f>
        <v>0</v>
      </c>
      <c r="AF12" s="12">
        <f>SUBTOTAL(103,Mars[30])</f>
        <v>0</v>
      </c>
      <c r="AG12" s="12">
        <f>SUBTOTAL(103,Mars[31])</f>
        <v>0</v>
      </c>
      <c r="AH12" s="12">
        <f>SUBTOTAL(109,Mars[Total des jours])</f>
        <v>2</v>
      </c>
      <c r="AI12" s="2"/>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132" priority="3" stopIfTrue="1">
      <formula>C7=CléPersonnalisée2</formula>
    </cfRule>
    <cfRule type="expression" dxfId="131" priority="4" stopIfTrue="1">
      <formula>C7=CléPersonnalisée1</formula>
    </cfRule>
    <cfRule type="expression" dxfId="130" priority="5" stopIfTrue="1">
      <formula>C7=CléMaladie</formula>
    </cfRule>
    <cfRule type="expression" dxfId="129" priority="6" stopIfTrue="1">
      <formula>C7=CléPersonnel</formula>
    </cfRule>
    <cfRule type="expression" dxfId="128" priority="7" stopIfTrue="1">
      <formula>C7=CléPrésence</formula>
    </cfRule>
  </conditionalFormatting>
  <conditionalFormatting sqref="AH7:AH11">
    <cfRule type="dataBar" priority="8">
      <dataBar>
        <cfvo type="min"/>
        <cfvo type="formula" val="DATEDIF(DATE(AnnéeCalendrier,2,1),DATE(AnnéeCalendrier,3,1),&quot;d&quot;)"/>
        <color theme="2" tint="-0.249977111117893"/>
      </dataBar>
      <extLst>
        <ext xmlns:x14="http://schemas.microsoft.com/office/spreadsheetml/2009/9/main" uri="{B025F937-C7B1-47D3-B67F-A62EFF666E3E}">
          <x14:id>{7C2B6C3E-666E-4369-8C57-FD32A7D03A3C}</x14:id>
        </ext>
      </extLst>
    </cfRule>
  </conditionalFormatting>
  <conditionalFormatting sqref="AI7:AI11">
    <cfRule type="dataBar" priority="1">
      <dataBar>
        <cfvo type="num" val="0"/>
        <cfvo type="num" val="31"/>
        <color theme="2" tint="-0.249977111117893"/>
      </dataBar>
      <extLst>
        <ext xmlns:x14="http://schemas.microsoft.com/office/spreadsheetml/2009/9/main" uri="{B025F937-C7B1-47D3-B67F-A62EFF666E3E}">
          <x14:id>{0ACB44CC-AB7A-477D-8992-981503B2019A}</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300-000000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300-000001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300-000002000000}"/>
    <dataValidation allowBlank="1" showInputMessage="1" showErrorMessage="1" prompt="Cette ligne définit les clés utilisées dans le tableau : Congé en C2, Personnel en F2 et Congé maladie en J2. Les cellules M2 et R2 sont personnalisables" sqref="B2" xr:uid="{00000000-0002-0000-0300-000003000000}"/>
    <dataValidation allowBlank="1" showInputMessage="1" showErrorMessage="1" prompt="Entrez une étiquette pour décrire la clé personnalisée à gauche" sqref="N2 S2" xr:uid="{00000000-0002-0000-0300-000004000000}"/>
    <dataValidation allowBlank="1" showInputMessage="1" showErrorMessage="1" prompt="Entrez une lettre et personnalisez l’étiquette à droite pour ajouter un élément de clé" sqref="M2 R2" xr:uid="{00000000-0002-0000-0300-000005000000}"/>
    <dataValidation allowBlank="1" showInputMessage="1" showErrorMessage="1" prompt="La lettre « M » indique une absence pour cause de maladie" sqref="J2" xr:uid="{00000000-0002-0000-0300-000006000000}"/>
    <dataValidation allowBlank="1" showInputMessage="1" showErrorMessage="1" prompt="La lettre « P » indique une absence pour motifs personnels" sqref="F2" xr:uid="{00000000-0002-0000-0300-000007000000}"/>
    <dataValidation allowBlank="1" showInputMessage="1" showErrorMessage="1" prompt="La lettre « C » indique une absence pour cause de congé" sqref="C2" xr:uid="{00000000-0002-0000-0300-000008000000}"/>
    <dataValidation allowBlank="1" showInputMessage="1" showErrorMessage="1" prompt="Le titre mis à jour automatiquement figure dans cette cellule. Pour modifier le titre, mettez à jour la cellule B1 de la feuille de calcul Janvier" sqref="B1" xr:uid="{00000000-0002-0000-0300-000009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300-00000A000000}"/>
    <dataValidation allowBlank="1" showInputMessage="1" showErrorMessage="1" prompt="Suivez les absences du mois de mars dans cette feuille de calcul" sqref="A1" xr:uid="{00000000-0002-0000-0300-00000B000000}"/>
    <dataValidation allowBlank="1" showInputMessage="1" showErrorMessage="1" prompt="Calcule automatiquement le nombre total de jours d’absence d’un employé durant ce mois dans cette colonne" sqref="AH6" xr:uid="{00000000-0002-0000-0300-00000C000000}"/>
    <dataValidation allowBlank="1" showInputMessage="1" showErrorMessage="1" prompt="Année mise à jour automatiquement en fonction de l’année entrée dans la feuille de calcul Janvier" sqref="AH4" xr:uid="{00000000-0002-0000-0300-00000D000000}"/>
    <dataValidation allowBlank="1" showInputMessage="1" showErrorMessage="1" prompt="Calcule automatiquement le nombre total de jours d’absence d’un employé durant ce mois" sqref="AI6" xr:uid="{DC2CA8F7-0892-446E-B3B7-2E38DE044ACD}"/>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C2B6C3E-666E-4369-8C57-FD32A7D03A3C}">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 xmlns:xm="http://schemas.microsoft.com/office/excel/2006/main">
          <x14:cfRule type="dataBar" id="{0ACB44CC-AB7A-477D-8992-981503B2019A}">
            <x14:dataBar minLength="0" maxLength="100">
              <x14:cfvo type="num">
                <xm:f>0</xm:f>
              </x14:cfvo>
              <x14:cfvo type="num">
                <xm:f>31</xm:f>
              </x14:cfvo>
              <x14:negativeFillColor rgb="FFFF0000"/>
              <x14:axisColor rgb="FF000000"/>
            </x14:dataBar>
          </x14:cfRule>
          <xm:sqref>AI7:AI11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E000000}">
          <x14:formula1>
            <xm:f>'Noms des stagiaires'!$B$4:$B$8</xm:f>
          </x14:formula1>
          <xm:sqref>B7:B11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tint="-0.249977111117893"/>
  </sheetPr>
  <dimension ref="A1:AH12"/>
  <sheetViews>
    <sheetView showGridLines="0" zoomScaleNormal="100" workbookViewId="0">
      <selection activeCell="J19" sqref="J19"/>
    </sheetView>
  </sheetViews>
  <sheetFormatPr baseColWidth="10" defaultColWidth="9.140625" defaultRowHeight="30" customHeight="1" x14ac:dyDescent="0.25"/>
  <cols>
    <col min="1" max="1" width="2.7109375" style="10" customWidth="1"/>
    <col min="2" max="2" width="25.7109375" style="10" customWidth="1"/>
    <col min="3" max="8" width="4.7109375" style="10" customWidth="1"/>
    <col min="9" max="9" width="7" style="10" customWidth="1"/>
    <col min="10" max="33" width="4.7109375" style="10" customWidth="1"/>
    <col min="34" max="34" width="13.5703125" style="10" customWidth="1"/>
    <col min="35" max="35" width="2.7109375" customWidth="1"/>
  </cols>
  <sheetData>
    <row r="1" spans="2:34" ht="50.1" customHeight="1" x14ac:dyDescent="0.25">
      <c r="B1" s="13" t="str">
        <f>Titre_Absence_Employé</f>
        <v>Calendrier des stagiaires - ESAT JACQUEMART</v>
      </c>
    </row>
    <row r="2" spans="2:34" ht="15" customHeight="1" x14ac:dyDescent="0.25">
      <c r="B2" s="18" t="s">
        <v>59</v>
      </c>
      <c r="C2" s="3" t="s">
        <v>5</v>
      </c>
      <c r="D2" s="40" t="s">
        <v>50</v>
      </c>
      <c r="E2" s="41"/>
      <c r="F2" s="4" t="s">
        <v>69</v>
      </c>
      <c r="G2" s="40" t="s">
        <v>67</v>
      </c>
      <c r="H2" s="41"/>
      <c r="I2" s="41"/>
      <c r="J2" s="5" t="s">
        <v>51</v>
      </c>
      <c r="K2" s="40" t="s">
        <v>68</v>
      </c>
      <c r="L2" s="41"/>
      <c r="M2" s="6"/>
      <c r="N2" s="40"/>
      <c r="O2" s="41"/>
      <c r="P2" s="41"/>
      <c r="Q2" s="41"/>
      <c r="R2" s="7"/>
      <c r="S2" s="41"/>
      <c r="T2" s="41"/>
      <c r="U2" s="41"/>
      <c r="V2" s="41"/>
    </row>
    <row r="3" spans="2:34" ht="15" customHeight="1" x14ac:dyDescent="0.25">
      <c r="B3" s="13"/>
    </row>
    <row r="4" spans="2:34" ht="30" customHeight="1" x14ac:dyDescent="0.25">
      <c r="B4" s="11" t="s">
        <v>40</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f>AnnéeCalendrier</f>
        <v>2021</v>
      </c>
    </row>
    <row r="5" spans="2:34" ht="15" customHeight="1" x14ac:dyDescent="0.25">
      <c r="B5" s="11"/>
      <c r="C5" s="1" t="str">
        <f>TEXT(WEEKDAY(DATE(AnnéeCalendrier,4,1),1),"jjj")</f>
        <v>jeu</v>
      </c>
      <c r="D5" s="1" t="str">
        <f>TEXT(WEEKDAY(DATE(AnnéeCalendrier,4,2),1),"jjj")</f>
        <v>ven</v>
      </c>
      <c r="E5" s="1" t="str">
        <f>TEXT(WEEKDAY(DATE(AnnéeCalendrier,4,3),1),"jjj")</f>
        <v>sam</v>
      </c>
      <c r="F5" s="1" t="str">
        <f>TEXT(WEEKDAY(DATE(AnnéeCalendrier,4,4),1),"jjj")</f>
        <v>dim</v>
      </c>
      <c r="G5" s="1" t="str">
        <f>TEXT(WEEKDAY(DATE(AnnéeCalendrier,4,5),1),"jjj")</f>
        <v>lun</v>
      </c>
      <c r="H5" s="1" t="str">
        <f>TEXT(WEEKDAY(DATE(AnnéeCalendrier,4,6),1),"jjj")</f>
        <v>mar</v>
      </c>
      <c r="I5" s="1" t="str">
        <f>TEXT(WEEKDAY(DATE(AnnéeCalendrier,4,7),1),"jjj")</f>
        <v>mer</v>
      </c>
      <c r="J5" s="1" t="str">
        <f>TEXT(WEEKDAY(DATE(AnnéeCalendrier,4,8),1),"jjj")</f>
        <v>jeu</v>
      </c>
      <c r="K5" s="1" t="str">
        <f>TEXT(WEEKDAY(DATE(AnnéeCalendrier,4,9),1),"jjj")</f>
        <v>ven</v>
      </c>
      <c r="L5" s="1" t="str">
        <f>TEXT(WEEKDAY(DATE(AnnéeCalendrier,4,10),1),"jjj")</f>
        <v>sam</v>
      </c>
      <c r="M5" s="1" t="str">
        <f>TEXT(WEEKDAY(DATE(AnnéeCalendrier,4,11),1),"jjj")</f>
        <v>dim</v>
      </c>
      <c r="N5" s="1" t="str">
        <f>TEXT(WEEKDAY(DATE(AnnéeCalendrier,4,12),1),"jjj")</f>
        <v>lun</v>
      </c>
      <c r="O5" s="1" t="str">
        <f>TEXT(WEEKDAY(DATE(AnnéeCalendrier,4,13),1),"jjj")</f>
        <v>mar</v>
      </c>
      <c r="P5" s="1" t="str">
        <f>TEXT(WEEKDAY(DATE(AnnéeCalendrier,4,14),1),"jjj")</f>
        <v>mer</v>
      </c>
      <c r="Q5" s="1" t="str">
        <f>TEXT(WEEKDAY(DATE(AnnéeCalendrier,4,15),1),"jjj")</f>
        <v>jeu</v>
      </c>
      <c r="R5" s="1" t="str">
        <f>TEXT(WEEKDAY(DATE(AnnéeCalendrier,4,16),1),"jjj")</f>
        <v>ven</v>
      </c>
      <c r="S5" s="1" t="str">
        <f>TEXT(WEEKDAY(DATE(AnnéeCalendrier,4,17),1),"jjj")</f>
        <v>sam</v>
      </c>
      <c r="T5" s="1" t="str">
        <f>TEXT(WEEKDAY(DATE(AnnéeCalendrier,4,18),1),"jjj")</f>
        <v>dim</v>
      </c>
      <c r="U5" s="1" t="str">
        <f>TEXT(WEEKDAY(DATE(AnnéeCalendrier,4,19),1),"jjj")</f>
        <v>lun</v>
      </c>
      <c r="V5" s="1" t="str">
        <f>TEXT(WEEKDAY(DATE(AnnéeCalendrier,4,20),1),"jjj")</f>
        <v>mar</v>
      </c>
      <c r="W5" s="1" t="str">
        <f>TEXT(WEEKDAY(DATE(AnnéeCalendrier,4,21),1),"jjj")</f>
        <v>mer</v>
      </c>
      <c r="X5" s="1" t="str">
        <f>TEXT(WEEKDAY(DATE(AnnéeCalendrier,4,22),1),"jjj")</f>
        <v>jeu</v>
      </c>
      <c r="Y5" s="1" t="str">
        <f>TEXT(WEEKDAY(DATE(AnnéeCalendrier,4,23),1),"jjj")</f>
        <v>ven</v>
      </c>
      <c r="Z5" s="1" t="str">
        <f>TEXT(WEEKDAY(DATE(AnnéeCalendrier,4,24),1),"jjj")</f>
        <v>sam</v>
      </c>
      <c r="AA5" s="1" t="str">
        <f>TEXT(WEEKDAY(DATE(AnnéeCalendrier,4,25),1),"jjj")</f>
        <v>dim</v>
      </c>
      <c r="AB5" s="1" t="str">
        <f>TEXT(WEEKDAY(DATE(AnnéeCalendrier,4,26),1),"jjj")</f>
        <v>lun</v>
      </c>
      <c r="AC5" s="1" t="str">
        <f>TEXT(WEEKDAY(DATE(AnnéeCalendrier,4,27),1),"jjj")</f>
        <v>mar</v>
      </c>
      <c r="AD5" s="1" t="str">
        <f>TEXT(WEEKDAY(DATE(AnnéeCalendrier,4,28),1),"jjj")</f>
        <v>mer</v>
      </c>
      <c r="AE5" s="1" t="str">
        <f>TEXT(WEEKDAY(DATE(AnnéeCalendrier,4,29),1),"jjj")</f>
        <v>jeu</v>
      </c>
      <c r="AF5" s="1" t="str">
        <f>TEXT(WEEKDAY(DATE(AnnéeCalendrier,4,30),1),"jjj")</f>
        <v>ven</v>
      </c>
      <c r="AG5" s="1"/>
      <c r="AH5" s="11"/>
    </row>
    <row r="6" spans="2:34"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32</v>
      </c>
      <c r="AG6" s="22" t="s">
        <v>37</v>
      </c>
      <c r="AH6" s="15" t="s">
        <v>35</v>
      </c>
    </row>
    <row r="7" spans="2:34" ht="30" customHeight="1" x14ac:dyDescent="0.25">
      <c r="B7" s="16" t="s">
        <v>60</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COUNTA(Avril[[#This Row],[1]:[30]])</f>
        <v>0</v>
      </c>
    </row>
    <row r="8" spans="2:34" ht="30" customHeight="1" x14ac:dyDescent="0.25">
      <c r="B8" s="16" t="s">
        <v>54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COUNTA(Avril[[#This Row],[1]:[30]])</f>
        <v>0</v>
      </c>
    </row>
    <row r="9" spans="2:34" ht="30" customHeight="1" x14ac:dyDescent="0.25">
      <c r="B9" s="16" t="s">
        <v>55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COUNTA(Avril[[#This Row],[1]:[30]])</f>
        <v>0</v>
      </c>
    </row>
    <row r="10" spans="2:34" ht="30" customHeight="1" x14ac:dyDescent="0.25">
      <c r="B10" s="16" t="s">
        <v>56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COUNTA(Avril[[#This Row],[1]:[30]])</f>
        <v>0</v>
      </c>
    </row>
    <row r="11" spans="2:34" ht="30" customHeight="1" x14ac:dyDescent="0.25">
      <c r="B11" s="16" t="s">
        <v>57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COUNTA(Avril[[#This Row],[1]:[30]])</f>
        <v>0</v>
      </c>
    </row>
    <row r="12" spans="2:34" ht="30" customHeight="1" x14ac:dyDescent="0.25">
      <c r="B12" s="20" t="str">
        <f>NomMois&amp;" Total"</f>
        <v>Avril Total</v>
      </c>
      <c r="C12" s="12">
        <f>SUBTOTAL(103,Avril[1])</f>
        <v>0</v>
      </c>
      <c r="D12" s="12">
        <f>SUBTOTAL(103,Avril[2])</f>
        <v>0</v>
      </c>
      <c r="E12" s="12">
        <f>SUBTOTAL(103,Avril[3])</f>
        <v>0</v>
      </c>
      <c r="F12" s="12">
        <f>SUBTOTAL(103,Avril[4])</f>
        <v>0</v>
      </c>
      <c r="G12" s="12">
        <f>SUBTOTAL(103,Avril[5])</f>
        <v>0</v>
      </c>
      <c r="H12" s="12">
        <f>SUBTOTAL(103,Avril[6])</f>
        <v>0</v>
      </c>
      <c r="I12" s="12">
        <f>SUBTOTAL(103,Avril[7])</f>
        <v>0</v>
      </c>
      <c r="J12" s="12">
        <f>SUBTOTAL(103,Avril[8])</f>
        <v>0</v>
      </c>
      <c r="K12" s="12">
        <f>SUBTOTAL(103,Avril[9])</f>
        <v>0</v>
      </c>
      <c r="L12" s="12">
        <f>SUBTOTAL(103,Avril[10])</f>
        <v>0</v>
      </c>
      <c r="M12" s="12">
        <f>SUBTOTAL(103,Avril[11])</f>
        <v>0</v>
      </c>
      <c r="N12" s="12">
        <f>SUBTOTAL(103,Avril[12])</f>
        <v>0</v>
      </c>
      <c r="O12" s="12">
        <f>SUBTOTAL(103,Avril[13])</f>
        <v>0</v>
      </c>
      <c r="P12" s="12">
        <f>SUBTOTAL(103,Avril[14])</f>
        <v>0</v>
      </c>
      <c r="Q12" s="12">
        <f>SUBTOTAL(103,Avril[15])</f>
        <v>0</v>
      </c>
      <c r="R12" s="12">
        <f>SUBTOTAL(103,Avril[16])</f>
        <v>0</v>
      </c>
      <c r="S12" s="12">
        <f>SUBTOTAL(103,Avril[17])</f>
        <v>0</v>
      </c>
      <c r="T12" s="12">
        <f>SUBTOTAL(103,Avril[18])</f>
        <v>0</v>
      </c>
      <c r="U12" s="12">
        <f>SUBTOTAL(103,Avril[19])</f>
        <v>0</v>
      </c>
      <c r="V12" s="12">
        <f>SUBTOTAL(103,Avril[20])</f>
        <v>0</v>
      </c>
      <c r="W12" s="12">
        <f>SUBTOTAL(103,Avril[21])</f>
        <v>0</v>
      </c>
      <c r="X12" s="12">
        <f>SUBTOTAL(103,Avril[22])</f>
        <v>0</v>
      </c>
      <c r="Y12" s="12">
        <f>SUBTOTAL(103,Avril[23])</f>
        <v>0</v>
      </c>
      <c r="Z12" s="12">
        <f>SUBTOTAL(103,Avril[24])</f>
        <v>0</v>
      </c>
      <c r="AA12" s="12">
        <f>SUBTOTAL(103,Avril[25])</f>
        <v>0</v>
      </c>
      <c r="AB12" s="12">
        <f>SUBTOTAL(103,Avril[26])</f>
        <v>0</v>
      </c>
      <c r="AC12" s="12">
        <f>SUBTOTAL(103,Avril[27])</f>
        <v>0</v>
      </c>
      <c r="AD12" s="12">
        <f>SUBTOTAL(103,Avril[28])</f>
        <v>0</v>
      </c>
      <c r="AE12" s="12">
        <f>SUBTOTAL(103,Avril[29])</f>
        <v>0</v>
      </c>
      <c r="AF12" s="12">
        <f>SUBTOTAL(103,Avril[30])</f>
        <v>0</v>
      </c>
      <c r="AG12" s="12">
        <f>SUBTOTAL(103,Avril[30])</f>
        <v>0</v>
      </c>
      <c r="AH12" s="12">
        <f>SUBTOTAL(109,Avril[Total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127" priority="2" stopIfTrue="1">
      <formula>C7=CléPersonnalisée2</formula>
    </cfRule>
    <cfRule type="expression" dxfId="126" priority="3" stopIfTrue="1">
      <formula>C7=CléPersonnalisée1</formula>
    </cfRule>
    <cfRule type="expression" dxfId="125" priority="4" stopIfTrue="1">
      <formula>C7=CléMaladie</formula>
    </cfRule>
    <cfRule type="expression" dxfId="124" priority="5" stopIfTrue="1">
      <formula>C7=CléPersonnel</formula>
    </cfRule>
    <cfRule type="expression" dxfId="123" priority="6" stopIfTrue="1">
      <formula>C7=CléPrésence</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{0C86709F-D813-4066-A3F1-C30F11214F4B}</x14:id>
        </ext>
      </extLst>
    </cfRule>
  </conditionalFormatting>
  <dataValidations count="14">
    <dataValidation allowBlank="1" showInputMessage="1" showErrorMessage="1" prompt="Année mise à jour automatiquement en fonction de l’année entrée dans la feuille de calcul Janvier" sqref="AH4" xr:uid="{00000000-0002-0000-0400-000000000000}"/>
    <dataValidation allowBlank="1" showInputMessage="1" showErrorMessage="1" prompt="Calcule automatiquement le nombre total de jours d’absence d’un employé durant ce mois dans cette colonne" sqref="AH6" xr:uid="{00000000-0002-0000-0400-000001000000}"/>
    <dataValidation allowBlank="1" showInputMessage="1" showErrorMessage="1" prompt="Suivez les absences du mois d’avril dans cette feuille de calcul" sqref="A1" xr:uid="{00000000-0002-0000-0400-000002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400-000003000000}"/>
    <dataValidation allowBlank="1" showInputMessage="1" showErrorMessage="1" prompt="Le titre mis à jour automatiquement figure dans cette cellule. Pour modifier le titre, mettez à jour la cellule B1 de la feuille de calcul Janvier" sqref="B1" xr:uid="{00000000-0002-0000-0400-000004000000}"/>
    <dataValidation allowBlank="1" showInputMessage="1" showErrorMessage="1" prompt="La lettre « C » indique une absence pour cause de congé" sqref="C2" xr:uid="{00000000-0002-0000-0400-000005000000}"/>
    <dataValidation allowBlank="1" showInputMessage="1" showErrorMessage="1" prompt="La lettre « P » indique une absence pour motifs personnels" sqref="F2" xr:uid="{00000000-0002-0000-0400-000006000000}"/>
    <dataValidation allowBlank="1" showInputMessage="1" showErrorMessage="1" prompt="La lettre « M » indique une absence pour cause de maladie" sqref="J2" xr:uid="{00000000-0002-0000-0400-000007000000}"/>
    <dataValidation allowBlank="1" showInputMessage="1" showErrorMessage="1" prompt="Entrez une lettre et personnalisez l’étiquette à droite pour ajouter un élément de clé" sqref="M2 R2" xr:uid="{00000000-0002-0000-0400-000008000000}"/>
    <dataValidation allowBlank="1" showInputMessage="1" showErrorMessage="1" prompt="Entrez une étiquette pour décrire la clé personnalisée à gauche" sqref="N2 S2" xr:uid="{00000000-0002-0000-0400-000009000000}"/>
    <dataValidation allowBlank="1" showInputMessage="1" showErrorMessage="1" prompt="Cette ligne définit les clés utilisées dans le tableau : Congé en C2, Personnel en F2 et Congé maladie en J2. Les cellules M2 et R2 sont personnalisables" sqref="B2" xr:uid="{00000000-0002-0000-0400-00000A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400-00000B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4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4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C86709F-D813-4066-A3F1-C30F11214F4B}">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E000000}">
          <x14:formula1>
            <xm:f>'Noms des stagiaires'!$B$4:$B$8</xm:f>
          </x14:formula1>
          <xm:sqref>B7:B11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2" tint="-9.9978637043366805E-2"/>
  </sheetPr>
  <dimension ref="A1:AH12"/>
  <sheetViews>
    <sheetView showGridLines="0" zoomScaleNormal="100" workbookViewId="0">
      <selection activeCell="B2" sqref="B2:V2"/>
    </sheetView>
  </sheetViews>
  <sheetFormatPr baseColWidth="10" defaultColWidth="9.140625" defaultRowHeight="30" customHeight="1" x14ac:dyDescent="0.25"/>
  <cols>
    <col min="1" max="1" width="2.7109375" style="10" customWidth="1"/>
    <col min="2" max="2" width="25.7109375" style="10" customWidth="1"/>
    <col min="3" max="8" width="4.7109375" style="10" customWidth="1"/>
    <col min="9" max="9" width="6.85546875" style="10" customWidth="1"/>
    <col min="10" max="33" width="4.7109375" style="10" customWidth="1"/>
    <col min="34" max="34" width="13.5703125" style="10" customWidth="1"/>
    <col min="35" max="35" width="2.7109375" customWidth="1"/>
  </cols>
  <sheetData>
    <row r="1" spans="2:34" ht="50.1" customHeight="1" x14ac:dyDescent="0.25">
      <c r="B1" s="13" t="str">
        <f>Titre_Absence_Employé</f>
        <v>Calendrier des stagiaires - ESAT JACQUEMART</v>
      </c>
    </row>
    <row r="2" spans="2:34" ht="15" customHeight="1" x14ac:dyDescent="0.25">
      <c r="B2" s="18" t="s">
        <v>59</v>
      </c>
      <c r="C2" s="3" t="s">
        <v>5</v>
      </c>
      <c r="D2" s="40" t="s">
        <v>50</v>
      </c>
      <c r="E2" s="41"/>
      <c r="F2" s="4" t="s">
        <v>69</v>
      </c>
      <c r="G2" s="40" t="s">
        <v>67</v>
      </c>
      <c r="H2" s="41"/>
      <c r="I2" s="41"/>
      <c r="J2" s="5" t="s">
        <v>51</v>
      </c>
      <c r="K2" s="40" t="s">
        <v>68</v>
      </c>
      <c r="L2" s="41"/>
      <c r="M2" s="6"/>
      <c r="N2" s="40"/>
      <c r="O2" s="41"/>
      <c r="P2" s="41"/>
      <c r="Q2" s="41"/>
      <c r="R2" s="7"/>
      <c r="S2" s="41"/>
      <c r="T2" s="41"/>
      <c r="U2" s="41"/>
      <c r="V2" s="41"/>
    </row>
    <row r="3" spans="2:34" ht="15" customHeight="1" x14ac:dyDescent="0.25">
      <c r="B3" s="13"/>
    </row>
    <row r="4" spans="2:34" ht="30" customHeight="1" x14ac:dyDescent="0.25">
      <c r="B4" s="11" t="s">
        <v>41</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f>AnnéeCalendrier</f>
        <v>2021</v>
      </c>
    </row>
    <row r="5" spans="2:34" ht="15" customHeight="1" x14ac:dyDescent="0.25">
      <c r="B5" s="11"/>
      <c r="C5" s="1" t="str">
        <f>TEXT(WEEKDAY(DATE(AnnéeCalendrier,5,1),1),"jjj")</f>
        <v>sam</v>
      </c>
      <c r="D5" s="1" t="str">
        <f>TEXT(WEEKDAY(DATE(AnnéeCalendrier,5,2),1),"jjj")</f>
        <v>dim</v>
      </c>
      <c r="E5" s="1" t="str">
        <f>TEXT(WEEKDAY(DATE(AnnéeCalendrier,5,3),1),"jjj")</f>
        <v>lun</v>
      </c>
      <c r="F5" s="1" t="str">
        <f>TEXT(WEEKDAY(DATE(AnnéeCalendrier,5,4),1),"jjj")</f>
        <v>mar</v>
      </c>
      <c r="G5" s="1" t="str">
        <f>TEXT(WEEKDAY(DATE(AnnéeCalendrier,5,5),1),"jjj")</f>
        <v>mer</v>
      </c>
      <c r="H5" s="1" t="str">
        <f>TEXT(WEEKDAY(DATE(AnnéeCalendrier,5,6),1),"jjj")</f>
        <v>jeu</v>
      </c>
      <c r="I5" s="1" t="str">
        <f>TEXT(WEEKDAY(DATE(AnnéeCalendrier,5,7),1),"jjj")</f>
        <v>ven</v>
      </c>
      <c r="J5" s="1" t="str">
        <f>TEXT(WEEKDAY(DATE(AnnéeCalendrier,5,8),1),"jjj")</f>
        <v>sam</v>
      </c>
      <c r="K5" s="1" t="str">
        <f>TEXT(WEEKDAY(DATE(AnnéeCalendrier,5,9),1),"jjj")</f>
        <v>dim</v>
      </c>
      <c r="L5" s="1" t="str">
        <f>TEXT(WEEKDAY(DATE(AnnéeCalendrier,5,10),1),"jjj")</f>
        <v>lun</v>
      </c>
      <c r="M5" s="1" t="str">
        <f>TEXT(WEEKDAY(DATE(AnnéeCalendrier,5,11),1),"jjj")</f>
        <v>mar</v>
      </c>
      <c r="N5" s="1" t="str">
        <f>TEXT(WEEKDAY(DATE(AnnéeCalendrier,5,12),1),"jjj")</f>
        <v>mer</v>
      </c>
      <c r="O5" s="1" t="str">
        <f>TEXT(WEEKDAY(DATE(AnnéeCalendrier,5,13),1),"jjj")</f>
        <v>jeu</v>
      </c>
      <c r="P5" s="1" t="str">
        <f>TEXT(WEEKDAY(DATE(AnnéeCalendrier,5,14),1),"jjj")</f>
        <v>ven</v>
      </c>
      <c r="Q5" s="1" t="str">
        <f>TEXT(WEEKDAY(DATE(AnnéeCalendrier,5,15),1),"jjj")</f>
        <v>sam</v>
      </c>
      <c r="R5" s="1" t="str">
        <f>TEXT(WEEKDAY(DATE(AnnéeCalendrier,5,16),1),"jjj")</f>
        <v>dim</v>
      </c>
      <c r="S5" s="1" t="str">
        <f>TEXT(WEEKDAY(DATE(AnnéeCalendrier,5,17),1),"jjj")</f>
        <v>lun</v>
      </c>
      <c r="T5" s="1" t="str">
        <f>TEXT(WEEKDAY(DATE(AnnéeCalendrier,5,18),1),"jjj")</f>
        <v>mar</v>
      </c>
      <c r="U5" s="1" t="str">
        <f>TEXT(WEEKDAY(DATE(AnnéeCalendrier,5,19),1),"jjj")</f>
        <v>mer</v>
      </c>
      <c r="V5" s="1" t="str">
        <f>TEXT(WEEKDAY(DATE(AnnéeCalendrier,5,20),1),"jjj")</f>
        <v>jeu</v>
      </c>
      <c r="W5" s="1" t="str">
        <f>TEXT(WEEKDAY(DATE(AnnéeCalendrier,5,21),1),"jjj")</f>
        <v>ven</v>
      </c>
      <c r="X5" s="1" t="str">
        <f>TEXT(WEEKDAY(DATE(AnnéeCalendrier,5,22),1),"jjj")</f>
        <v>sam</v>
      </c>
      <c r="Y5" s="1" t="str">
        <f>TEXT(WEEKDAY(DATE(AnnéeCalendrier,5,23),1),"jjj")</f>
        <v>dim</v>
      </c>
      <c r="Z5" s="1" t="str">
        <f>TEXT(WEEKDAY(DATE(AnnéeCalendrier,5,24),1),"jjj")</f>
        <v>lun</v>
      </c>
      <c r="AA5" s="1" t="str">
        <f>TEXT(WEEKDAY(DATE(AnnéeCalendrier,5,25),1),"jjj")</f>
        <v>mar</v>
      </c>
      <c r="AB5" s="1" t="str">
        <f>TEXT(WEEKDAY(DATE(AnnéeCalendrier,5,26),1),"jjj")</f>
        <v>mer</v>
      </c>
      <c r="AC5" s="1" t="str">
        <f>TEXT(WEEKDAY(DATE(AnnéeCalendrier,5,27),1),"jjj")</f>
        <v>jeu</v>
      </c>
      <c r="AD5" s="1" t="str">
        <f>TEXT(WEEKDAY(DATE(AnnéeCalendrier,5,28),1),"jjj")</f>
        <v>ven</v>
      </c>
      <c r="AE5" s="1" t="str">
        <f>TEXT(WEEKDAY(DATE(AnnéeCalendrier,5,29),1),"jjj")</f>
        <v>sam</v>
      </c>
      <c r="AF5" s="1" t="str">
        <f>TEXT(WEEKDAY(DATE(AnnéeCalendrier,5,30),1),"jjj")</f>
        <v>dim</v>
      </c>
      <c r="AG5" s="1" t="str">
        <f>TEXT(WEEKDAY(DATE(AnnéeCalendrier,5,31),1),"jjj")</f>
        <v>lun</v>
      </c>
      <c r="AH5" s="11"/>
    </row>
    <row r="6" spans="2:34"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32</v>
      </c>
      <c r="AG6" s="2" t="s">
        <v>33</v>
      </c>
      <c r="AH6" s="15" t="s">
        <v>35</v>
      </c>
    </row>
    <row r="7" spans="2:34" ht="30" customHeight="1" x14ac:dyDescent="0.25">
      <c r="B7" s="16" t="s">
        <v>60</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COUNTA(Mai[[#This Row],[1]:[31]])</f>
        <v>0</v>
      </c>
    </row>
    <row r="8" spans="2:34" ht="30" customHeight="1" x14ac:dyDescent="0.25">
      <c r="B8" s="16" t="s">
        <v>54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COUNTA(Mai[[#This Row],[1]:[31]])</f>
        <v>0</v>
      </c>
    </row>
    <row r="9" spans="2:34" ht="30" customHeight="1" x14ac:dyDescent="0.25">
      <c r="B9" s="16" t="s">
        <v>55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COUNTA(Mai[[#This Row],[1]:[31]])</f>
        <v>0</v>
      </c>
    </row>
    <row r="10" spans="2:34" ht="30" customHeight="1" x14ac:dyDescent="0.25">
      <c r="B10" s="16" t="s">
        <v>56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COUNTA(Mai[[#This Row],[1]:[31]])</f>
        <v>0</v>
      </c>
    </row>
    <row r="11" spans="2:34" ht="30" customHeight="1" x14ac:dyDescent="0.25">
      <c r="B11" s="16" t="s">
        <v>57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COUNTA(Mai[[#This Row],[1]:[31]])</f>
        <v>0</v>
      </c>
    </row>
    <row r="12" spans="2:34" ht="30" customHeight="1" x14ac:dyDescent="0.25">
      <c r="B12" s="20" t="str">
        <f>NomMois&amp;" Total"</f>
        <v>Mai Total</v>
      </c>
      <c r="C12" s="12">
        <f>SUBTOTAL(103,Mai[1])</f>
        <v>0</v>
      </c>
      <c r="D12" s="12">
        <f>SUBTOTAL(103,Mai[2])</f>
        <v>0</v>
      </c>
      <c r="E12" s="12">
        <f>SUBTOTAL(103,Mai[3])</f>
        <v>0</v>
      </c>
      <c r="F12" s="12">
        <f>SUBTOTAL(103,Mai[4])</f>
        <v>0</v>
      </c>
      <c r="G12" s="12">
        <f>SUBTOTAL(103,Mai[5])</f>
        <v>0</v>
      </c>
      <c r="H12" s="12">
        <f>SUBTOTAL(103,Mai[6])</f>
        <v>0</v>
      </c>
      <c r="I12" s="12">
        <f>SUBTOTAL(103,Mai[7])</f>
        <v>0</v>
      </c>
      <c r="J12" s="12">
        <f>SUBTOTAL(103,Mai[8])</f>
        <v>0</v>
      </c>
      <c r="K12" s="12">
        <f>SUBTOTAL(103,Mai[9])</f>
        <v>0</v>
      </c>
      <c r="L12" s="12">
        <f>SUBTOTAL(103,Mai[10])</f>
        <v>0</v>
      </c>
      <c r="M12" s="12">
        <f>SUBTOTAL(103,Mai[11])</f>
        <v>0</v>
      </c>
      <c r="N12" s="12">
        <f>SUBTOTAL(103,Mai[12])</f>
        <v>0</v>
      </c>
      <c r="O12" s="12">
        <f>SUBTOTAL(103,Mai[13])</f>
        <v>0</v>
      </c>
      <c r="P12" s="12">
        <f>SUBTOTAL(103,Mai[14])</f>
        <v>0</v>
      </c>
      <c r="Q12" s="12">
        <f>SUBTOTAL(103,Mai[15])</f>
        <v>0</v>
      </c>
      <c r="R12" s="12">
        <f>SUBTOTAL(103,Mai[16])</f>
        <v>0</v>
      </c>
      <c r="S12" s="12">
        <f>SUBTOTAL(103,Mai[17])</f>
        <v>0</v>
      </c>
      <c r="T12" s="12">
        <f>SUBTOTAL(103,Mai[18])</f>
        <v>0</v>
      </c>
      <c r="U12" s="12">
        <f>SUBTOTAL(103,Mai[19])</f>
        <v>0</v>
      </c>
      <c r="V12" s="12">
        <f>SUBTOTAL(103,Mai[20])</f>
        <v>0</v>
      </c>
      <c r="W12" s="12">
        <f>SUBTOTAL(103,Mai[21])</f>
        <v>0</v>
      </c>
      <c r="X12" s="12">
        <f>SUBTOTAL(103,Mai[22])</f>
        <v>0</v>
      </c>
      <c r="Y12" s="12">
        <f>SUBTOTAL(103,Mai[23])</f>
        <v>0</v>
      </c>
      <c r="Z12" s="12">
        <f>SUBTOTAL(103,Mai[24])</f>
        <v>0</v>
      </c>
      <c r="AA12" s="12">
        <f>SUBTOTAL(103,Mai[25])</f>
        <v>0</v>
      </c>
      <c r="AB12" s="12">
        <f>SUBTOTAL(103,Mai[26])</f>
        <v>0</v>
      </c>
      <c r="AC12" s="12">
        <f>SUBTOTAL(103,Mai[27])</f>
        <v>0</v>
      </c>
      <c r="AD12" s="12">
        <f>SUBTOTAL(103,Mai[28])</f>
        <v>0</v>
      </c>
      <c r="AE12" s="12">
        <f>SUBTOTAL(103,Mai[29])</f>
        <v>0</v>
      </c>
      <c r="AF12" s="12">
        <f>SUBTOTAL(103,Mai[30])</f>
        <v>0</v>
      </c>
      <c r="AG12" s="12">
        <f>SUBTOTAL(103,Mai[31])</f>
        <v>0</v>
      </c>
      <c r="AH12" s="12">
        <f>SUBTOTAL(109,Mai[Total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137" priority="2" stopIfTrue="1">
      <formula>C7=CléPersonnalisée2</formula>
    </cfRule>
    <cfRule type="expression" dxfId="136" priority="3" stopIfTrue="1">
      <formula>C7=CléPersonnalisée1</formula>
    </cfRule>
    <cfRule type="expression" dxfId="135" priority="4" stopIfTrue="1">
      <formula>C7=CléMaladie</formula>
    </cfRule>
    <cfRule type="expression" dxfId="134" priority="5" stopIfTrue="1">
      <formula>C7=CléPersonnel</formula>
    </cfRule>
    <cfRule type="expression" dxfId="133" priority="6" stopIfTrue="1">
      <formula>C7=CléPrésence</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{5670947F-8B3C-4A6C-A280-4F5E10811DCE}</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2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200-000001000000}"/>
    <dataValidation allowBlank="1" showInputMessage="1" showErrorMessage="1" prompt="Cette ligne définit les clés utilisées dans le tableau : Congé en C2, Personnel en F2 et Congé maladie en J2. Les cellules M2 et R2 sont personnalisables" sqref="B2" xr:uid="{00000000-0002-0000-0200-000002000000}"/>
    <dataValidation allowBlank="1" showInputMessage="1" showErrorMessage="1" prompt="Entrez une étiquette pour décrire la clé personnalisée à gauche" sqref="N2 S2" xr:uid="{00000000-0002-0000-0200-000003000000}"/>
    <dataValidation allowBlank="1" showInputMessage="1" showErrorMessage="1" prompt="Entrez une lettre et personnalisez l’étiquette à droite pour ajouter un élément de clé" sqref="M2 R2" xr:uid="{00000000-0002-0000-0200-000004000000}"/>
    <dataValidation allowBlank="1" showInputMessage="1" showErrorMessage="1" prompt="La lettre « M » indique une absence pour cause de maladie" sqref="J2" xr:uid="{00000000-0002-0000-0200-000005000000}"/>
    <dataValidation allowBlank="1" showInputMessage="1" showErrorMessage="1" prompt="La lettre « P » indique une absence pour motifs personnels" sqref="F2" xr:uid="{00000000-0002-0000-0200-000006000000}"/>
    <dataValidation allowBlank="1" showInputMessage="1" showErrorMessage="1" prompt="La lettre « C » indique une absence pour cause de congé" sqref="C2" xr:uid="{00000000-0002-0000-0200-000007000000}"/>
    <dataValidation allowBlank="1" showInputMessage="1" showErrorMessage="1" prompt="Le titre mis à jour automatiquement figure dans cette cellule. Pour modifier le titre, mettez à jour la cellule B1 de la feuille de calcul Janvier" sqref="B1" xr:uid="{00000000-0002-0000-02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200-000009000000}"/>
    <dataValidation allowBlank="1" showInputMessage="1" showErrorMessage="1" prompt="Suivez les absences du mois de mai dans cette feuille de calcul" sqref="A1" xr:uid="{00000000-0002-0000-0200-00000A000000}"/>
    <dataValidation allowBlank="1" showInputMessage="1" showErrorMessage="1" prompt="Calcule automatiquement le nombre total de jours d’absence d’un employé durant ce mois dans cette colonne" sqref="AH6" xr:uid="{00000000-0002-0000-0200-00000B000000}"/>
    <dataValidation allowBlank="1" showInputMessage="1" showErrorMessage="1" prompt="Année mise à jour automatiquement en fonction de l’année entrée dans la feuille de calcul Janvier" sqref="AH4" xr:uid="{00000000-0002-0000-02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2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670947F-8B3C-4A6C-A280-4F5E10811DCE}">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E000000}">
          <x14:formula1>
            <xm:f>'Noms des stagiaires'!$B$4:$B$8</xm:f>
          </x14:formula1>
          <xm:sqref>B7:B11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2"/>
  </sheetPr>
  <dimension ref="A1:AH12"/>
  <sheetViews>
    <sheetView showGridLines="0" zoomScaleNormal="100" workbookViewId="0">
      <selection activeCell="B7" sqref="B7"/>
    </sheetView>
  </sheetViews>
  <sheetFormatPr baseColWidth="10" defaultColWidth="9.140625" defaultRowHeight="30" customHeight="1" x14ac:dyDescent="0.25"/>
  <cols>
    <col min="1" max="1" width="2.7109375" style="10" customWidth="1"/>
    <col min="2" max="2" width="25.7109375" style="10" customWidth="1"/>
    <col min="3" max="5" width="4.7109375" style="10" customWidth="1"/>
    <col min="6" max="6" width="4.85546875" style="10" bestFit="1" customWidth="1"/>
    <col min="7" max="7" width="4.5703125" style="10" bestFit="1" customWidth="1"/>
    <col min="8" max="8" width="4.7109375" style="10" customWidth="1"/>
    <col min="9" max="9" width="7.28515625" style="10" customWidth="1"/>
    <col min="10" max="33" width="4.7109375" style="10" customWidth="1"/>
    <col min="34" max="34" width="13.5703125" style="10" customWidth="1"/>
    <col min="35" max="35" width="2.7109375" customWidth="1"/>
  </cols>
  <sheetData>
    <row r="1" spans="2:34" ht="50.1" customHeight="1" x14ac:dyDescent="0.25">
      <c r="B1" s="13" t="str">
        <f>Titre_Absence_Employé</f>
        <v>Calendrier des stagiaires - ESAT JACQUEMART</v>
      </c>
    </row>
    <row r="2" spans="2:34" ht="15" customHeight="1" x14ac:dyDescent="0.25">
      <c r="B2" s="18" t="s">
        <v>59</v>
      </c>
      <c r="C2" s="3" t="s">
        <v>5</v>
      </c>
      <c r="D2" s="40" t="s">
        <v>50</v>
      </c>
      <c r="E2" s="41"/>
      <c r="F2" s="4" t="s">
        <v>69</v>
      </c>
      <c r="G2" s="40" t="s">
        <v>67</v>
      </c>
      <c r="H2" s="41"/>
      <c r="I2" s="41"/>
      <c r="J2" s="5" t="s">
        <v>51</v>
      </c>
      <c r="K2" s="40" t="s">
        <v>68</v>
      </c>
      <c r="L2" s="41"/>
      <c r="M2" s="6"/>
      <c r="N2" s="40"/>
      <c r="O2" s="41"/>
      <c r="P2" s="41"/>
      <c r="Q2" s="41"/>
      <c r="R2" s="7"/>
      <c r="S2" s="41"/>
      <c r="T2" s="41"/>
      <c r="U2" s="41"/>
      <c r="V2" s="41"/>
    </row>
    <row r="3" spans="2:34" ht="15" customHeight="1" x14ac:dyDescent="0.25">
      <c r="B3" s="13"/>
    </row>
    <row r="4" spans="2:34" ht="30" customHeight="1" x14ac:dyDescent="0.25">
      <c r="B4" s="11" t="s">
        <v>42</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f>AnnéeCalendrier</f>
        <v>2021</v>
      </c>
    </row>
    <row r="5" spans="2:34" ht="15" customHeight="1" x14ac:dyDescent="0.25">
      <c r="B5" s="11"/>
      <c r="C5" s="1" t="str">
        <f>TEXT(WEEKDAY(DATE(AnnéeCalendrier,6,1),1),"jjj")</f>
        <v>mar</v>
      </c>
      <c r="D5" s="1" t="str">
        <f>TEXT(WEEKDAY(DATE(AnnéeCalendrier,6,2),1),"jjj")</f>
        <v>mer</v>
      </c>
      <c r="E5" s="1" t="str">
        <f>TEXT(WEEKDAY(DATE(AnnéeCalendrier,6,3),1),"jjj")</f>
        <v>jeu</v>
      </c>
      <c r="F5" s="1" t="str">
        <f>TEXT(WEEKDAY(DATE(AnnéeCalendrier,6,4),1),"jjj")</f>
        <v>ven</v>
      </c>
      <c r="G5" s="1" t="str">
        <f>TEXT(WEEKDAY(DATE(AnnéeCalendrier,6,5),1),"jjj")</f>
        <v>sam</v>
      </c>
      <c r="H5" s="1" t="str">
        <f>TEXT(WEEKDAY(DATE(AnnéeCalendrier,6,6),1),"jjj")</f>
        <v>dim</v>
      </c>
      <c r="I5" s="1" t="str">
        <f>TEXT(WEEKDAY(DATE(AnnéeCalendrier,6,7),1),"jjj")</f>
        <v>lun</v>
      </c>
      <c r="J5" s="1" t="str">
        <f>TEXT(WEEKDAY(DATE(AnnéeCalendrier,6,8),1),"jjj")</f>
        <v>mar</v>
      </c>
      <c r="K5" s="1" t="str">
        <f>TEXT(WEEKDAY(DATE(AnnéeCalendrier,6,9),1),"jjj")</f>
        <v>mer</v>
      </c>
      <c r="L5" s="1" t="str">
        <f>TEXT(WEEKDAY(DATE(AnnéeCalendrier,6,10),1),"jjj")</f>
        <v>jeu</v>
      </c>
      <c r="M5" s="1" t="str">
        <f>TEXT(WEEKDAY(DATE(AnnéeCalendrier,6,11),1),"jjj")</f>
        <v>ven</v>
      </c>
      <c r="N5" s="1" t="str">
        <f>TEXT(WEEKDAY(DATE(AnnéeCalendrier,6,12),1),"jjj")</f>
        <v>sam</v>
      </c>
      <c r="O5" s="1" t="str">
        <f>TEXT(WEEKDAY(DATE(AnnéeCalendrier,6,13),1),"jjj")</f>
        <v>dim</v>
      </c>
      <c r="P5" s="1" t="str">
        <f>TEXT(WEEKDAY(DATE(AnnéeCalendrier,6,14),1),"jjj")</f>
        <v>lun</v>
      </c>
      <c r="Q5" s="1" t="str">
        <f>TEXT(WEEKDAY(DATE(AnnéeCalendrier,6,15),1),"jjj")</f>
        <v>mar</v>
      </c>
      <c r="R5" s="1" t="str">
        <f>TEXT(WEEKDAY(DATE(AnnéeCalendrier,6,16),1),"jjj")</f>
        <v>mer</v>
      </c>
      <c r="S5" s="1" t="str">
        <f>TEXT(WEEKDAY(DATE(AnnéeCalendrier,6,17),1),"jjj")</f>
        <v>jeu</v>
      </c>
      <c r="T5" s="1" t="str">
        <f>TEXT(WEEKDAY(DATE(AnnéeCalendrier,6,18),1),"jjj")</f>
        <v>ven</v>
      </c>
      <c r="U5" s="1" t="str">
        <f>TEXT(WEEKDAY(DATE(AnnéeCalendrier,6,19),1),"jjj")</f>
        <v>sam</v>
      </c>
      <c r="V5" s="1" t="str">
        <f>TEXT(WEEKDAY(DATE(AnnéeCalendrier,6,20),1),"jjj")</f>
        <v>dim</v>
      </c>
      <c r="W5" s="1" t="str">
        <f>TEXT(WEEKDAY(DATE(AnnéeCalendrier,6,21),1),"jjj")</f>
        <v>lun</v>
      </c>
      <c r="X5" s="1" t="str">
        <f>TEXT(WEEKDAY(DATE(AnnéeCalendrier,6,22),1),"jjj")</f>
        <v>mar</v>
      </c>
      <c r="Y5" s="1" t="str">
        <f>TEXT(WEEKDAY(DATE(AnnéeCalendrier,6,23),1),"jjj")</f>
        <v>mer</v>
      </c>
      <c r="Z5" s="1" t="str">
        <f>TEXT(WEEKDAY(DATE(AnnéeCalendrier,6,24),1),"jjj")</f>
        <v>jeu</v>
      </c>
      <c r="AA5" s="1" t="str">
        <f>TEXT(WEEKDAY(DATE(AnnéeCalendrier,6,25),1),"jjj")</f>
        <v>ven</v>
      </c>
      <c r="AB5" s="1" t="str">
        <f>TEXT(WEEKDAY(DATE(AnnéeCalendrier,6,26),1),"jjj")</f>
        <v>sam</v>
      </c>
      <c r="AC5" s="1" t="str">
        <f>TEXT(WEEKDAY(DATE(AnnéeCalendrier,6,27),1),"jjj")</f>
        <v>dim</v>
      </c>
      <c r="AD5" s="1" t="str">
        <f>TEXT(WEEKDAY(DATE(AnnéeCalendrier,6,28),1),"jjj")</f>
        <v>lun</v>
      </c>
      <c r="AE5" s="1" t="str">
        <f>TEXT(WEEKDAY(DATE(AnnéeCalendrier,6,29),1),"jjj")</f>
        <v>mar</v>
      </c>
      <c r="AF5" s="1" t="str">
        <f>TEXT(WEEKDAY(DATE(AnnéeCalendrier,6,30),1),"jjj")</f>
        <v>mer</v>
      </c>
      <c r="AG5" s="1"/>
      <c r="AH5" s="11"/>
    </row>
    <row r="6" spans="2:34"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32</v>
      </c>
      <c r="AG6" s="2" t="s">
        <v>37</v>
      </c>
      <c r="AH6" s="15" t="s">
        <v>35</v>
      </c>
    </row>
    <row r="7" spans="2:34" ht="30" customHeight="1" x14ac:dyDescent="0.25">
      <c r="B7" s="16" t="s">
        <v>73</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COUNTA(Juin[[#This Row],[1]:[30]])</f>
        <v>0</v>
      </c>
    </row>
    <row r="8" spans="2:34" ht="30" customHeight="1" x14ac:dyDescent="0.25">
      <c r="B8" s="16" t="s">
        <v>54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COUNTA(Juin[[#This Row],[1]:[30]])</f>
        <v>0</v>
      </c>
    </row>
    <row r="9" spans="2:34" ht="30" customHeight="1" x14ac:dyDescent="0.25">
      <c r="B9" s="16" t="s">
        <v>55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COUNTA(Juin[[#This Row],[1]:[30]])</f>
        <v>0</v>
      </c>
    </row>
    <row r="10" spans="2:34" ht="30" customHeight="1" x14ac:dyDescent="0.25">
      <c r="B10" s="16" t="s">
        <v>56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COUNTA(Juin[[#This Row],[1]:[30]])</f>
        <v>0</v>
      </c>
    </row>
    <row r="11" spans="2:34" ht="30" customHeight="1" x14ac:dyDescent="0.25">
      <c r="B11" s="16" t="s">
        <v>57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COUNTA(Juin[[#This Row],[1]:[30]])</f>
        <v>0</v>
      </c>
    </row>
    <row r="12" spans="2:34" ht="30" customHeight="1" x14ac:dyDescent="0.25">
      <c r="B12" s="20" t="str">
        <f>NomMois&amp;" Total"</f>
        <v>Juin Total</v>
      </c>
      <c r="C12" s="12">
        <f>SUBTOTAL(103,Juin[1])</f>
        <v>0</v>
      </c>
      <c r="D12" s="12">
        <f>SUBTOTAL(103,Juin[2])</f>
        <v>0</v>
      </c>
      <c r="E12" s="12">
        <f>SUBTOTAL(103,Juin[3])</f>
        <v>0</v>
      </c>
      <c r="F12" s="12">
        <f>SUBTOTAL(103,Juin[4])</f>
        <v>0</v>
      </c>
      <c r="G12" s="12">
        <f>SUBTOTAL(103,Juin[5])</f>
        <v>0</v>
      </c>
      <c r="H12" s="12">
        <f>SUBTOTAL(103,Juin[6])</f>
        <v>0</v>
      </c>
      <c r="I12" s="12">
        <f>SUBTOTAL(103,Juin[7])</f>
        <v>0</v>
      </c>
      <c r="J12" s="12">
        <f>SUBTOTAL(103,Juin[8])</f>
        <v>0</v>
      </c>
      <c r="K12" s="12">
        <f>SUBTOTAL(103,Juin[9])</f>
        <v>0</v>
      </c>
      <c r="L12" s="12">
        <f>SUBTOTAL(103,Juin[10])</f>
        <v>0</v>
      </c>
      <c r="M12" s="12">
        <f>SUBTOTAL(103,Juin[11])</f>
        <v>0</v>
      </c>
      <c r="N12" s="12">
        <f>SUBTOTAL(103,Juin[12])</f>
        <v>0</v>
      </c>
      <c r="O12" s="12">
        <f>SUBTOTAL(103,Juin[13])</f>
        <v>0</v>
      </c>
      <c r="P12" s="12">
        <f>SUBTOTAL(103,Juin[14])</f>
        <v>0</v>
      </c>
      <c r="Q12" s="12">
        <f>SUBTOTAL(103,Juin[15])</f>
        <v>0</v>
      </c>
      <c r="R12" s="12">
        <f>SUBTOTAL(103,Juin[16])</f>
        <v>0</v>
      </c>
      <c r="S12" s="12">
        <f>SUBTOTAL(103,Juin[17])</f>
        <v>0</v>
      </c>
      <c r="T12" s="12">
        <f>SUBTOTAL(103,Juin[18])</f>
        <v>0</v>
      </c>
      <c r="U12" s="12">
        <f>SUBTOTAL(103,Juin[19])</f>
        <v>0</v>
      </c>
      <c r="V12" s="12">
        <f>SUBTOTAL(103,Juin[20])</f>
        <v>0</v>
      </c>
      <c r="W12" s="12">
        <f>SUBTOTAL(103,Juin[21])</f>
        <v>0</v>
      </c>
      <c r="X12" s="12">
        <f>SUBTOTAL(103,Juin[22])</f>
        <v>0</v>
      </c>
      <c r="Y12" s="12">
        <f>SUBTOTAL(103,Juin[23])</f>
        <v>0</v>
      </c>
      <c r="Z12" s="12">
        <f>SUBTOTAL(103,Juin[24])</f>
        <v>0</v>
      </c>
      <c r="AA12" s="12">
        <f>SUBTOTAL(103,Juin[25])</f>
        <v>0</v>
      </c>
      <c r="AB12" s="12">
        <f>SUBTOTAL(103,Juin[26])</f>
        <v>0</v>
      </c>
      <c r="AC12" s="12">
        <f>SUBTOTAL(103,Juin[27])</f>
        <v>0</v>
      </c>
      <c r="AD12" s="12">
        <f>SUBTOTAL(103,Juin[28])</f>
        <v>0</v>
      </c>
      <c r="AE12" s="12">
        <f>SUBTOTAL(103,Juin[29])</f>
        <v>0</v>
      </c>
      <c r="AF12" s="12">
        <f>SUBTOTAL(103,Juin[30])</f>
        <v>0</v>
      </c>
      <c r="AG12" s="12">
        <f>SUBTOTAL(103,Juin[[ ]])</f>
        <v>0</v>
      </c>
      <c r="AH12" s="12">
        <f>SUBTOTAL(109,Juin[Total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122" priority="2" stopIfTrue="1">
      <formula>C7=CléPersonnalisée2</formula>
    </cfRule>
    <cfRule type="expression" dxfId="121" priority="3" stopIfTrue="1">
      <formula>C7=CléPersonnalisée1</formula>
    </cfRule>
    <cfRule type="expression" dxfId="120" priority="4" stopIfTrue="1">
      <formula>C7=CléMaladie</formula>
    </cfRule>
    <cfRule type="expression" dxfId="119" priority="5" stopIfTrue="1">
      <formula>C7=CléPersonnel</formula>
    </cfRule>
    <cfRule type="expression" dxfId="118" priority="6" stopIfTrue="1">
      <formula>C7=CléPrésence</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{5E94D469-7B22-408B-924D-8DC8A136AD3B}</x14:id>
        </ext>
      </extLst>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500-000000000000}"/>
    <dataValidation allowBlank="1" showInputMessage="1" showErrorMessage="1" prompt="Année mise à jour automatiquement en fonction de l’année entrée dans la feuille de calcul Janvier" sqref="AH4" xr:uid="{00000000-0002-0000-0500-000001000000}"/>
    <dataValidation allowBlank="1" showInputMessage="1" showErrorMessage="1" prompt="Calcule automatiquement le nombre total de jours d’absence d’un employé durant ce mois dans cette colonne" sqref="AH6" xr:uid="{00000000-0002-0000-0500-000002000000}"/>
    <dataValidation allowBlank="1" showInputMessage="1" showErrorMessage="1" prompt="Suivez les absences du mois de juin dans cette feuille de calcul" sqref="A1" xr:uid="{00000000-0002-0000-05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500-000004000000}"/>
    <dataValidation allowBlank="1" showInputMessage="1" showErrorMessage="1" prompt="Le titre mis à jour automatiquement figure dans cette cellule. Pour modifier le titre, mettez à jour la cellule B1 de la feuille de calcul Janvier" sqref="B1" xr:uid="{00000000-0002-0000-0500-000005000000}"/>
    <dataValidation allowBlank="1" showInputMessage="1" showErrorMessage="1" prompt="La lettre « C » indique une absence pour cause de congé" sqref="C2" xr:uid="{00000000-0002-0000-0500-000006000000}"/>
    <dataValidation allowBlank="1" showInputMessage="1" showErrorMessage="1" prompt="La lettre « P » indique une absence pour motifs personnels" sqref="F2" xr:uid="{00000000-0002-0000-0500-000007000000}"/>
    <dataValidation allowBlank="1" showInputMessage="1" showErrorMessage="1" prompt="La lettre « M » indique une absence pour cause de maladie" sqref="J2" xr:uid="{00000000-0002-0000-0500-000008000000}"/>
    <dataValidation allowBlank="1" showInputMessage="1" showErrorMessage="1" prompt="Entrez une lettre et personnalisez l’étiquette à droite pour ajouter un élément de clé" sqref="M2 R2" xr:uid="{00000000-0002-0000-0500-000009000000}"/>
    <dataValidation allowBlank="1" showInputMessage="1" showErrorMessage="1" prompt="Entrez une étiquette pour décrire la clé personnalisée à gauche" sqref="N2 S2" xr:uid="{00000000-0002-0000-0500-00000A000000}"/>
    <dataValidation allowBlank="1" showInputMessage="1" showErrorMessage="1" prompt="Cette ligne définit les clés utilisées dans le tableau : Congé en C2, Personnel en F2 et Congé maladie en J2. Les cellules M2 et R2 sont personnalisables" sqref="B2" xr:uid="{00000000-0002-0000-05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5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5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E94D469-7B22-408B-924D-8DC8A136AD3B}">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E000000}">
          <x14:formula1>
            <xm:f>'Noms des stagiaires'!$B$4:$B$8</xm:f>
          </x14:formula1>
          <xm:sqref>B7:B11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1"/>
  </sheetPr>
  <dimension ref="A1:AH12"/>
  <sheetViews>
    <sheetView showGridLines="0" zoomScaleNormal="100" workbookViewId="0">
      <selection activeCell="B2" sqref="B2:V2"/>
    </sheetView>
  </sheetViews>
  <sheetFormatPr baseColWidth="10" defaultColWidth="9.140625" defaultRowHeight="30" customHeight="1" x14ac:dyDescent="0.25"/>
  <cols>
    <col min="1" max="1" width="2.7109375" style="10" customWidth="1"/>
    <col min="2" max="2" width="25.7109375" style="10" customWidth="1"/>
    <col min="3" max="8" width="4.7109375" style="10" customWidth="1"/>
    <col min="9" max="9" width="7" style="10" customWidth="1"/>
    <col min="10" max="33" width="4.7109375" style="10" customWidth="1"/>
    <col min="34" max="34" width="13.5703125" style="10" customWidth="1"/>
    <col min="35" max="35" width="2.7109375" customWidth="1"/>
  </cols>
  <sheetData>
    <row r="1" spans="2:34" ht="50.1" customHeight="1" x14ac:dyDescent="0.25">
      <c r="B1" s="13" t="str">
        <f>Titre_Absence_Employé</f>
        <v>Calendrier des stagiaires - ESAT JACQUEMART</v>
      </c>
    </row>
    <row r="2" spans="2:34" ht="15" customHeight="1" x14ac:dyDescent="0.25">
      <c r="B2" s="18" t="s">
        <v>59</v>
      </c>
      <c r="C2" s="3" t="s">
        <v>5</v>
      </c>
      <c r="D2" s="40" t="s">
        <v>50</v>
      </c>
      <c r="E2" s="41"/>
      <c r="F2" s="4" t="s">
        <v>69</v>
      </c>
      <c r="G2" s="40" t="s">
        <v>67</v>
      </c>
      <c r="H2" s="41"/>
      <c r="I2" s="41"/>
      <c r="J2" s="5" t="s">
        <v>51</v>
      </c>
      <c r="K2" s="40" t="s">
        <v>68</v>
      </c>
      <c r="L2" s="41"/>
      <c r="M2" s="6"/>
      <c r="N2" s="40"/>
      <c r="O2" s="41"/>
      <c r="P2" s="41"/>
      <c r="Q2" s="41"/>
      <c r="R2" s="7"/>
      <c r="S2" s="41"/>
      <c r="T2" s="41"/>
      <c r="U2" s="41"/>
      <c r="V2" s="41"/>
    </row>
    <row r="3" spans="2:34" ht="15" customHeight="1" x14ac:dyDescent="0.25">
      <c r="B3" s="13"/>
    </row>
    <row r="4" spans="2:34" ht="30" customHeight="1" x14ac:dyDescent="0.25">
      <c r="B4" s="11" t="s">
        <v>43</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f>AnnéeCalendrier</f>
        <v>2021</v>
      </c>
    </row>
    <row r="5" spans="2:34" ht="15" customHeight="1" x14ac:dyDescent="0.25">
      <c r="B5" s="11"/>
      <c r="C5" s="1" t="str">
        <f>TEXT(WEEKDAY(DATE(AnnéeCalendrier,7,1),1),"jjj")</f>
        <v>jeu</v>
      </c>
      <c r="D5" s="1" t="str">
        <f>TEXT(WEEKDAY(DATE(AnnéeCalendrier,7,2),1),"jjj")</f>
        <v>ven</v>
      </c>
      <c r="E5" s="1" t="str">
        <f>TEXT(WEEKDAY(DATE(AnnéeCalendrier,7,3),1),"jjj")</f>
        <v>sam</v>
      </c>
      <c r="F5" s="1" t="str">
        <f>TEXT(WEEKDAY(DATE(AnnéeCalendrier,7,4),1),"jjj")</f>
        <v>dim</v>
      </c>
      <c r="G5" s="1" t="str">
        <f>TEXT(WEEKDAY(DATE(AnnéeCalendrier,7,5),1),"jjj")</f>
        <v>lun</v>
      </c>
      <c r="H5" s="1" t="str">
        <f>TEXT(WEEKDAY(DATE(AnnéeCalendrier,7,6),1),"jjj")</f>
        <v>mar</v>
      </c>
      <c r="I5" s="1" t="str">
        <f>TEXT(WEEKDAY(DATE(AnnéeCalendrier,7,7),1),"jjj")</f>
        <v>mer</v>
      </c>
      <c r="J5" s="1" t="str">
        <f>TEXT(WEEKDAY(DATE(AnnéeCalendrier,7,8),1),"jjj")</f>
        <v>jeu</v>
      </c>
      <c r="K5" s="1" t="str">
        <f>TEXT(WEEKDAY(DATE(AnnéeCalendrier,7,9),1),"jjj")</f>
        <v>ven</v>
      </c>
      <c r="L5" s="1" t="str">
        <f>TEXT(WEEKDAY(DATE(AnnéeCalendrier,7,10),1),"jjj")</f>
        <v>sam</v>
      </c>
      <c r="M5" s="1" t="str">
        <f>TEXT(WEEKDAY(DATE(AnnéeCalendrier,7,11),1),"jjj")</f>
        <v>dim</v>
      </c>
      <c r="N5" s="1" t="str">
        <f>TEXT(WEEKDAY(DATE(AnnéeCalendrier,7,12),1),"jjj")</f>
        <v>lun</v>
      </c>
      <c r="O5" s="1" t="str">
        <f>TEXT(WEEKDAY(DATE(AnnéeCalendrier,7,13),1),"jjj")</f>
        <v>mar</v>
      </c>
      <c r="P5" s="1" t="str">
        <f>TEXT(WEEKDAY(DATE(AnnéeCalendrier,7,14),1),"jjj")</f>
        <v>mer</v>
      </c>
      <c r="Q5" s="1" t="str">
        <f>TEXT(WEEKDAY(DATE(AnnéeCalendrier,7,15),1),"jjj")</f>
        <v>jeu</v>
      </c>
      <c r="R5" s="1" t="str">
        <f>TEXT(WEEKDAY(DATE(AnnéeCalendrier,7,16),1),"jjj")</f>
        <v>ven</v>
      </c>
      <c r="S5" s="1" t="str">
        <f>TEXT(WEEKDAY(DATE(AnnéeCalendrier,7,17),1),"jjj")</f>
        <v>sam</v>
      </c>
      <c r="T5" s="1" t="str">
        <f>TEXT(WEEKDAY(DATE(AnnéeCalendrier,7,18),1),"jjj")</f>
        <v>dim</v>
      </c>
      <c r="U5" s="1" t="str">
        <f>TEXT(WEEKDAY(DATE(AnnéeCalendrier,7,19),1),"jjj")</f>
        <v>lun</v>
      </c>
      <c r="V5" s="1" t="str">
        <f>TEXT(WEEKDAY(DATE(AnnéeCalendrier,7,20),1),"jjj")</f>
        <v>mar</v>
      </c>
      <c r="W5" s="1" t="str">
        <f>TEXT(WEEKDAY(DATE(AnnéeCalendrier,7,21),1),"jjj")</f>
        <v>mer</v>
      </c>
      <c r="X5" s="1" t="str">
        <f>TEXT(WEEKDAY(DATE(AnnéeCalendrier,7,22),1),"jjj")</f>
        <v>jeu</v>
      </c>
      <c r="Y5" s="1" t="str">
        <f>TEXT(WEEKDAY(DATE(AnnéeCalendrier,7,23),1),"jjj")</f>
        <v>ven</v>
      </c>
      <c r="Z5" s="1" t="str">
        <f>TEXT(WEEKDAY(DATE(AnnéeCalendrier,7,24),1),"jjj")</f>
        <v>sam</v>
      </c>
      <c r="AA5" s="1" t="str">
        <f>TEXT(WEEKDAY(DATE(AnnéeCalendrier,7,25),1),"jjj")</f>
        <v>dim</v>
      </c>
      <c r="AB5" s="1" t="str">
        <f>TEXT(WEEKDAY(DATE(AnnéeCalendrier,7,26),1),"jjj")</f>
        <v>lun</v>
      </c>
      <c r="AC5" s="1" t="str">
        <f>TEXT(WEEKDAY(DATE(AnnéeCalendrier,7,27),1),"jjj")</f>
        <v>mar</v>
      </c>
      <c r="AD5" s="1" t="str">
        <f>TEXT(WEEKDAY(DATE(AnnéeCalendrier,7,28),1),"jjj")</f>
        <v>mer</v>
      </c>
      <c r="AE5" s="1" t="str">
        <f>TEXT(WEEKDAY(DATE(AnnéeCalendrier,7,29),1),"jjj")</f>
        <v>jeu</v>
      </c>
      <c r="AF5" s="1" t="str">
        <f>TEXT(WEEKDAY(DATE(AnnéeCalendrier,7,30),1),"jjj")</f>
        <v>ven</v>
      </c>
      <c r="AG5" s="1" t="str">
        <f>TEXT(WEEKDAY(DATE(AnnéeCalendrier,7,31),1),"jjj")</f>
        <v>sam</v>
      </c>
      <c r="AH5" s="11"/>
    </row>
    <row r="6" spans="2:34"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32</v>
      </c>
      <c r="AG6" s="2" t="s">
        <v>33</v>
      </c>
      <c r="AH6" s="15" t="s">
        <v>35</v>
      </c>
    </row>
    <row r="7" spans="2:34" ht="30" customHeight="1" x14ac:dyDescent="0.25">
      <c r="B7" s="16" t="s">
        <v>60</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COUNTA(Juillet[[#This Row],[1]:[31]])</f>
        <v>0</v>
      </c>
    </row>
    <row r="8" spans="2:34" ht="30" customHeight="1" x14ac:dyDescent="0.25">
      <c r="B8" s="16" t="s">
        <v>54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COUNTA(Juillet[[#This Row],[1]:[31]])</f>
        <v>0</v>
      </c>
    </row>
    <row r="9" spans="2:34" ht="30" customHeight="1" x14ac:dyDescent="0.25">
      <c r="B9" s="16" t="s">
        <v>55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COUNTA(Juillet[[#This Row],[1]:[31]])</f>
        <v>0</v>
      </c>
    </row>
    <row r="10" spans="2:34" ht="30" customHeight="1" x14ac:dyDescent="0.25">
      <c r="B10" s="16" t="s">
        <v>56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COUNTA(Juillet[[#This Row],[1]:[31]])</f>
        <v>0</v>
      </c>
    </row>
    <row r="11" spans="2:34" ht="30" customHeight="1" x14ac:dyDescent="0.25">
      <c r="B11" s="16" t="s">
        <v>57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COUNTA(Juillet[[#This Row],[1]:[31]])</f>
        <v>0</v>
      </c>
    </row>
    <row r="12" spans="2:34" ht="30" customHeight="1" x14ac:dyDescent="0.25">
      <c r="B12" s="20" t="str">
        <f>NomMois&amp;" Total"</f>
        <v>Juillet Total</v>
      </c>
      <c r="C12" s="12">
        <f>SUBTOTAL(103,Juillet[1])</f>
        <v>0</v>
      </c>
      <c r="D12" s="12">
        <f>SUBTOTAL(103,Juillet[2])</f>
        <v>0</v>
      </c>
      <c r="E12" s="12">
        <f>SUBTOTAL(103,Juillet[3])</f>
        <v>0</v>
      </c>
      <c r="F12" s="12">
        <f>SUBTOTAL(103,Juillet[4])</f>
        <v>0</v>
      </c>
      <c r="G12" s="12">
        <f>SUBTOTAL(103,Juillet[5])</f>
        <v>0</v>
      </c>
      <c r="H12" s="12">
        <f>SUBTOTAL(103,Juillet[6])</f>
        <v>0</v>
      </c>
      <c r="I12" s="12">
        <f>SUBTOTAL(103,Juillet[7])</f>
        <v>0</v>
      </c>
      <c r="J12" s="12">
        <f>SUBTOTAL(103,Juillet[8])</f>
        <v>0</v>
      </c>
      <c r="K12" s="12">
        <f>SUBTOTAL(103,Juillet[9])</f>
        <v>0</v>
      </c>
      <c r="L12" s="12">
        <f>SUBTOTAL(103,Juillet[10])</f>
        <v>0</v>
      </c>
      <c r="M12" s="12">
        <f>SUBTOTAL(103,Juillet[11])</f>
        <v>0</v>
      </c>
      <c r="N12" s="12">
        <f>SUBTOTAL(103,Juillet[12])</f>
        <v>0</v>
      </c>
      <c r="O12" s="12">
        <f>SUBTOTAL(103,Juillet[13])</f>
        <v>0</v>
      </c>
      <c r="P12" s="12">
        <f>SUBTOTAL(103,Juillet[14])</f>
        <v>0</v>
      </c>
      <c r="Q12" s="12">
        <f>SUBTOTAL(103,Juillet[15])</f>
        <v>0</v>
      </c>
      <c r="R12" s="12">
        <f>SUBTOTAL(103,Juillet[16])</f>
        <v>0</v>
      </c>
      <c r="S12" s="12">
        <f>SUBTOTAL(103,Juillet[17])</f>
        <v>0</v>
      </c>
      <c r="T12" s="12">
        <f>SUBTOTAL(103,Juillet[18])</f>
        <v>0</v>
      </c>
      <c r="U12" s="12">
        <f>SUBTOTAL(103,Juillet[19])</f>
        <v>0</v>
      </c>
      <c r="V12" s="12">
        <f>SUBTOTAL(103,Juillet[20])</f>
        <v>0</v>
      </c>
      <c r="W12" s="12">
        <f>SUBTOTAL(103,Juillet[21])</f>
        <v>0</v>
      </c>
      <c r="X12" s="12">
        <f>SUBTOTAL(103,Juillet[22])</f>
        <v>0</v>
      </c>
      <c r="Y12" s="12">
        <f>SUBTOTAL(103,Juillet[23])</f>
        <v>0</v>
      </c>
      <c r="Z12" s="12">
        <f>SUBTOTAL(103,Juillet[24])</f>
        <v>0</v>
      </c>
      <c r="AA12" s="12">
        <f>SUBTOTAL(103,Juillet[25])</f>
        <v>0</v>
      </c>
      <c r="AB12" s="12">
        <f>SUBTOTAL(103,Juillet[26])</f>
        <v>0</v>
      </c>
      <c r="AC12" s="12">
        <f>SUBTOTAL(103,Juillet[27])</f>
        <v>0</v>
      </c>
      <c r="AD12" s="12">
        <f>SUBTOTAL(103,Juillet[28])</f>
        <v>0</v>
      </c>
      <c r="AE12" s="12">
        <f>SUBTOTAL(103,Juillet[29])</f>
        <v>0</v>
      </c>
      <c r="AF12" s="12">
        <f>SUBTOTAL(103,Juillet[30])</f>
        <v>0</v>
      </c>
      <c r="AG12" s="12">
        <f>SUBTOTAL(103,Juillet[31])</f>
        <v>0</v>
      </c>
      <c r="AH12" s="12">
        <f>SUBTOTAL(109,Juillet[Total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117" priority="2" stopIfTrue="1">
      <formula>C7=CléPersonnalisée2</formula>
    </cfRule>
    <cfRule type="expression" dxfId="116" priority="3" stopIfTrue="1">
      <formula>C7=CléPersonnalisée1</formula>
    </cfRule>
    <cfRule type="expression" dxfId="115" priority="4" stopIfTrue="1">
      <formula>C7=CléMaladie</formula>
    </cfRule>
    <cfRule type="expression" dxfId="114" priority="5" stopIfTrue="1">
      <formula>C7=CléPersonnel</formula>
    </cfRule>
    <cfRule type="expression" dxfId="113" priority="6" stopIfTrue="1">
      <formula>C7=CléPrésence</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{E0DCF129-9B2A-4CEB-9E56-27607F4BED20}</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6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600-000001000000}"/>
    <dataValidation allowBlank="1" showInputMessage="1" showErrorMessage="1" prompt="Cette ligne définit les clés utilisées dans le tableau : Congé en C2, Personnel en F2 et Congé maladie en J2. Les cellules M2 et R2 sont personnalisables" sqref="B2" xr:uid="{00000000-0002-0000-0600-000002000000}"/>
    <dataValidation allowBlank="1" showInputMessage="1" showErrorMessage="1" prompt="Entrez une étiquette pour décrire la clé personnalisée à gauche" sqref="N2 S2" xr:uid="{00000000-0002-0000-0600-000003000000}"/>
    <dataValidation allowBlank="1" showInputMessage="1" showErrorMessage="1" prompt="Entrez une lettre et personnalisez l’étiquette à droite pour ajouter un élément de clé" sqref="M2 R2" xr:uid="{00000000-0002-0000-0600-000004000000}"/>
    <dataValidation allowBlank="1" showInputMessage="1" showErrorMessage="1" prompt="La lettre « M » indique une absence pour cause de maladie" sqref="J2" xr:uid="{00000000-0002-0000-0600-000005000000}"/>
    <dataValidation allowBlank="1" showInputMessage="1" showErrorMessage="1" prompt="La lettre « P » indique une absence pour motifs personnels" sqref="F2" xr:uid="{00000000-0002-0000-0600-000006000000}"/>
    <dataValidation allowBlank="1" showInputMessage="1" showErrorMessage="1" prompt="La lettre « C » indique une absence pour cause de congé" sqref="C2" xr:uid="{00000000-0002-0000-0600-000007000000}"/>
    <dataValidation allowBlank="1" showInputMessage="1" showErrorMessage="1" prompt="Le titre mis à jour automatiquement figure dans cette cellule. Pour modifier le titre, mettez à jour la cellule B1 de la feuille de calcul Janvier" sqref="B1" xr:uid="{00000000-0002-0000-06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600-000009000000}"/>
    <dataValidation allowBlank="1" showInputMessage="1" showErrorMessage="1" prompt="Suivez les absences du mois de juillet dans cette feuille de calcul" sqref="A1" xr:uid="{00000000-0002-0000-0600-00000A000000}"/>
    <dataValidation allowBlank="1" showInputMessage="1" showErrorMessage="1" prompt="Calcule automatiquement le nombre total de jours d’absence d’un employé durant ce mois dans cette colonne" sqref="AH6" xr:uid="{00000000-0002-0000-0600-00000B000000}"/>
    <dataValidation allowBlank="1" showInputMessage="1" showErrorMessage="1" prompt="Année mise à jour automatiquement en fonction de l’année entrée dans la feuille de calcul Janvier" sqref="AH4" xr:uid="{00000000-0002-0000-06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6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0DCF129-9B2A-4CEB-9E56-27607F4BED20}">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E000000}">
          <x14:formula1>
            <xm:f>'Noms des stagiaires'!$B$4:$B$8</xm:f>
          </x14:formula1>
          <xm:sqref>B7:B11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2" tint="-0.749992370372631"/>
  </sheetPr>
  <dimension ref="A1:AH12"/>
  <sheetViews>
    <sheetView showGridLines="0" zoomScaleNormal="100" workbookViewId="0">
      <selection activeCell="B7" sqref="B7"/>
    </sheetView>
  </sheetViews>
  <sheetFormatPr baseColWidth="10" defaultColWidth="9.140625" defaultRowHeight="30" customHeight="1" x14ac:dyDescent="0.25"/>
  <cols>
    <col min="1" max="1" width="2.7109375" style="10" customWidth="1"/>
    <col min="2" max="2" width="25.7109375" style="10" customWidth="1"/>
    <col min="3" max="8" width="4.7109375" style="10" customWidth="1"/>
    <col min="9" max="9" width="6.7109375" style="10" customWidth="1"/>
    <col min="10" max="33" width="4.7109375" style="10" customWidth="1"/>
    <col min="34" max="34" width="13.5703125" style="10" customWidth="1"/>
    <col min="35" max="35" width="2.7109375" customWidth="1"/>
  </cols>
  <sheetData>
    <row r="1" spans="2:34" ht="50.1" customHeight="1" x14ac:dyDescent="0.25">
      <c r="B1" s="13" t="str">
        <f>Titre_Absence_Employé</f>
        <v>Calendrier des stagiaires - ESAT JACQUEMART</v>
      </c>
    </row>
    <row r="2" spans="2:34" ht="15" customHeight="1" x14ac:dyDescent="0.25">
      <c r="B2" s="18" t="s">
        <v>59</v>
      </c>
      <c r="C2" s="3" t="s">
        <v>5</v>
      </c>
      <c r="D2" s="40" t="s">
        <v>50</v>
      </c>
      <c r="E2" s="41"/>
      <c r="F2" s="4" t="s">
        <v>69</v>
      </c>
      <c r="G2" s="40" t="s">
        <v>67</v>
      </c>
      <c r="H2" s="41"/>
      <c r="I2" s="41"/>
      <c r="J2" s="5" t="s">
        <v>51</v>
      </c>
      <c r="K2" s="40" t="s">
        <v>68</v>
      </c>
      <c r="L2" s="41"/>
      <c r="M2" s="6"/>
      <c r="N2" s="40"/>
      <c r="O2" s="41"/>
      <c r="P2" s="41"/>
      <c r="Q2" s="41"/>
      <c r="R2" s="7"/>
      <c r="S2" s="41"/>
      <c r="T2" s="41"/>
      <c r="U2" s="41"/>
      <c r="V2" s="41"/>
    </row>
    <row r="3" spans="2:34" ht="15" customHeight="1" x14ac:dyDescent="0.25">
      <c r="B3" s="13"/>
    </row>
    <row r="4" spans="2:34" ht="30" customHeight="1" x14ac:dyDescent="0.25">
      <c r="B4" s="11" t="s">
        <v>44</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f>AnnéeCalendrier</f>
        <v>2021</v>
      </c>
    </row>
    <row r="5" spans="2:34" ht="15" customHeight="1" x14ac:dyDescent="0.25">
      <c r="B5" s="11"/>
      <c r="C5" s="1" t="str">
        <f>TEXT(WEEKDAY(DATE(AnnéeCalendrier,8,1),1),"jjj")</f>
        <v>dim</v>
      </c>
      <c r="D5" s="1" t="str">
        <f>TEXT(WEEKDAY(DATE(AnnéeCalendrier,8,2),1),"jjj")</f>
        <v>lun</v>
      </c>
      <c r="E5" s="1" t="str">
        <f>TEXT(WEEKDAY(DATE(AnnéeCalendrier,8,3),1),"jjj")</f>
        <v>mar</v>
      </c>
      <c r="F5" s="1" t="str">
        <f>TEXT(WEEKDAY(DATE(AnnéeCalendrier,8,4),1),"jjj")</f>
        <v>mer</v>
      </c>
      <c r="G5" s="1" t="str">
        <f>TEXT(WEEKDAY(DATE(AnnéeCalendrier,8,5),1),"jjj")</f>
        <v>jeu</v>
      </c>
      <c r="H5" s="1" t="str">
        <f>TEXT(WEEKDAY(DATE(AnnéeCalendrier,8,6),1),"jjj")</f>
        <v>ven</v>
      </c>
      <c r="I5" s="1" t="str">
        <f>TEXT(WEEKDAY(DATE(AnnéeCalendrier,8,7),1),"jjj")</f>
        <v>sam</v>
      </c>
      <c r="J5" s="1" t="str">
        <f>TEXT(WEEKDAY(DATE(AnnéeCalendrier,8,8),1),"jjj")</f>
        <v>dim</v>
      </c>
      <c r="K5" s="1" t="str">
        <f>TEXT(WEEKDAY(DATE(AnnéeCalendrier,8,9),1),"jjj")</f>
        <v>lun</v>
      </c>
      <c r="L5" s="1" t="str">
        <f>TEXT(WEEKDAY(DATE(AnnéeCalendrier,8,10),1),"jjj")</f>
        <v>mar</v>
      </c>
      <c r="M5" s="1" t="str">
        <f>TEXT(WEEKDAY(DATE(AnnéeCalendrier,8,11),1),"jjj")</f>
        <v>mer</v>
      </c>
      <c r="N5" s="1" t="str">
        <f>TEXT(WEEKDAY(DATE(AnnéeCalendrier,8,12),1),"jjj")</f>
        <v>jeu</v>
      </c>
      <c r="O5" s="1" t="str">
        <f>TEXT(WEEKDAY(DATE(AnnéeCalendrier,8,13),1),"jjj")</f>
        <v>ven</v>
      </c>
      <c r="P5" s="1" t="str">
        <f>TEXT(WEEKDAY(DATE(AnnéeCalendrier,8,14),1),"jjj")</f>
        <v>sam</v>
      </c>
      <c r="Q5" s="1" t="str">
        <f>TEXT(WEEKDAY(DATE(AnnéeCalendrier,8,15),1),"jjj")</f>
        <v>dim</v>
      </c>
      <c r="R5" s="1" t="str">
        <f>TEXT(WEEKDAY(DATE(AnnéeCalendrier,8,16),1),"jjj")</f>
        <v>lun</v>
      </c>
      <c r="S5" s="1" t="str">
        <f>TEXT(WEEKDAY(DATE(AnnéeCalendrier,8,17),1),"jjj")</f>
        <v>mar</v>
      </c>
      <c r="T5" s="1" t="str">
        <f>TEXT(WEEKDAY(DATE(AnnéeCalendrier,8,18),1),"jjj")</f>
        <v>mer</v>
      </c>
      <c r="U5" s="1" t="str">
        <f>TEXT(WEEKDAY(DATE(AnnéeCalendrier,8,19),1),"jjj")</f>
        <v>jeu</v>
      </c>
      <c r="V5" s="1" t="str">
        <f>TEXT(WEEKDAY(DATE(AnnéeCalendrier,8,20),1),"jjj")</f>
        <v>ven</v>
      </c>
      <c r="W5" s="1" t="str">
        <f>TEXT(WEEKDAY(DATE(AnnéeCalendrier,8,21),1),"jjj")</f>
        <v>sam</v>
      </c>
      <c r="X5" s="1" t="str">
        <f>TEXT(WEEKDAY(DATE(AnnéeCalendrier,8,22),1),"jjj")</f>
        <v>dim</v>
      </c>
      <c r="Y5" s="1" t="str">
        <f>TEXT(WEEKDAY(DATE(AnnéeCalendrier,8,23),1),"jjj")</f>
        <v>lun</v>
      </c>
      <c r="Z5" s="1" t="str">
        <f>TEXT(WEEKDAY(DATE(AnnéeCalendrier,8,24),1),"jjj")</f>
        <v>mar</v>
      </c>
      <c r="AA5" s="1" t="str">
        <f>TEXT(WEEKDAY(DATE(AnnéeCalendrier,8,25),1),"jjj")</f>
        <v>mer</v>
      </c>
      <c r="AB5" s="1" t="str">
        <f>TEXT(WEEKDAY(DATE(AnnéeCalendrier,8,26),1),"jjj")</f>
        <v>jeu</v>
      </c>
      <c r="AC5" s="1" t="str">
        <f>TEXT(WEEKDAY(DATE(AnnéeCalendrier,8,27),1),"jjj")</f>
        <v>ven</v>
      </c>
      <c r="AD5" s="1" t="str">
        <f>TEXT(WEEKDAY(DATE(AnnéeCalendrier,8,28),1),"jjj")</f>
        <v>sam</v>
      </c>
      <c r="AE5" s="1" t="str">
        <f>TEXT(WEEKDAY(DATE(AnnéeCalendrier,8,29),1),"jjj")</f>
        <v>dim</v>
      </c>
      <c r="AF5" s="1" t="str">
        <f>TEXT(WEEKDAY(DATE(AnnéeCalendrier,8,30),1),"jjj")</f>
        <v>lun</v>
      </c>
      <c r="AG5" s="1" t="str">
        <f>TEXT(WEEKDAY(DATE(AnnéeCalendrier,8,31),1),"jjj")</f>
        <v>mar</v>
      </c>
      <c r="AH5" s="11"/>
    </row>
    <row r="6" spans="2:34"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32</v>
      </c>
      <c r="AG6" s="2" t="s">
        <v>33</v>
      </c>
      <c r="AH6" s="15" t="s">
        <v>35</v>
      </c>
    </row>
    <row r="7" spans="2:34" ht="30" customHeight="1" x14ac:dyDescent="0.25">
      <c r="B7" s="16" t="s">
        <v>73</v>
      </c>
      <c r="C7" s="2"/>
      <c r="D7" s="2"/>
      <c r="E7" s="2"/>
      <c r="F7" s="2"/>
      <c r="G7" s="2"/>
      <c r="H7" s="2"/>
      <c r="I7" s="2"/>
      <c r="J7" s="2"/>
      <c r="K7" s="2" t="s">
        <v>66</v>
      </c>
      <c r="L7" s="2" t="s">
        <v>66</v>
      </c>
      <c r="M7" s="2" t="s">
        <v>66</v>
      </c>
      <c r="N7" s="2" t="s">
        <v>66</v>
      </c>
      <c r="O7" s="2" t="s">
        <v>66</v>
      </c>
      <c r="P7" s="2"/>
      <c r="Q7" s="2"/>
      <c r="R7" s="2"/>
      <c r="S7" s="2"/>
      <c r="T7" s="2"/>
      <c r="U7" s="2"/>
      <c r="V7" s="2"/>
      <c r="W7" s="2"/>
      <c r="X7" s="2"/>
      <c r="Y7" s="2"/>
      <c r="Z7" s="2"/>
      <c r="AA7" s="2"/>
      <c r="AB7" s="2"/>
      <c r="AC7" s="2"/>
      <c r="AD7" s="2"/>
      <c r="AE7" s="2"/>
      <c r="AF7" s="2"/>
      <c r="AG7" s="2"/>
      <c r="AH7" s="9">
        <f>COUNTA(Août[[#This Row],[1]:[31]])</f>
        <v>5</v>
      </c>
    </row>
    <row r="8" spans="2:34" ht="30" customHeight="1" x14ac:dyDescent="0.25">
      <c r="B8" s="16" t="s">
        <v>54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COUNTA(Août[[#This Row],[1]:[31]])</f>
        <v>0</v>
      </c>
    </row>
    <row r="9" spans="2:34" ht="30" customHeight="1" x14ac:dyDescent="0.25">
      <c r="B9" s="16" t="s">
        <v>55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COUNTA(Août[[#This Row],[1]:[31]])</f>
        <v>0</v>
      </c>
    </row>
    <row r="10" spans="2:34" ht="30" customHeight="1" x14ac:dyDescent="0.25">
      <c r="B10" s="16" t="s">
        <v>56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COUNTA(Août[[#This Row],[1]:[31]])</f>
        <v>0</v>
      </c>
    </row>
    <row r="11" spans="2:34" ht="30" customHeight="1" x14ac:dyDescent="0.25">
      <c r="B11" s="16" t="s">
        <v>57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COUNTA(Août[[#This Row],[1]:[31]])</f>
        <v>0</v>
      </c>
    </row>
    <row r="12" spans="2:34" ht="30" customHeight="1" x14ac:dyDescent="0.25">
      <c r="B12" s="20" t="str">
        <f>NomMois&amp;" Total"</f>
        <v>Août Total</v>
      </c>
      <c r="C12" s="12">
        <f>SUBTOTAL(103,Août[1])</f>
        <v>0</v>
      </c>
      <c r="D12" s="12">
        <f>SUBTOTAL(103,Août[2])</f>
        <v>0</v>
      </c>
      <c r="E12" s="12">
        <f>SUBTOTAL(103,Août[3])</f>
        <v>0</v>
      </c>
      <c r="F12" s="12">
        <f>SUBTOTAL(103,Août[4])</f>
        <v>0</v>
      </c>
      <c r="G12" s="12">
        <f>SUBTOTAL(103,Août[5])</f>
        <v>0</v>
      </c>
      <c r="H12" s="12">
        <f>SUBTOTAL(103,Août[6])</f>
        <v>0</v>
      </c>
      <c r="I12" s="12">
        <f>SUBTOTAL(103,Août[7])</f>
        <v>0</v>
      </c>
      <c r="J12" s="12">
        <f>SUBTOTAL(103,Août[8])</f>
        <v>0</v>
      </c>
      <c r="K12" s="12">
        <f>SUBTOTAL(103,Août[9])</f>
        <v>1</v>
      </c>
      <c r="L12" s="12">
        <f>SUBTOTAL(103,Août[10])</f>
        <v>1</v>
      </c>
      <c r="M12" s="12">
        <f>SUBTOTAL(103,Août[11])</f>
        <v>1</v>
      </c>
      <c r="N12" s="12">
        <f>SUBTOTAL(103,Août[12])</f>
        <v>1</v>
      </c>
      <c r="O12" s="12">
        <f>SUBTOTAL(103,Août[13])</f>
        <v>1</v>
      </c>
      <c r="P12" s="12">
        <f>SUBTOTAL(103,Août[14])</f>
        <v>0</v>
      </c>
      <c r="Q12" s="12">
        <f>SUBTOTAL(103,Août[15])</f>
        <v>0</v>
      </c>
      <c r="R12" s="12">
        <f>SUBTOTAL(103,Août[16])</f>
        <v>0</v>
      </c>
      <c r="S12" s="12">
        <f>SUBTOTAL(103,Août[17])</f>
        <v>0</v>
      </c>
      <c r="T12" s="12">
        <f>SUBTOTAL(103,Août[18])</f>
        <v>0</v>
      </c>
      <c r="U12" s="12">
        <f>SUBTOTAL(103,Août[19])</f>
        <v>0</v>
      </c>
      <c r="V12" s="12">
        <f>SUBTOTAL(103,Août[20])</f>
        <v>0</v>
      </c>
      <c r="W12" s="12">
        <f>SUBTOTAL(103,Août[21])</f>
        <v>0</v>
      </c>
      <c r="X12" s="12">
        <f>SUBTOTAL(103,Août[22])</f>
        <v>0</v>
      </c>
      <c r="Y12" s="12">
        <f>SUBTOTAL(103,Août[23])</f>
        <v>0</v>
      </c>
      <c r="Z12" s="12">
        <f>SUBTOTAL(103,Août[24])</f>
        <v>0</v>
      </c>
      <c r="AA12" s="12">
        <f>SUBTOTAL(103,Août[25])</f>
        <v>0</v>
      </c>
      <c r="AB12" s="12">
        <f>SUBTOTAL(103,Août[26])</f>
        <v>0</v>
      </c>
      <c r="AC12" s="12">
        <f>SUBTOTAL(103,Août[27])</f>
        <v>0</v>
      </c>
      <c r="AD12" s="12">
        <f>SUBTOTAL(103,Août[28])</f>
        <v>0</v>
      </c>
      <c r="AE12" s="12">
        <f>SUBTOTAL(103,Août[29])</f>
        <v>0</v>
      </c>
      <c r="AF12" s="12">
        <f>SUBTOTAL(103,Août[30])</f>
        <v>0</v>
      </c>
      <c r="AG12" s="12">
        <f>SUBTOTAL(103,Août[31])</f>
        <v>0</v>
      </c>
      <c r="AH12" s="12">
        <f>SUBTOTAL(109,Août[Total des jours])</f>
        <v>5</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112" priority="2" stopIfTrue="1">
      <formula>C7=CléPersonnalisée2</formula>
    </cfRule>
    <cfRule type="expression" dxfId="111" priority="3" stopIfTrue="1">
      <formula>C7=CléPersonnalisée1</formula>
    </cfRule>
    <cfRule type="expression" dxfId="110" priority="4" stopIfTrue="1">
      <formula>C7=CléMaladie</formula>
    </cfRule>
    <cfRule type="expression" dxfId="109" priority="5" stopIfTrue="1">
      <formula>C7=CléPersonnel</formula>
    </cfRule>
    <cfRule type="expression" dxfId="108" priority="6" stopIfTrue="1">
      <formula>C7=CléPrésence</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{09900229-9536-43AB-AAE0-FC121BDECD61}</x14:id>
        </ext>
      </extLst>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700-000000000000}"/>
    <dataValidation allowBlank="1" showInputMessage="1" showErrorMessage="1" prompt="Année mise à jour automatiquement en fonction de l’année entrée dans la feuille de calcul Janvier" sqref="AH4" xr:uid="{00000000-0002-0000-0700-000001000000}"/>
    <dataValidation allowBlank="1" showInputMessage="1" showErrorMessage="1" prompt="Calcule automatiquement le nombre total de jours d’absence d’un employé durant ce mois dans cette colonne" sqref="AH6" xr:uid="{00000000-0002-0000-0700-000002000000}"/>
    <dataValidation allowBlank="1" showInputMessage="1" showErrorMessage="1" prompt="Suivez les absences du mois d’août dans cette feuille de calcul" sqref="A1" xr:uid="{00000000-0002-0000-07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700-000004000000}"/>
    <dataValidation allowBlank="1" showInputMessage="1" showErrorMessage="1" prompt="Le titre mis à jour automatiquement figure dans cette cellule. Pour modifier le titre, mettez à jour la cellule B1 de la feuille de calcul Janvier" sqref="B1" xr:uid="{00000000-0002-0000-0700-000005000000}"/>
    <dataValidation allowBlank="1" showInputMessage="1" showErrorMessage="1" prompt="La lettre « C » indique une absence pour cause de congé" sqref="C2" xr:uid="{00000000-0002-0000-0700-000006000000}"/>
    <dataValidation allowBlank="1" showInputMessage="1" showErrorMessage="1" prompt="La lettre « P » indique une absence pour motifs personnels" sqref="F2" xr:uid="{00000000-0002-0000-0700-000007000000}"/>
    <dataValidation allowBlank="1" showInputMessage="1" showErrorMessage="1" prompt="La lettre « M » indique une absence pour cause de maladie" sqref="J2" xr:uid="{00000000-0002-0000-0700-000008000000}"/>
    <dataValidation allowBlank="1" showInputMessage="1" showErrorMessage="1" prompt="Entrez une lettre et personnalisez l’étiquette à droite pour ajouter un élément de clé" sqref="M2 R2" xr:uid="{00000000-0002-0000-0700-000009000000}"/>
    <dataValidation allowBlank="1" showInputMessage="1" showErrorMessage="1" prompt="Entrez une étiquette pour décrire la clé personnalisée à gauche" sqref="N2 S2" xr:uid="{00000000-0002-0000-0700-00000A000000}"/>
    <dataValidation allowBlank="1" showInputMessage="1" showErrorMessage="1" prompt="Cette ligne définit les clés utilisées dans le tableau : Congé en C2, Personnel en F2 et Congé maladie en J2. Les cellules M2 et R2 sont personnalisables" sqref="B2" xr:uid="{00000000-0002-0000-07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7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7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9900229-9536-43AB-AAE0-FC121BDECD61}">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E000000}">
          <x14:formula1>
            <xm:f>'Noms des stagiaires'!$B$4:$B$8</xm:f>
          </x14:formula1>
          <xm:sqref>B7:B11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499984740745262"/>
  </sheetPr>
  <dimension ref="A1:AH12"/>
  <sheetViews>
    <sheetView showGridLines="0" zoomScaleNormal="100" workbookViewId="0">
      <selection activeCell="B2" sqref="B2:V2"/>
    </sheetView>
  </sheetViews>
  <sheetFormatPr baseColWidth="10" defaultColWidth="9.140625" defaultRowHeight="30" customHeight="1" x14ac:dyDescent="0.25"/>
  <cols>
    <col min="1" max="1" width="2.7109375" style="10" customWidth="1"/>
    <col min="2" max="2" width="25.7109375" style="10" customWidth="1"/>
    <col min="3" max="8" width="4.7109375" style="10" customWidth="1"/>
    <col min="9" max="9" width="6.85546875" style="10" customWidth="1"/>
    <col min="10" max="33" width="4.7109375" style="10" customWidth="1"/>
    <col min="34" max="34" width="13.5703125" style="10" customWidth="1"/>
    <col min="35" max="35" width="2.7109375" customWidth="1"/>
  </cols>
  <sheetData>
    <row r="1" spans="2:34" ht="50.1" customHeight="1" x14ac:dyDescent="0.25">
      <c r="B1" s="13" t="str">
        <f>Titre_Absence_Employé</f>
        <v>Calendrier des stagiaires - ESAT JACQUEMART</v>
      </c>
    </row>
    <row r="2" spans="2:34" ht="15" customHeight="1" x14ac:dyDescent="0.25">
      <c r="B2" s="18" t="s">
        <v>59</v>
      </c>
      <c r="C2" s="3" t="s">
        <v>5</v>
      </c>
      <c r="D2" s="40" t="s">
        <v>50</v>
      </c>
      <c r="E2" s="41"/>
      <c r="F2" s="4" t="s">
        <v>69</v>
      </c>
      <c r="G2" s="40" t="s">
        <v>67</v>
      </c>
      <c r="H2" s="41"/>
      <c r="I2" s="41"/>
      <c r="J2" s="5" t="s">
        <v>51</v>
      </c>
      <c r="K2" s="40" t="s">
        <v>68</v>
      </c>
      <c r="L2" s="41"/>
      <c r="M2" s="6"/>
      <c r="N2" s="40"/>
      <c r="O2" s="41"/>
      <c r="P2" s="41"/>
      <c r="Q2" s="41"/>
      <c r="R2" s="7"/>
      <c r="S2" s="41"/>
      <c r="T2" s="41"/>
      <c r="U2" s="41"/>
      <c r="V2" s="41"/>
    </row>
    <row r="3" spans="2:34" ht="15" customHeight="1" x14ac:dyDescent="0.25">
      <c r="B3" s="13"/>
    </row>
    <row r="4" spans="2:34" ht="30" customHeight="1" x14ac:dyDescent="0.25">
      <c r="B4" s="11" t="s">
        <v>45</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f>AnnéeCalendrier</f>
        <v>2021</v>
      </c>
    </row>
    <row r="5" spans="2:34" ht="15" customHeight="1" x14ac:dyDescent="0.25">
      <c r="B5" s="11"/>
      <c r="C5" s="1" t="str">
        <f>TEXT(WEEKDAY(DATE(AnnéeCalendrier,9,1),1),"jjj")</f>
        <v>mer</v>
      </c>
      <c r="D5" s="1" t="str">
        <f>TEXT(WEEKDAY(DATE(AnnéeCalendrier,9,2),1),"jjj")</f>
        <v>jeu</v>
      </c>
      <c r="E5" s="1" t="str">
        <f>TEXT(WEEKDAY(DATE(AnnéeCalendrier,9,3),1),"jjj")</f>
        <v>ven</v>
      </c>
      <c r="F5" s="1" t="str">
        <f>TEXT(WEEKDAY(DATE(AnnéeCalendrier,9,4),1),"jjj")</f>
        <v>sam</v>
      </c>
      <c r="G5" s="1" t="str">
        <f>TEXT(WEEKDAY(DATE(AnnéeCalendrier,9,5),1),"jjj")</f>
        <v>dim</v>
      </c>
      <c r="H5" s="1" t="str">
        <f>TEXT(WEEKDAY(DATE(AnnéeCalendrier,9,6),1),"jjj")</f>
        <v>lun</v>
      </c>
      <c r="I5" s="1" t="str">
        <f>TEXT(WEEKDAY(DATE(AnnéeCalendrier,9,7),1),"jjj")</f>
        <v>mar</v>
      </c>
      <c r="J5" s="1" t="str">
        <f>TEXT(WEEKDAY(DATE(AnnéeCalendrier,9,8),1),"jjj")</f>
        <v>mer</v>
      </c>
      <c r="K5" s="1" t="str">
        <f>TEXT(WEEKDAY(DATE(AnnéeCalendrier,9,9),1),"jjj")</f>
        <v>jeu</v>
      </c>
      <c r="L5" s="1" t="str">
        <f>TEXT(WEEKDAY(DATE(AnnéeCalendrier,9,10),1),"jjj")</f>
        <v>ven</v>
      </c>
      <c r="M5" s="1" t="str">
        <f>TEXT(WEEKDAY(DATE(AnnéeCalendrier,9,11),1),"jjj")</f>
        <v>sam</v>
      </c>
      <c r="N5" s="1" t="str">
        <f>TEXT(WEEKDAY(DATE(AnnéeCalendrier,9,12),1),"jjj")</f>
        <v>dim</v>
      </c>
      <c r="O5" s="1" t="str">
        <f>TEXT(WEEKDAY(DATE(AnnéeCalendrier,9,13),1),"jjj")</f>
        <v>lun</v>
      </c>
      <c r="P5" s="1" t="str">
        <f>TEXT(WEEKDAY(DATE(AnnéeCalendrier,9,14),1),"jjj")</f>
        <v>mar</v>
      </c>
      <c r="Q5" s="1" t="str">
        <f>TEXT(WEEKDAY(DATE(AnnéeCalendrier,9,15),1),"jjj")</f>
        <v>mer</v>
      </c>
      <c r="R5" s="1" t="str">
        <f>TEXT(WEEKDAY(DATE(AnnéeCalendrier,9,16),1),"jjj")</f>
        <v>jeu</v>
      </c>
      <c r="S5" s="1" t="str">
        <f>TEXT(WEEKDAY(DATE(AnnéeCalendrier,9,17),1),"jjj")</f>
        <v>ven</v>
      </c>
      <c r="T5" s="1" t="str">
        <f>TEXT(WEEKDAY(DATE(AnnéeCalendrier,9,18),1),"jjj")</f>
        <v>sam</v>
      </c>
      <c r="U5" s="1" t="str">
        <f>TEXT(WEEKDAY(DATE(AnnéeCalendrier,9,19),1),"jjj")</f>
        <v>dim</v>
      </c>
      <c r="V5" s="1" t="str">
        <f>TEXT(WEEKDAY(DATE(AnnéeCalendrier,9,20),1),"jjj")</f>
        <v>lun</v>
      </c>
      <c r="W5" s="1" t="str">
        <f>TEXT(WEEKDAY(DATE(AnnéeCalendrier,9,21),1),"jjj")</f>
        <v>mar</v>
      </c>
      <c r="X5" s="1" t="str">
        <f>TEXT(WEEKDAY(DATE(AnnéeCalendrier,9,22),1),"jjj")</f>
        <v>mer</v>
      </c>
      <c r="Y5" s="1" t="str">
        <f>TEXT(WEEKDAY(DATE(AnnéeCalendrier,9,23),1),"jjj")</f>
        <v>jeu</v>
      </c>
      <c r="Z5" s="1" t="str">
        <f>TEXT(WEEKDAY(DATE(AnnéeCalendrier,9,24),1),"jjj")</f>
        <v>ven</v>
      </c>
      <c r="AA5" s="1" t="str">
        <f>TEXT(WEEKDAY(DATE(AnnéeCalendrier,9,25),1),"jjj")</f>
        <v>sam</v>
      </c>
      <c r="AB5" s="1" t="str">
        <f>TEXT(WEEKDAY(DATE(AnnéeCalendrier,9,26),1),"jjj")</f>
        <v>dim</v>
      </c>
      <c r="AC5" s="1" t="str">
        <f>TEXT(WEEKDAY(DATE(AnnéeCalendrier,9,27),1),"jjj")</f>
        <v>lun</v>
      </c>
      <c r="AD5" s="1" t="str">
        <f>TEXT(WEEKDAY(DATE(AnnéeCalendrier,9,28),1),"jjj")</f>
        <v>mar</v>
      </c>
      <c r="AE5" s="1" t="str">
        <f>TEXT(WEEKDAY(DATE(AnnéeCalendrier,9,29),1),"jjj")</f>
        <v>mer</v>
      </c>
      <c r="AF5" s="1" t="str">
        <f>TEXT(WEEKDAY(DATE(AnnéeCalendrier,9,30),1),"jjj")</f>
        <v>jeu</v>
      </c>
      <c r="AG5" s="1"/>
      <c r="AH5" s="11"/>
    </row>
    <row r="6" spans="2:34"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32</v>
      </c>
      <c r="AG6" s="2" t="s">
        <v>37</v>
      </c>
      <c r="AH6" s="15" t="s">
        <v>35</v>
      </c>
    </row>
    <row r="7" spans="2:34" ht="30" customHeight="1" x14ac:dyDescent="0.25">
      <c r="B7" s="16" t="s">
        <v>60</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COUNTA(Septembre[[#This Row],[1]:[30]])</f>
        <v>0</v>
      </c>
    </row>
    <row r="8" spans="2:34" ht="30" customHeight="1" x14ac:dyDescent="0.25">
      <c r="B8" s="16" t="s">
        <v>54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COUNTA(Septembre[[#This Row],[1]:[30]])</f>
        <v>0</v>
      </c>
    </row>
    <row r="9" spans="2:34" ht="30" customHeight="1" x14ac:dyDescent="0.25">
      <c r="B9" s="16" t="s">
        <v>55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COUNTA(Septembre[[#This Row],[1]:[30]])</f>
        <v>0</v>
      </c>
    </row>
    <row r="10" spans="2:34" ht="30" customHeight="1" x14ac:dyDescent="0.25">
      <c r="B10" s="16" t="s">
        <v>56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COUNTA(Septembre[[#This Row],[1]:[30]])</f>
        <v>0</v>
      </c>
    </row>
    <row r="11" spans="2:34" ht="30" customHeight="1" x14ac:dyDescent="0.25">
      <c r="B11" s="16" t="s">
        <v>57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COUNTA(Septembre[[#This Row],[1]:[30]])</f>
        <v>0</v>
      </c>
    </row>
    <row r="12" spans="2:34" ht="30" customHeight="1" x14ac:dyDescent="0.25">
      <c r="B12" s="20" t="str">
        <f>NomMois&amp;" Total"</f>
        <v>Septembre Total</v>
      </c>
      <c r="C12" s="12">
        <f>SUBTOTAL(103,Septembre[1])</f>
        <v>0</v>
      </c>
      <c r="D12" s="12">
        <f>SUBTOTAL(103,Septembre[2])</f>
        <v>0</v>
      </c>
      <c r="E12" s="12">
        <f>SUBTOTAL(103,Septembre[3])</f>
        <v>0</v>
      </c>
      <c r="F12" s="12">
        <f>SUBTOTAL(103,Septembre[4])</f>
        <v>0</v>
      </c>
      <c r="G12" s="12">
        <f>SUBTOTAL(103,Septembre[5])</f>
        <v>0</v>
      </c>
      <c r="H12" s="12">
        <f>SUBTOTAL(103,Septembre[6])</f>
        <v>0</v>
      </c>
      <c r="I12" s="12">
        <f>SUBTOTAL(103,Septembre[7])</f>
        <v>0</v>
      </c>
      <c r="J12" s="12">
        <f>SUBTOTAL(103,Septembre[8])</f>
        <v>0</v>
      </c>
      <c r="K12" s="12">
        <f>SUBTOTAL(103,Septembre[9])</f>
        <v>0</v>
      </c>
      <c r="L12" s="12">
        <f>SUBTOTAL(103,Septembre[10])</f>
        <v>0</v>
      </c>
      <c r="M12" s="12">
        <f>SUBTOTAL(103,Septembre[11])</f>
        <v>0</v>
      </c>
      <c r="N12" s="12">
        <f>SUBTOTAL(103,Septembre[12])</f>
        <v>0</v>
      </c>
      <c r="O12" s="12">
        <f>SUBTOTAL(103,Septembre[13])</f>
        <v>0</v>
      </c>
      <c r="P12" s="12">
        <f>SUBTOTAL(103,Septembre[14])</f>
        <v>0</v>
      </c>
      <c r="Q12" s="12">
        <f>SUBTOTAL(103,Septembre[15])</f>
        <v>0</v>
      </c>
      <c r="R12" s="12">
        <f>SUBTOTAL(103,Septembre[16])</f>
        <v>0</v>
      </c>
      <c r="S12" s="12">
        <f>SUBTOTAL(103,Septembre[17])</f>
        <v>0</v>
      </c>
      <c r="T12" s="12">
        <f>SUBTOTAL(103,Septembre[18])</f>
        <v>0</v>
      </c>
      <c r="U12" s="12">
        <f>SUBTOTAL(103,Septembre[19])</f>
        <v>0</v>
      </c>
      <c r="V12" s="12">
        <f>SUBTOTAL(103,Septembre[20])</f>
        <v>0</v>
      </c>
      <c r="W12" s="12">
        <f>SUBTOTAL(103,Septembre[21])</f>
        <v>0</v>
      </c>
      <c r="X12" s="12">
        <f>SUBTOTAL(103,Septembre[22])</f>
        <v>0</v>
      </c>
      <c r="Y12" s="12">
        <f>SUBTOTAL(103,Septembre[23])</f>
        <v>0</v>
      </c>
      <c r="Z12" s="12">
        <f>SUBTOTAL(103,Septembre[24])</f>
        <v>0</v>
      </c>
      <c r="AA12" s="12">
        <f>SUBTOTAL(103,Septembre[25])</f>
        <v>0</v>
      </c>
      <c r="AB12" s="12">
        <f>SUBTOTAL(103,Septembre[26])</f>
        <v>0</v>
      </c>
      <c r="AC12" s="12">
        <f>SUBTOTAL(103,Septembre[27])</f>
        <v>0</v>
      </c>
      <c r="AD12" s="12">
        <f>SUBTOTAL(103,Septembre[28])</f>
        <v>0</v>
      </c>
      <c r="AE12" s="12">
        <f>SUBTOTAL(103,Septembre[29])</f>
        <v>0</v>
      </c>
      <c r="AF12" s="12">
        <f>SUBTOTAL(103,Septembre[30])</f>
        <v>0</v>
      </c>
      <c r="AG12" s="12">
        <f>SUBTOTAL(103,Septembre[[ ]])</f>
        <v>0</v>
      </c>
      <c r="AH12" s="12">
        <f>SUBTOTAL(109,Septembre[Total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107" priority="2" stopIfTrue="1">
      <formula>C7=CléPersonnalisée2</formula>
    </cfRule>
    <cfRule type="expression" dxfId="106" priority="3" stopIfTrue="1">
      <formula>C7=CléPersonnalisée1</formula>
    </cfRule>
    <cfRule type="expression" dxfId="105" priority="4" stopIfTrue="1">
      <formula>C7=CléMaladie</formula>
    </cfRule>
    <cfRule type="expression" dxfId="104" priority="5" stopIfTrue="1">
      <formula>C7=CléPersonnel</formula>
    </cfRule>
    <cfRule type="expression" dxfId="103" priority="6" stopIfTrue="1">
      <formula>C7=CléPrésence</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{1A021984-06A1-41D9-90D2-8C16E885020B}</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8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800-000001000000}"/>
    <dataValidation allowBlank="1" showInputMessage="1" showErrorMessage="1" prompt="Cette ligne définit les clés utilisées dans le tableau : Congé en C2, Personnel en F2 et Congé maladie en J2. Les cellules M2 et R2 sont personnalisables" sqref="B2" xr:uid="{00000000-0002-0000-0800-000002000000}"/>
    <dataValidation allowBlank="1" showInputMessage="1" showErrorMessage="1" prompt="Entrez une étiquette pour décrire la clé personnalisée à gauche" sqref="N2 S2" xr:uid="{00000000-0002-0000-0800-000003000000}"/>
    <dataValidation allowBlank="1" showInputMessage="1" showErrorMessage="1" prompt="Entrez une lettre et personnalisez l’étiquette à droite pour ajouter un élément de clé" sqref="M2 R2" xr:uid="{00000000-0002-0000-0800-000004000000}"/>
    <dataValidation allowBlank="1" showInputMessage="1" showErrorMessage="1" prompt="La lettre « M » indique une absence pour cause de maladie" sqref="J2" xr:uid="{00000000-0002-0000-0800-000005000000}"/>
    <dataValidation allowBlank="1" showInputMessage="1" showErrorMessage="1" prompt="La lettre « P » indique une absence pour motifs personnels" sqref="F2" xr:uid="{00000000-0002-0000-0800-000006000000}"/>
    <dataValidation allowBlank="1" showInputMessage="1" showErrorMessage="1" prompt="La lettre « C » indique une absence pour cause de congé" sqref="C2" xr:uid="{00000000-0002-0000-0800-000007000000}"/>
    <dataValidation allowBlank="1" showInputMessage="1" showErrorMessage="1" prompt="Le titre mis à jour automatiquement figure dans cette cellule. Pour modifier le titre, mettez à jour la cellule B1 de la feuille de calcul Janvier" sqref="B1" xr:uid="{00000000-0002-0000-08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800-000009000000}"/>
    <dataValidation allowBlank="1" showInputMessage="1" showErrorMessage="1" prompt="Suivez les absences du mois de septembre dans cette feuille de calcul" sqref="A1" xr:uid="{00000000-0002-0000-0800-00000A000000}"/>
    <dataValidation allowBlank="1" showInputMessage="1" showErrorMessage="1" prompt="Calcule automatiquement le nombre total de jours d’absence d’un employé durant ce mois dans cette colonne" sqref="AH6" xr:uid="{00000000-0002-0000-0800-00000B000000}"/>
    <dataValidation allowBlank="1" showInputMessage="1" showErrorMessage="1" prompt="Année mise à jour automatiquement en fonction de l’année entrée dans la feuille de calcul Janvier" sqref="AH4" xr:uid="{00000000-0002-0000-08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8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A021984-06A1-41D9-90D2-8C16E885020B}">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E000000}">
          <x14:formula1>
            <xm:f>'Noms des stagiaires'!$B$4:$B$8</xm:f>
          </x14:formula1>
          <xm:sqref>B7:B11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AH12"/>
  <sheetViews>
    <sheetView showGridLines="0" zoomScaleNormal="100" workbookViewId="0">
      <selection activeCell="B7" sqref="B7"/>
    </sheetView>
  </sheetViews>
  <sheetFormatPr baseColWidth="10" defaultColWidth="9.140625" defaultRowHeight="30" customHeight="1" x14ac:dyDescent="0.25"/>
  <cols>
    <col min="1" max="1" width="2.7109375" style="10" customWidth="1"/>
    <col min="2" max="2" width="25.7109375" style="10" customWidth="1"/>
    <col min="3" max="8" width="4.7109375" style="10" customWidth="1"/>
    <col min="9" max="9" width="6.7109375" style="10" customWidth="1"/>
    <col min="10" max="33" width="4.7109375" style="10" customWidth="1"/>
    <col min="34" max="34" width="13.5703125" style="10" customWidth="1"/>
    <col min="35" max="35" width="2.7109375" customWidth="1"/>
  </cols>
  <sheetData>
    <row r="1" spans="2:34" ht="50.1" customHeight="1" x14ac:dyDescent="0.25">
      <c r="B1" s="13" t="str">
        <f>Titre_Absence_Employé</f>
        <v>Calendrier des stagiaires - ESAT JACQUEMART</v>
      </c>
    </row>
    <row r="2" spans="2:34" ht="15" customHeight="1" x14ac:dyDescent="0.25">
      <c r="B2" s="18" t="s">
        <v>59</v>
      </c>
      <c r="C2" s="3" t="s">
        <v>5</v>
      </c>
      <c r="D2" s="40" t="s">
        <v>50</v>
      </c>
      <c r="E2" s="41"/>
      <c r="F2" s="4" t="s">
        <v>69</v>
      </c>
      <c r="G2" s="40" t="s">
        <v>67</v>
      </c>
      <c r="H2" s="41"/>
      <c r="I2" s="41"/>
      <c r="J2" s="5" t="s">
        <v>51</v>
      </c>
      <c r="K2" s="40" t="s">
        <v>68</v>
      </c>
      <c r="L2" s="41"/>
      <c r="M2" s="6"/>
      <c r="N2" s="40"/>
      <c r="O2" s="41"/>
      <c r="P2" s="41"/>
      <c r="Q2" s="41"/>
      <c r="R2" s="7"/>
      <c r="S2" s="41"/>
      <c r="T2" s="41"/>
      <c r="U2" s="41"/>
      <c r="V2" s="41"/>
    </row>
    <row r="3" spans="2:34" ht="15" customHeight="1" x14ac:dyDescent="0.25">
      <c r="B3" s="13"/>
    </row>
    <row r="4" spans="2:34" ht="30" customHeight="1" x14ac:dyDescent="0.25">
      <c r="B4" s="11" t="s">
        <v>46</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f>AnnéeCalendrier</f>
        <v>2021</v>
      </c>
    </row>
    <row r="5" spans="2:34" ht="15" customHeight="1" x14ac:dyDescent="0.25">
      <c r="B5" s="11"/>
      <c r="C5" s="1" t="str">
        <f>TEXT(WEEKDAY(DATE(AnnéeCalendrier,10,1),1),"jjj")</f>
        <v>ven</v>
      </c>
      <c r="D5" s="1" t="str">
        <f>TEXT(WEEKDAY(DATE(AnnéeCalendrier,10,2),1),"jjj")</f>
        <v>sam</v>
      </c>
      <c r="E5" s="1" t="str">
        <f>TEXT(WEEKDAY(DATE(AnnéeCalendrier,10,3),1),"jjj")</f>
        <v>dim</v>
      </c>
      <c r="F5" s="1" t="str">
        <f>TEXT(WEEKDAY(DATE(AnnéeCalendrier,10,4),1),"jjj")</f>
        <v>lun</v>
      </c>
      <c r="G5" s="1" t="str">
        <f>TEXT(WEEKDAY(DATE(AnnéeCalendrier,10,5),1),"jjj")</f>
        <v>mar</v>
      </c>
      <c r="H5" s="1" t="str">
        <f>TEXT(WEEKDAY(DATE(AnnéeCalendrier,10,6),1),"jjj")</f>
        <v>mer</v>
      </c>
      <c r="I5" s="1" t="str">
        <f>TEXT(WEEKDAY(DATE(AnnéeCalendrier,10,7),1),"jjj")</f>
        <v>jeu</v>
      </c>
      <c r="J5" s="1" t="str">
        <f>TEXT(WEEKDAY(DATE(AnnéeCalendrier,10,8),1),"jjj")</f>
        <v>ven</v>
      </c>
      <c r="K5" s="1" t="str">
        <f>TEXT(WEEKDAY(DATE(AnnéeCalendrier,10,9),1),"jjj")</f>
        <v>sam</v>
      </c>
      <c r="L5" s="1" t="str">
        <f>TEXT(WEEKDAY(DATE(AnnéeCalendrier,10,10),1),"jjj")</f>
        <v>dim</v>
      </c>
      <c r="M5" s="1" t="str">
        <f>TEXT(WEEKDAY(DATE(AnnéeCalendrier,10,11),1),"jjj")</f>
        <v>lun</v>
      </c>
      <c r="N5" s="1" t="str">
        <f>TEXT(WEEKDAY(DATE(AnnéeCalendrier,10,12),1),"jjj")</f>
        <v>mar</v>
      </c>
      <c r="O5" s="1" t="str">
        <f>TEXT(WEEKDAY(DATE(AnnéeCalendrier,10,13),1),"jjj")</f>
        <v>mer</v>
      </c>
      <c r="P5" s="1" t="str">
        <f>TEXT(WEEKDAY(DATE(AnnéeCalendrier,10,14),1),"jjj")</f>
        <v>jeu</v>
      </c>
      <c r="Q5" s="1" t="str">
        <f>TEXT(WEEKDAY(DATE(AnnéeCalendrier,10,15),1),"jjj")</f>
        <v>ven</v>
      </c>
      <c r="R5" s="1" t="str">
        <f>TEXT(WEEKDAY(DATE(AnnéeCalendrier,10,16),1),"jjj")</f>
        <v>sam</v>
      </c>
      <c r="S5" s="1" t="str">
        <f>TEXT(WEEKDAY(DATE(AnnéeCalendrier,10,17),1),"jjj")</f>
        <v>dim</v>
      </c>
      <c r="T5" s="1" t="str">
        <f>TEXT(WEEKDAY(DATE(AnnéeCalendrier,10,18),1),"jjj")</f>
        <v>lun</v>
      </c>
      <c r="U5" s="1" t="str">
        <f>TEXT(WEEKDAY(DATE(AnnéeCalendrier,10,19),1),"jjj")</f>
        <v>mar</v>
      </c>
      <c r="V5" s="1" t="str">
        <f>TEXT(WEEKDAY(DATE(AnnéeCalendrier,10,20),1),"jjj")</f>
        <v>mer</v>
      </c>
      <c r="W5" s="1" t="str">
        <f>TEXT(WEEKDAY(DATE(AnnéeCalendrier,10,21),1),"jjj")</f>
        <v>jeu</v>
      </c>
      <c r="X5" s="1" t="str">
        <f>TEXT(WEEKDAY(DATE(AnnéeCalendrier,10,22),1),"jjj")</f>
        <v>ven</v>
      </c>
      <c r="Y5" s="1" t="str">
        <f>TEXT(WEEKDAY(DATE(AnnéeCalendrier,10,23),1),"jjj")</f>
        <v>sam</v>
      </c>
      <c r="Z5" s="1" t="str">
        <f>TEXT(WEEKDAY(DATE(AnnéeCalendrier,10,24),1),"jjj")</f>
        <v>dim</v>
      </c>
      <c r="AA5" s="1" t="str">
        <f>TEXT(WEEKDAY(DATE(AnnéeCalendrier,10,25),1),"jjj")</f>
        <v>lun</v>
      </c>
      <c r="AB5" s="1" t="str">
        <f>TEXT(WEEKDAY(DATE(AnnéeCalendrier,10,26),1),"jjj")</f>
        <v>mar</v>
      </c>
      <c r="AC5" s="1" t="str">
        <f>TEXT(WEEKDAY(DATE(AnnéeCalendrier,10,27),1),"jjj")</f>
        <v>mer</v>
      </c>
      <c r="AD5" s="1" t="str">
        <f>TEXT(WEEKDAY(DATE(AnnéeCalendrier,10,28),1),"jjj")</f>
        <v>jeu</v>
      </c>
      <c r="AE5" s="1" t="str">
        <f>TEXT(WEEKDAY(DATE(AnnéeCalendrier,10,29),1),"jjj")</f>
        <v>ven</v>
      </c>
      <c r="AF5" s="1" t="str">
        <f>TEXT(WEEKDAY(DATE(AnnéeCalendrier,10,30),1),"jjj")</f>
        <v>sam</v>
      </c>
      <c r="AG5" s="1" t="str">
        <f>TEXT(WEEKDAY(DATE(AnnéeCalendrier,10,31),1),"jjj")</f>
        <v>dim</v>
      </c>
      <c r="AH5" s="11"/>
    </row>
    <row r="6" spans="2:34"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32</v>
      </c>
      <c r="AG6" s="2" t="s">
        <v>33</v>
      </c>
      <c r="AH6" s="15" t="s">
        <v>35</v>
      </c>
    </row>
    <row r="7" spans="2:34" ht="30" customHeight="1" x14ac:dyDescent="0.25">
      <c r="B7" s="16" t="s">
        <v>73</v>
      </c>
      <c r="C7" s="2"/>
      <c r="D7" s="2"/>
      <c r="E7" s="2"/>
      <c r="F7" s="2"/>
      <c r="G7" s="2"/>
      <c r="H7" s="2"/>
      <c r="I7" s="2"/>
      <c r="J7" s="2"/>
      <c r="K7" s="2"/>
      <c r="L7" s="2"/>
      <c r="M7" s="2" t="s">
        <v>66</v>
      </c>
      <c r="N7" s="2" t="s">
        <v>66</v>
      </c>
      <c r="O7" s="2" t="s">
        <v>66</v>
      </c>
      <c r="P7" s="2" t="s">
        <v>66</v>
      </c>
      <c r="Q7" s="2" t="s">
        <v>66</v>
      </c>
      <c r="R7" s="2"/>
      <c r="S7" s="2"/>
      <c r="T7" s="2"/>
      <c r="U7" s="2"/>
      <c r="V7" s="2"/>
      <c r="W7" s="2"/>
      <c r="X7" s="2"/>
      <c r="Y7" s="2"/>
      <c r="Z7" s="2"/>
      <c r="AA7" s="2"/>
      <c r="AB7" s="2"/>
      <c r="AC7" s="2"/>
      <c r="AD7" s="2"/>
      <c r="AE7" s="2"/>
      <c r="AF7" s="2"/>
      <c r="AG7" s="2"/>
      <c r="AH7" s="9">
        <f>COUNTA(Octobre[[#This Row],[1]:[31]])</f>
        <v>5</v>
      </c>
    </row>
    <row r="8" spans="2:34" ht="30" customHeight="1" x14ac:dyDescent="0.25">
      <c r="B8" s="16" t="s">
        <v>54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COUNTA(Octobre[[#This Row],[1]:[31]])</f>
        <v>0</v>
      </c>
    </row>
    <row r="9" spans="2:34" ht="30" customHeight="1" x14ac:dyDescent="0.25">
      <c r="B9" s="16" t="s">
        <v>55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COUNTA(Octobre[[#This Row],[1]:[31]])</f>
        <v>0</v>
      </c>
    </row>
    <row r="10" spans="2:34" ht="30" customHeight="1" x14ac:dyDescent="0.25">
      <c r="B10" s="16" t="s">
        <v>56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COUNTA(Octobre[[#This Row],[1]:[31]])</f>
        <v>0</v>
      </c>
    </row>
    <row r="11" spans="2:34" ht="30" customHeight="1" x14ac:dyDescent="0.25">
      <c r="B11" s="16" t="s">
        <v>56</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COUNTA(Octobre[[#This Row],[1]:[31]])</f>
        <v>0</v>
      </c>
    </row>
    <row r="12" spans="2:34" ht="30" customHeight="1" x14ac:dyDescent="0.25">
      <c r="B12" s="20" t="str">
        <f>NomMois&amp;" Total"</f>
        <v>Octobre Total</v>
      </c>
      <c r="C12" s="12">
        <f>SUBTOTAL(103,Octobre[1])</f>
        <v>0</v>
      </c>
      <c r="D12" s="12">
        <f>SUBTOTAL(103,Octobre[2])</f>
        <v>0</v>
      </c>
      <c r="E12" s="12">
        <f>SUBTOTAL(103,Octobre[3])</f>
        <v>0</v>
      </c>
      <c r="F12" s="12">
        <f>SUBTOTAL(103,Octobre[4])</f>
        <v>0</v>
      </c>
      <c r="G12" s="12">
        <f>SUBTOTAL(103,Octobre[5])</f>
        <v>0</v>
      </c>
      <c r="H12" s="12">
        <f>SUBTOTAL(103,Octobre[6])</f>
        <v>0</v>
      </c>
      <c r="I12" s="12">
        <f>SUBTOTAL(103,Octobre[7])</f>
        <v>0</v>
      </c>
      <c r="J12" s="12">
        <f>SUBTOTAL(103,Octobre[8])</f>
        <v>0</v>
      </c>
      <c r="K12" s="12">
        <f>SUBTOTAL(103,Octobre[9])</f>
        <v>0</v>
      </c>
      <c r="L12" s="12">
        <f>SUBTOTAL(103,Octobre[10])</f>
        <v>0</v>
      </c>
      <c r="M12" s="12">
        <f>SUBTOTAL(103,Octobre[11])</f>
        <v>1</v>
      </c>
      <c r="N12" s="12">
        <f>SUBTOTAL(103,Octobre[12])</f>
        <v>1</v>
      </c>
      <c r="O12" s="12">
        <f>SUBTOTAL(103,Octobre[13])</f>
        <v>1</v>
      </c>
      <c r="P12" s="12">
        <f>SUBTOTAL(103,Octobre[14])</f>
        <v>1</v>
      </c>
      <c r="Q12" s="12">
        <f>SUBTOTAL(103,Octobre[15])</f>
        <v>1</v>
      </c>
      <c r="R12" s="12">
        <f>SUBTOTAL(103,Octobre[16])</f>
        <v>0</v>
      </c>
      <c r="S12" s="12">
        <f>SUBTOTAL(103,Octobre[17])</f>
        <v>0</v>
      </c>
      <c r="T12" s="12">
        <f>SUBTOTAL(103,Octobre[18])</f>
        <v>0</v>
      </c>
      <c r="U12" s="12">
        <f>SUBTOTAL(103,Octobre[19])</f>
        <v>0</v>
      </c>
      <c r="V12" s="12">
        <f>SUBTOTAL(103,Octobre[20])</f>
        <v>0</v>
      </c>
      <c r="W12" s="12">
        <f>SUBTOTAL(103,Octobre[21])</f>
        <v>0</v>
      </c>
      <c r="X12" s="12">
        <f>SUBTOTAL(103,Octobre[22])</f>
        <v>0</v>
      </c>
      <c r="Y12" s="12">
        <f>SUBTOTAL(103,Octobre[23])</f>
        <v>0</v>
      </c>
      <c r="Z12" s="12">
        <f>SUBTOTAL(103,Octobre[24])</f>
        <v>0</v>
      </c>
      <c r="AA12" s="12">
        <f>SUBTOTAL(103,Octobre[25])</f>
        <v>0</v>
      </c>
      <c r="AB12" s="12">
        <f>SUBTOTAL(103,Octobre[26])</f>
        <v>0</v>
      </c>
      <c r="AC12" s="12">
        <f>SUBTOTAL(103,Octobre[27])</f>
        <v>0</v>
      </c>
      <c r="AD12" s="12">
        <f>SUBTOTAL(103,Octobre[28])</f>
        <v>0</v>
      </c>
      <c r="AE12" s="12">
        <f>SUBTOTAL(103,Octobre[29])</f>
        <v>0</v>
      </c>
      <c r="AF12" s="12">
        <f>SUBTOTAL(103,Octobre[30])</f>
        <v>0</v>
      </c>
      <c r="AG12" s="12">
        <f>SUBTOTAL(103,Octobre[31])</f>
        <v>0</v>
      </c>
      <c r="AH12" s="12">
        <f>SUBTOTAL(109,Octobre[Total des jours])</f>
        <v>5</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102" priority="2" stopIfTrue="1">
      <formula>C7=CléPersonnalisée2</formula>
    </cfRule>
    <cfRule type="expression" dxfId="101" priority="3" stopIfTrue="1">
      <formula>C7=CléPersonnalisée1</formula>
    </cfRule>
    <cfRule type="expression" dxfId="100" priority="4" stopIfTrue="1">
      <formula>C7=CléMaladie</formula>
    </cfRule>
    <cfRule type="expression" dxfId="99" priority="5" stopIfTrue="1">
      <formula>C7=CléPersonnel</formula>
    </cfRule>
    <cfRule type="expression" dxfId="98" priority="6" stopIfTrue="1">
      <formula>C7=CléPrésence</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{F32A08EA-50E8-4B5F-AB1F-5A7739FBC16C}</x14:id>
        </ext>
      </extLst>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900-000000000000}"/>
    <dataValidation allowBlank="1" showInputMessage="1" showErrorMessage="1" prompt="Année mise à jour automatiquement en fonction de l’année entrée dans la feuille de calcul Janvier" sqref="AH4" xr:uid="{00000000-0002-0000-0900-000001000000}"/>
    <dataValidation allowBlank="1" showInputMessage="1" showErrorMessage="1" prompt="Calcule automatiquement le nombre total de jours d’absence d’un employé durant ce mois dans cette colonne" sqref="AH6" xr:uid="{00000000-0002-0000-0900-000002000000}"/>
    <dataValidation allowBlank="1" showInputMessage="1" showErrorMessage="1" prompt="Suivez les absences du mois d’octobre dans cette feuille de calcul" sqref="A1" xr:uid="{00000000-0002-0000-09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900-000004000000}"/>
    <dataValidation allowBlank="1" showInputMessage="1" showErrorMessage="1" prompt="Le titre mis à jour automatiquement figure dans cette cellule. Pour modifier le titre, mettez à jour la cellule B1 de la feuille de calcul Janvier" sqref="B1" xr:uid="{00000000-0002-0000-0900-000005000000}"/>
    <dataValidation allowBlank="1" showInputMessage="1" showErrorMessage="1" prompt="La lettre « C » indique une absence pour cause de congé" sqref="C2" xr:uid="{00000000-0002-0000-0900-000006000000}"/>
    <dataValidation allowBlank="1" showInputMessage="1" showErrorMessage="1" prompt="La lettre « P » indique une absence pour motifs personnels" sqref="F2" xr:uid="{00000000-0002-0000-0900-000007000000}"/>
    <dataValidation allowBlank="1" showInputMessage="1" showErrorMessage="1" prompt="La lettre « M » indique une absence pour cause de maladie" sqref="J2" xr:uid="{00000000-0002-0000-0900-000008000000}"/>
    <dataValidation allowBlank="1" showInputMessage="1" showErrorMessage="1" prompt="Entrez une lettre et personnalisez l’étiquette à droite pour ajouter un élément de clé" sqref="M2 R2" xr:uid="{00000000-0002-0000-0900-000009000000}"/>
    <dataValidation allowBlank="1" showInputMessage="1" showErrorMessage="1" prompt="Entrez une étiquette pour décrire la clé personnalisée à gauche" sqref="N2 S2" xr:uid="{00000000-0002-0000-0900-00000A000000}"/>
    <dataValidation allowBlank="1" showInputMessage="1" showErrorMessage="1" prompt="Cette ligne définit les clés utilisées dans le tableau : Congé en C2, Personnel en F2 et Congé maladie en J2. Les cellules M2 et R2 sont personnalisables" sqref="B2" xr:uid="{00000000-0002-0000-09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9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9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F32A08EA-50E8-4B5F-AB1F-5A7739FBC16C}">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'Noms des stagiaires'!$B$4:$B$8</xm:f>
          </x14:formula1>
          <xm:sqref>B7:B11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2" tint="-0.249977111117893"/>
  </sheetPr>
  <dimension ref="A1:AH12"/>
  <sheetViews>
    <sheetView showGridLines="0" zoomScaleNormal="100" workbookViewId="0">
      <selection activeCell="B2" sqref="B2:V2"/>
    </sheetView>
  </sheetViews>
  <sheetFormatPr baseColWidth="10" defaultColWidth="9.140625" defaultRowHeight="30" customHeight="1" x14ac:dyDescent="0.25"/>
  <cols>
    <col min="1" max="1" width="2.7109375" style="10" customWidth="1"/>
    <col min="2" max="2" width="25.7109375" style="10" customWidth="1"/>
    <col min="3" max="8" width="4.7109375" style="10" customWidth="1"/>
    <col min="9" max="9" width="6.5703125" style="10" customWidth="1"/>
    <col min="10" max="33" width="4.7109375" style="10" customWidth="1"/>
    <col min="34" max="34" width="13.5703125" style="10" customWidth="1"/>
    <col min="35" max="35" width="2.7109375" customWidth="1"/>
  </cols>
  <sheetData>
    <row r="1" spans="2:34" ht="50.1" customHeight="1" x14ac:dyDescent="0.25">
      <c r="B1" s="13" t="str">
        <f>Titre_Absence_Employé</f>
        <v>Calendrier des stagiaires - ESAT JACQUEMART</v>
      </c>
    </row>
    <row r="2" spans="2:34" ht="15" customHeight="1" x14ac:dyDescent="0.25">
      <c r="B2" s="18" t="s">
        <v>59</v>
      </c>
      <c r="C2" s="3" t="s">
        <v>5</v>
      </c>
      <c r="D2" s="40" t="s">
        <v>50</v>
      </c>
      <c r="E2" s="41"/>
      <c r="F2" s="4" t="s">
        <v>69</v>
      </c>
      <c r="G2" s="40" t="s">
        <v>67</v>
      </c>
      <c r="H2" s="41"/>
      <c r="I2" s="41"/>
      <c r="J2" s="5" t="s">
        <v>51</v>
      </c>
      <c r="K2" s="40" t="s">
        <v>68</v>
      </c>
      <c r="L2" s="41"/>
      <c r="M2" s="6"/>
      <c r="N2" s="40"/>
      <c r="O2" s="41"/>
      <c r="P2" s="41"/>
      <c r="Q2" s="41"/>
      <c r="R2" s="7"/>
      <c r="S2" s="41"/>
      <c r="T2" s="41"/>
      <c r="U2" s="41"/>
      <c r="V2" s="41"/>
    </row>
    <row r="3" spans="2:34" ht="15" customHeight="1" x14ac:dyDescent="0.25">
      <c r="B3" s="13"/>
    </row>
    <row r="4" spans="2:34" ht="30" customHeight="1" x14ac:dyDescent="0.25">
      <c r="B4" s="11" t="s">
        <v>47</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f>AnnéeCalendrier</f>
        <v>2021</v>
      </c>
    </row>
    <row r="5" spans="2:34" ht="15" customHeight="1" x14ac:dyDescent="0.25">
      <c r="B5" s="11"/>
      <c r="C5" s="1" t="str">
        <f>TEXT(WEEKDAY(DATE(AnnéeCalendrier,11,1),1),"jjj")</f>
        <v>lun</v>
      </c>
      <c r="D5" s="1" t="str">
        <f>TEXT(WEEKDAY(DATE(AnnéeCalendrier,11,2),1),"jjj")</f>
        <v>mar</v>
      </c>
      <c r="E5" s="1" t="str">
        <f>TEXT(WEEKDAY(DATE(AnnéeCalendrier,11,3),1),"jjj")</f>
        <v>mer</v>
      </c>
      <c r="F5" s="1" t="str">
        <f>TEXT(WEEKDAY(DATE(AnnéeCalendrier,11,4),1),"jjj")</f>
        <v>jeu</v>
      </c>
      <c r="G5" s="1" t="str">
        <f>TEXT(WEEKDAY(DATE(AnnéeCalendrier,11,5),1),"jjj")</f>
        <v>ven</v>
      </c>
      <c r="H5" s="1" t="str">
        <f>TEXT(WEEKDAY(DATE(AnnéeCalendrier,11,6),1),"jjj")</f>
        <v>sam</v>
      </c>
      <c r="I5" s="1" t="str">
        <f>TEXT(WEEKDAY(DATE(AnnéeCalendrier,11,7),1),"jjj")</f>
        <v>dim</v>
      </c>
      <c r="J5" s="1" t="str">
        <f>TEXT(WEEKDAY(DATE(AnnéeCalendrier,11,8),1),"jjj")</f>
        <v>lun</v>
      </c>
      <c r="K5" s="1" t="str">
        <f>TEXT(WEEKDAY(DATE(AnnéeCalendrier,11,9),1),"jjj")</f>
        <v>mar</v>
      </c>
      <c r="L5" s="1" t="str">
        <f>TEXT(WEEKDAY(DATE(AnnéeCalendrier,11,10),1),"jjj")</f>
        <v>mer</v>
      </c>
      <c r="M5" s="1" t="str">
        <f>TEXT(WEEKDAY(DATE(AnnéeCalendrier,11,11),1),"jjj")</f>
        <v>jeu</v>
      </c>
      <c r="N5" s="1" t="str">
        <f>TEXT(WEEKDAY(DATE(AnnéeCalendrier,11,12),1),"jjj")</f>
        <v>ven</v>
      </c>
      <c r="O5" s="1" t="str">
        <f>TEXT(WEEKDAY(DATE(AnnéeCalendrier,11,13),1),"jjj")</f>
        <v>sam</v>
      </c>
      <c r="P5" s="1" t="str">
        <f>TEXT(WEEKDAY(DATE(AnnéeCalendrier,11,14),1),"jjj")</f>
        <v>dim</v>
      </c>
      <c r="Q5" s="1" t="str">
        <f>TEXT(WEEKDAY(DATE(AnnéeCalendrier,11,15),1),"jjj")</f>
        <v>lun</v>
      </c>
      <c r="R5" s="1" t="str">
        <f>TEXT(WEEKDAY(DATE(AnnéeCalendrier,11,16),1),"jjj")</f>
        <v>mar</v>
      </c>
      <c r="S5" s="1" t="str">
        <f>TEXT(WEEKDAY(DATE(AnnéeCalendrier,11,17),1),"jjj")</f>
        <v>mer</v>
      </c>
      <c r="T5" s="1" t="str">
        <f>TEXT(WEEKDAY(DATE(AnnéeCalendrier,11,18),1),"jjj")</f>
        <v>jeu</v>
      </c>
      <c r="U5" s="1" t="str">
        <f>TEXT(WEEKDAY(DATE(AnnéeCalendrier,11,19),1),"jjj")</f>
        <v>ven</v>
      </c>
      <c r="V5" s="1" t="str">
        <f>TEXT(WEEKDAY(DATE(AnnéeCalendrier,11,20),1),"jjj")</f>
        <v>sam</v>
      </c>
      <c r="W5" s="1" t="str">
        <f>TEXT(WEEKDAY(DATE(AnnéeCalendrier,11,21),1),"jjj")</f>
        <v>dim</v>
      </c>
      <c r="X5" s="1" t="str">
        <f>TEXT(WEEKDAY(DATE(AnnéeCalendrier,11,22),1),"jjj")</f>
        <v>lun</v>
      </c>
      <c r="Y5" s="1" t="str">
        <f>TEXT(WEEKDAY(DATE(AnnéeCalendrier,11,23),1),"jjj")</f>
        <v>mar</v>
      </c>
      <c r="Z5" s="1" t="str">
        <f>TEXT(WEEKDAY(DATE(AnnéeCalendrier,11,24),1),"jjj")</f>
        <v>mer</v>
      </c>
      <c r="AA5" s="1" t="str">
        <f>TEXT(WEEKDAY(DATE(AnnéeCalendrier,11,25),1),"jjj")</f>
        <v>jeu</v>
      </c>
      <c r="AB5" s="1" t="str">
        <f>TEXT(WEEKDAY(DATE(AnnéeCalendrier,11,26),1),"jjj")</f>
        <v>ven</v>
      </c>
      <c r="AC5" s="1" t="str">
        <f>TEXT(WEEKDAY(DATE(AnnéeCalendrier,11,27),1),"jjj")</f>
        <v>sam</v>
      </c>
      <c r="AD5" s="1" t="str">
        <f>TEXT(WEEKDAY(DATE(AnnéeCalendrier,11,28),1),"jjj")</f>
        <v>dim</v>
      </c>
      <c r="AE5" s="1" t="str">
        <f>TEXT(WEEKDAY(DATE(AnnéeCalendrier,11,29),1),"jjj")</f>
        <v>lun</v>
      </c>
      <c r="AF5" s="1" t="str">
        <f>TEXT(WEEKDAY(DATE(AnnéeCalendrier,11,30),1),"jjj")</f>
        <v>mar</v>
      </c>
      <c r="AG5" s="1"/>
      <c r="AH5" s="11"/>
    </row>
    <row r="6" spans="2:34"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32</v>
      </c>
      <c r="AG6" s="2" t="s">
        <v>37</v>
      </c>
      <c r="AH6" s="15" t="s">
        <v>35</v>
      </c>
    </row>
    <row r="7" spans="2:34" ht="30" customHeight="1" x14ac:dyDescent="0.25">
      <c r="B7" s="16" t="s">
        <v>60</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COUNTA(Novembre[[#This Row],[1]:[30]])</f>
        <v>0</v>
      </c>
    </row>
    <row r="8" spans="2:34" ht="30" customHeight="1" x14ac:dyDescent="0.25">
      <c r="B8" s="16" t="s">
        <v>54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COUNTA(Novembre[[#This Row],[1]:[30]])</f>
        <v>0</v>
      </c>
    </row>
    <row r="9" spans="2:34" ht="30" customHeight="1" x14ac:dyDescent="0.25">
      <c r="B9" s="16" t="s">
        <v>55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COUNTA(Novembre[[#This Row],[1]:[30]])</f>
        <v>0</v>
      </c>
    </row>
    <row r="10" spans="2:34" ht="30" customHeight="1" x14ac:dyDescent="0.25">
      <c r="B10" s="16" t="s">
        <v>56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COUNTA(Novembre[[#This Row],[1]:[30]])</f>
        <v>0</v>
      </c>
    </row>
    <row r="11" spans="2:34" ht="30" customHeight="1" x14ac:dyDescent="0.25">
      <c r="B11" s="16" t="s">
        <v>57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COUNTA(Novembre[[#This Row],[1]:[30]])</f>
        <v>0</v>
      </c>
    </row>
    <row r="12" spans="2:34" ht="30" customHeight="1" x14ac:dyDescent="0.25">
      <c r="B12" s="20" t="str">
        <f>NomMois&amp;" Total"</f>
        <v>Novembre Total</v>
      </c>
      <c r="C12" s="12">
        <f>SUBTOTAL(103,Novembre[1])</f>
        <v>0</v>
      </c>
      <c r="D12" s="12">
        <f>SUBTOTAL(103,Novembre[2])</f>
        <v>0</v>
      </c>
      <c r="E12" s="12">
        <f>SUBTOTAL(103,Novembre[3])</f>
        <v>0</v>
      </c>
      <c r="F12" s="12">
        <f>SUBTOTAL(103,Novembre[4])</f>
        <v>0</v>
      </c>
      <c r="G12" s="12">
        <f>SUBTOTAL(103,Novembre[5])</f>
        <v>0</v>
      </c>
      <c r="H12" s="12">
        <f>SUBTOTAL(103,Novembre[6])</f>
        <v>0</v>
      </c>
      <c r="I12" s="12">
        <f>SUBTOTAL(103,Novembre[7])</f>
        <v>0</v>
      </c>
      <c r="J12" s="12">
        <f>SUBTOTAL(103,Novembre[8])</f>
        <v>0</v>
      </c>
      <c r="K12" s="12">
        <f>SUBTOTAL(103,Novembre[9])</f>
        <v>0</v>
      </c>
      <c r="L12" s="12">
        <f>SUBTOTAL(103,Novembre[10])</f>
        <v>0</v>
      </c>
      <c r="M12" s="12">
        <f>SUBTOTAL(103,Novembre[11])</f>
        <v>0</v>
      </c>
      <c r="N12" s="12">
        <f>SUBTOTAL(103,Novembre[12])</f>
        <v>0</v>
      </c>
      <c r="O12" s="12">
        <f>SUBTOTAL(103,Novembre[13])</f>
        <v>0</v>
      </c>
      <c r="P12" s="12">
        <f>SUBTOTAL(103,Novembre[14])</f>
        <v>0</v>
      </c>
      <c r="Q12" s="12">
        <f>SUBTOTAL(103,Novembre[15])</f>
        <v>0</v>
      </c>
      <c r="R12" s="12">
        <f>SUBTOTAL(103,Novembre[16])</f>
        <v>0</v>
      </c>
      <c r="S12" s="12">
        <f>SUBTOTAL(103,Novembre[17])</f>
        <v>0</v>
      </c>
      <c r="T12" s="12">
        <f>SUBTOTAL(103,Novembre[18])</f>
        <v>0</v>
      </c>
      <c r="U12" s="12">
        <f>SUBTOTAL(103,Novembre[19])</f>
        <v>0</v>
      </c>
      <c r="V12" s="12">
        <f>SUBTOTAL(103,Novembre[20])</f>
        <v>0</v>
      </c>
      <c r="W12" s="12">
        <f>SUBTOTAL(103,Novembre[21])</f>
        <v>0</v>
      </c>
      <c r="X12" s="12">
        <f>SUBTOTAL(103,Novembre[22])</f>
        <v>0</v>
      </c>
      <c r="Y12" s="12">
        <f>SUBTOTAL(103,Novembre[23])</f>
        <v>0</v>
      </c>
      <c r="Z12" s="12">
        <f>SUBTOTAL(103,Novembre[24])</f>
        <v>0</v>
      </c>
      <c r="AA12" s="12">
        <f>SUBTOTAL(103,Novembre[25])</f>
        <v>0</v>
      </c>
      <c r="AB12" s="12">
        <f>SUBTOTAL(103,Novembre[26])</f>
        <v>0</v>
      </c>
      <c r="AC12" s="12">
        <f>SUBTOTAL(103,Novembre[27])</f>
        <v>0</v>
      </c>
      <c r="AD12" s="12">
        <f>SUBTOTAL(103,Novembre[28])</f>
        <v>0</v>
      </c>
      <c r="AE12" s="12">
        <f>SUBTOTAL(103,Novembre[29])</f>
        <v>0</v>
      </c>
      <c r="AF12" s="12">
        <f>SUBTOTAL(103,Novembre[30])</f>
        <v>0</v>
      </c>
      <c r="AG12" s="12">
        <f>SUBTOTAL(103,Novembre[[ ]])</f>
        <v>0</v>
      </c>
      <c r="AH12" s="12">
        <f>SUBTOTAL(109,Novembre[Total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97" priority="2" stopIfTrue="1">
      <formula>C7=CléPersonnalisée2</formula>
    </cfRule>
    <cfRule type="expression" dxfId="96" priority="3" stopIfTrue="1">
      <formula>C7=CléPersonnalisée1</formula>
    </cfRule>
    <cfRule type="expression" dxfId="95" priority="4" stopIfTrue="1">
      <formula>C7=CléMaladie</formula>
    </cfRule>
    <cfRule type="expression" dxfId="94" priority="5" stopIfTrue="1">
      <formula>C7=CléPersonnel</formula>
    </cfRule>
    <cfRule type="expression" dxfId="93" priority="6" stopIfTrue="1">
      <formula>C7=CléPrésence</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{27D92E49-5CF1-46DF-AD7A-3A5E92F274F3}</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A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A00-000001000000}"/>
    <dataValidation allowBlank="1" showInputMessage="1" showErrorMessage="1" prompt="Cette ligne définit les clés utilisées dans le tableau : Congé en C2, Personnel en F2 et Congé maladie en J2. Les cellules M2 et R2 sont personnalisables" sqref="B2" xr:uid="{00000000-0002-0000-0A00-000002000000}"/>
    <dataValidation allowBlank="1" showInputMessage="1" showErrorMessage="1" prompt="Entrez une étiquette pour décrire la clé personnalisée à gauche" sqref="N2 S2" xr:uid="{00000000-0002-0000-0A00-000003000000}"/>
    <dataValidation allowBlank="1" showInputMessage="1" showErrorMessage="1" prompt="Entrez une lettre et personnalisez l’étiquette à droite pour ajouter un élément de clé" sqref="M2 R2" xr:uid="{00000000-0002-0000-0A00-000004000000}"/>
    <dataValidation allowBlank="1" showInputMessage="1" showErrorMessage="1" prompt="La lettre « M » indique une absence pour cause de maladie" sqref="J2" xr:uid="{00000000-0002-0000-0A00-000005000000}"/>
    <dataValidation allowBlank="1" showInputMessage="1" showErrorMessage="1" prompt="La lettre « P » indique une absence pour motifs personnels" sqref="F2" xr:uid="{00000000-0002-0000-0A00-000006000000}"/>
    <dataValidation allowBlank="1" showInputMessage="1" showErrorMessage="1" prompt="La lettre « C » indique une absence pour cause de congé" sqref="C2" xr:uid="{00000000-0002-0000-0A00-000007000000}"/>
    <dataValidation allowBlank="1" showInputMessage="1" showErrorMessage="1" prompt="Le titre mis à jour automatiquement figure dans cette cellule. Pour modifier le titre, mettez à jour la cellule B1 de la feuille de calcul Janvier" sqref="B1" xr:uid="{00000000-0002-0000-0A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A00-000009000000}"/>
    <dataValidation allowBlank="1" showInputMessage="1" showErrorMessage="1" prompt="Suivez les absences du mois de novembre dans cette feuille de calcul" sqref="A1" xr:uid="{00000000-0002-0000-0A00-00000A000000}"/>
    <dataValidation allowBlank="1" showInputMessage="1" showErrorMessage="1" prompt="Calcule automatiquement le nombre total de jours d’absence d’un employé durant ce mois dans cette colonne" sqref="AH6" xr:uid="{00000000-0002-0000-0A00-00000B000000}"/>
    <dataValidation allowBlank="1" showInputMessage="1" showErrorMessage="1" prompt="Année mise à jour automatiquement en fonction de l’année entrée dans la feuille de calcul Janvier" sqref="AH4" xr:uid="{00000000-0002-0000-0A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A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27D92E49-5CF1-46DF-AD7A-3A5E92F274F3}">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E000000}">
          <x14:formula1>
            <xm:f>'Noms des stagiaires'!$B$4:$B$8</xm:f>
          </x14:formula1>
          <xm:sqref>B7:B11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7" tint="0.79998168889431442"/>
  </sheetPr>
  <dimension ref="A1:AH12"/>
  <sheetViews>
    <sheetView showGridLines="0" zoomScaleNormal="100" workbookViewId="0">
      <selection activeCell="I9" sqref="I9"/>
    </sheetView>
  </sheetViews>
  <sheetFormatPr baseColWidth="10" defaultColWidth="9.140625" defaultRowHeight="30" customHeight="1" x14ac:dyDescent="0.25"/>
  <cols>
    <col min="1" max="1" width="2.7109375" style="10" customWidth="1"/>
    <col min="2" max="2" width="25.7109375" style="10" customWidth="1"/>
    <col min="3" max="8" width="4.7109375" style="10" customWidth="1"/>
    <col min="9" max="9" width="6.7109375" style="10" customWidth="1"/>
    <col min="10" max="33" width="4.7109375" style="10" customWidth="1"/>
    <col min="34" max="34" width="13.5703125" style="10" customWidth="1"/>
    <col min="35" max="35" width="2.7109375" customWidth="1"/>
  </cols>
  <sheetData>
    <row r="1" spans="2:34" ht="50.1" customHeight="1" x14ac:dyDescent="0.25">
      <c r="B1" s="13" t="str">
        <f>Titre_Absence_Employé</f>
        <v>Calendrier des stagiaires - ESAT JACQUEMART</v>
      </c>
    </row>
    <row r="2" spans="2:34" ht="15" customHeight="1" x14ac:dyDescent="0.25">
      <c r="B2" s="18" t="s">
        <v>59</v>
      </c>
      <c r="C2" s="3" t="s">
        <v>5</v>
      </c>
      <c r="D2" s="40" t="s">
        <v>50</v>
      </c>
      <c r="E2" s="41"/>
      <c r="F2" s="4" t="s">
        <v>69</v>
      </c>
      <c r="G2" s="40" t="s">
        <v>67</v>
      </c>
      <c r="H2" s="41"/>
      <c r="I2" s="41"/>
      <c r="J2" s="5" t="s">
        <v>51</v>
      </c>
      <c r="K2" s="40" t="s">
        <v>68</v>
      </c>
      <c r="L2" s="41"/>
      <c r="M2" s="6"/>
      <c r="N2" s="40"/>
      <c r="O2" s="41"/>
      <c r="P2" s="41"/>
      <c r="Q2" s="41"/>
      <c r="R2" s="7"/>
      <c r="S2" s="41"/>
      <c r="T2" s="41"/>
      <c r="U2" s="41"/>
      <c r="V2" s="41"/>
    </row>
    <row r="3" spans="2:34" ht="15" customHeight="1" x14ac:dyDescent="0.25">
      <c r="B3" s="13"/>
    </row>
    <row r="4" spans="2:34" ht="30" customHeight="1" x14ac:dyDescent="0.25">
      <c r="B4" s="11" t="s">
        <v>48</v>
      </c>
      <c r="C4" s="39" t="s">
        <v>58</v>
      </c>
      <c r="D4" s="39"/>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11">
        <f>AnnéeCalendrier</f>
        <v>2021</v>
      </c>
    </row>
    <row r="5" spans="2:34" ht="15" customHeight="1" x14ac:dyDescent="0.25">
      <c r="B5" s="11"/>
      <c r="C5" s="1" t="str">
        <f>TEXT(WEEKDAY(DATE(AnnéeCalendrier,12,1),1),"jjj")</f>
        <v>mer</v>
      </c>
      <c r="D5" s="1" t="str">
        <f>TEXT(WEEKDAY(DATE(AnnéeCalendrier,12,2),1),"jjj")</f>
        <v>jeu</v>
      </c>
      <c r="E5" s="1" t="str">
        <f>TEXT(WEEKDAY(DATE(AnnéeCalendrier,12,3),1),"jjj")</f>
        <v>ven</v>
      </c>
      <c r="F5" s="1" t="str">
        <f>TEXT(WEEKDAY(DATE(AnnéeCalendrier,12,4),1),"jjj")</f>
        <v>sam</v>
      </c>
      <c r="G5" s="1" t="str">
        <f>TEXT(WEEKDAY(DATE(AnnéeCalendrier,12,5),1),"jjj")</f>
        <v>dim</v>
      </c>
      <c r="H5" s="1" t="str">
        <f>TEXT(WEEKDAY(DATE(AnnéeCalendrier,12,6),1),"jjj")</f>
        <v>lun</v>
      </c>
      <c r="I5" s="1" t="str">
        <f>TEXT(WEEKDAY(DATE(AnnéeCalendrier,12,7),1),"jjj")</f>
        <v>mar</v>
      </c>
      <c r="J5" s="1" t="str">
        <f>TEXT(WEEKDAY(DATE(AnnéeCalendrier,12,8),1),"jjj")</f>
        <v>mer</v>
      </c>
      <c r="K5" s="1" t="str">
        <f>TEXT(WEEKDAY(DATE(AnnéeCalendrier,12,9),1),"jjj")</f>
        <v>jeu</v>
      </c>
      <c r="L5" s="1" t="str">
        <f>TEXT(WEEKDAY(DATE(AnnéeCalendrier,12,10),1),"jjj")</f>
        <v>ven</v>
      </c>
      <c r="M5" s="1" t="str">
        <f>TEXT(WEEKDAY(DATE(AnnéeCalendrier,12,11),1),"jjj")</f>
        <v>sam</v>
      </c>
      <c r="N5" s="1" t="str">
        <f>TEXT(WEEKDAY(DATE(AnnéeCalendrier,12,12),1),"jjj")</f>
        <v>dim</v>
      </c>
      <c r="O5" s="1" t="str">
        <f>TEXT(WEEKDAY(DATE(AnnéeCalendrier,12,13),1),"jjj")</f>
        <v>lun</v>
      </c>
      <c r="P5" s="1" t="str">
        <f>TEXT(WEEKDAY(DATE(AnnéeCalendrier,12,14),1),"jjj")</f>
        <v>mar</v>
      </c>
      <c r="Q5" s="1" t="str">
        <f>TEXT(WEEKDAY(DATE(AnnéeCalendrier,12,15),1),"jjj")</f>
        <v>mer</v>
      </c>
      <c r="R5" s="1" t="str">
        <f>TEXT(WEEKDAY(DATE(AnnéeCalendrier,12,16),1),"jjj")</f>
        <v>jeu</v>
      </c>
      <c r="S5" s="1" t="str">
        <f>TEXT(WEEKDAY(DATE(AnnéeCalendrier,12,17),1),"jjj")</f>
        <v>ven</v>
      </c>
      <c r="T5" s="1" t="str">
        <f>TEXT(WEEKDAY(DATE(AnnéeCalendrier,12,18),1),"jjj")</f>
        <v>sam</v>
      </c>
      <c r="U5" s="1" t="str">
        <f>TEXT(WEEKDAY(DATE(AnnéeCalendrier,12,19),1),"jjj")</f>
        <v>dim</v>
      </c>
      <c r="V5" s="1" t="str">
        <f>TEXT(WEEKDAY(DATE(AnnéeCalendrier,12,20),1),"jjj")</f>
        <v>lun</v>
      </c>
      <c r="W5" s="1" t="str">
        <f>TEXT(WEEKDAY(DATE(AnnéeCalendrier,12,21),1),"jjj")</f>
        <v>mar</v>
      </c>
      <c r="X5" s="1" t="str">
        <f>TEXT(WEEKDAY(DATE(AnnéeCalendrier,12,22),1),"jjj")</f>
        <v>mer</v>
      </c>
      <c r="Y5" s="1" t="str">
        <f>TEXT(WEEKDAY(DATE(AnnéeCalendrier,12,23),1),"jjj")</f>
        <v>jeu</v>
      </c>
      <c r="Z5" s="1" t="str">
        <f>TEXT(WEEKDAY(DATE(AnnéeCalendrier,12,24),1),"jjj")</f>
        <v>ven</v>
      </c>
      <c r="AA5" s="1" t="str">
        <f>TEXT(WEEKDAY(DATE(AnnéeCalendrier,12,25),1),"jjj")</f>
        <v>sam</v>
      </c>
      <c r="AB5" s="1" t="str">
        <f>TEXT(WEEKDAY(DATE(AnnéeCalendrier,12,26),1),"jjj")</f>
        <v>dim</v>
      </c>
      <c r="AC5" s="1" t="str">
        <f>TEXT(WEEKDAY(DATE(AnnéeCalendrier,12,27),1),"jjj")</f>
        <v>lun</v>
      </c>
      <c r="AD5" s="1" t="str">
        <f>TEXT(WEEKDAY(DATE(AnnéeCalendrier,12,28),1),"jjj")</f>
        <v>mar</v>
      </c>
      <c r="AE5" s="1" t="str">
        <f>TEXT(WEEKDAY(DATE(AnnéeCalendrier,12,29),1),"jjj")</f>
        <v>mer</v>
      </c>
      <c r="AF5" s="1" t="str">
        <f>TEXT(WEEKDAY(DATE(AnnéeCalendrier,12,30),1),"jjj")</f>
        <v>jeu</v>
      </c>
      <c r="AG5" s="1" t="str">
        <f>TEXT(WEEKDAY(DATE(AnnéeCalendrier,12,31),1),"jjj")</f>
        <v>ven</v>
      </c>
      <c r="AH5" s="11"/>
    </row>
    <row r="6" spans="2:34"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2" t="s">
        <v>15</v>
      </c>
      <c r="P6" s="2" t="s">
        <v>16</v>
      </c>
      <c r="Q6" s="2" t="s">
        <v>17</v>
      </c>
      <c r="R6" s="2" t="s">
        <v>18</v>
      </c>
      <c r="S6" s="2" t="s">
        <v>19</v>
      </c>
      <c r="T6" s="2" t="s">
        <v>20</v>
      </c>
      <c r="U6" s="2" t="s">
        <v>21</v>
      </c>
      <c r="V6" s="2" t="s">
        <v>22</v>
      </c>
      <c r="W6" s="2" t="s">
        <v>23</v>
      </c>
      <c r="X6" s="2" t="s">
        <v>24</v>
      </c>
      <c r="Y6" s="2" t="s">
        <v>25</v>
      </c>
      <c r="Z6" s="2" t="s">
        <v>26</v>
      </c>
      <c r="AA6" s="2" t="s">
        <v>27</v>
      </c>
      <c r="AB6" s="2" t="s">
        <v>28</v>
      </c>
      <c r="AC6" s="2" t="s">
        <v>29</v>
      </c>
      <c r="AD6" s="2" t="s">
        <v>30</v>
      </c>
      <c r="AE6" s="2" t="s">
        <v>31</v>
      </c>
      <c r="AF6" s="2" t="s">
        <v>32</v>
      </c>
      <c r="AG6" s="2" t="s">
        <v>33</v>
      </c>
      <c r="AH6" s="15" t="s">
        <v>35</v>
      </c>
    </row>
    <row r="7" spans="2:34" ht="30" customHeight="1" x14ac:dyDescent="0.25">
      <c r="B7" s="16" t="s">
        <v>60</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COUNTA(Décembre[[#This Row],[1]:[31]])</f>
        <v>0</v>
      </c>
    </row>
    <row r="8" spans="2:34" ht="30" customHeight="1" x14ac:dyDescent="0.25">
      <c r="B8" s="16" t="s">
        <v>54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COUNTA(Décembre[[#This Row],[1]:[31]])</f>
        <v>0</v>
      </c>
    </row>
    <row r="9" spans="2:34" ht="30" customHeight="1" x14ac:dyDescent="0.25">
      <c r="B9" s="16" t="s">
        <v>55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COUNTA(Décembre[[#This Row],[1]:[31]])</f>
        <v>0</v>
      </c>
    </row>
    <row r="10" spans="2:34" ht="30" customHeight="1" x14ac:dyDescent="0.25">
      <c r="B10" s="16" t="s">
        <v>56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COUNTA(Décembre[[#This Row],[1]:[31]])</f>
        <v>0</v>
      </c>
    </row>
    <row r="11" spans="2:34" ht="30" customHeight="1" x14ac:dyDescent="0.25">
      <c r="B11" s="16" t="s">
        <v>57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COUNTA(Décembre[[#This Row],[1]:[31]])</f>
        <v>0</v>
      </c>
    </row>
    <row r="12" spans="2:34" ht="30" customHeight="1" x14ac:dyDescent="0.25">
      <c r="B12" s="20" t="str">
        <f>NomMois&amp;" Total"</f>
        <v>Décembre Total</v>
      </c>
      <c r="C12" s="12">
        <f>SUBTOTAL(103,Décembre[1])</f>
        <v>0</v>
      </c>
      <c r="D12" s="12">
        <f>SUBTOTAL(103,Décembre[2])</f>
        <v>0</v>
      </c>
      <c r="E12" s="12">
        <f>SUBTOTAL(103,Décembre[3])</f>
        <v>0</v>
      </c>
      <c r="F12" s="12">
        <f>SUBTOTAL(103,Décembre[4])</f>
        <v>0</v>
      </c>
      <c r="G12" s="12">
        <f>SUBTOTAL(103,Décembre[5])</f>
        <v>0</v>
      </c>
      <c r="H12" s="12">
        <f>SUBTOTAL(103,Décembre[6])</f>
        <v>0</v>
      </c>
      <c r="I12" s="12">
        <f>SUBTOTAL(103,Décembre[7])</f>
        <v>0</v>
      </c>
      <c r="J12" s="12">
        <f>SUBTOTAL(103,Décembre[8])</f>
        <v>0</v>
      </c>
      <c r="K12" s="12">
        <f>SUBTOTAL(103,Décembre[9])</f>
        <v>0</v>
      </c>
      <c r="L12" s="12">
        <f>SUBTOTAL(103,Décembre[10])</f>
        <v>0</v>
      </c>
      <c r="M12" s="12">
        <f>SUBTOTAL(103,Décembre[11])</f>
        <v>0</v>
      </c>
      <c r="N12" s="12">
        <f>SUBTOTAL(103,Décembre[12])</f>
        <v>0</v>
      </c>
      <c r="O12" s="12">
        <f>SUBTOTAL(103,Décembre[13])</f>
        <v>0</v>
      </c>
      <c r="P12" s="12">
        <f>SUBTOTAL(103,Décembre[14])</f>
        <v>0</v>
      </c>
      <c r="Q12" s="12">
        <f>SUBTOTAL(103,Décembre[15])</f>
        <v>0</v>
      </c>
      <c r="R12" s="12">
        <f>SUBTOTAL(103,Décembre[16])</f>
        <v>0</v>
      </c>
      <c r="S12" s="12">
        <f>SUBTOTAL(103,Décembre[17])</f>
        <v>0</v>
      </c>
      <c r="T12" s="12">
        <f>SUBTOTAL(103,Décembre[18])</f>
        <v>0</v>
      </c>
      <c r="U12" s="12">
        <f>SUBTOTAL(103,Décembre[19])</f>
        <v>0</v>
      </c>
      <c r="V12" s="12">
        <f>SUBTOTAL(103,Décembre[20])</f>
        <v>0</v>
      </c>
      <c r="W12" s="12">
        <f>SUBTOTAL(103,Décembre[21])</f>
        <v>0</v>
      </c>
      <c r="X12" s="12">
        <f>SUBTOTAL(103,Décembre[22])</f>
        <v>0</v>
      </c>
      <c r="Y12" s="12">
        <f>SUBTOTAL(103,Décembre[23])</f>
        <v>0</v>
      </c>
      <c r="Z12" s="12">
        <f>SUBTOTAL(103,Décembre[24])</f>
        <v>0</v>
      </c>
      <c r="AA12" s="12">
        <f>SUBTOTAL(103,Décembre[25])</f>
        <v>0</v>
      </c>
      <c r="AB12" s="12">
        <f>SUBTOTAL(103,Décembre[26])</f>
        <v>0</v>
      </c>
      <c r="AC12" s="12">
        <f>SUBTOTAL(103,Décembre[27])</f>
        <v>0</v>
      </c>
      <c r="AD12" s="12">
        <f>SUBTOTAL(103,Décembre[28])</f>
        <v>0</v>
      </c>
      <c r="AE12" s="12">
        <f>SUBTOTAL(103,Décembre[29])</f>
        <v>0</v>
      </c>
      <c r="AF12" s="12">
        <f>SUBTOTAL(103,Décembre[30])</f>
        <v>0</v>
      </c>
      <c r="AG12" s="12">
        <f>SUBTOTAL(103,Décembre[31])</f>
        <v>0</v>
      </c>
      <c r="AH12" s="12">
        <f>SUBTOTAL(109,Décembre[Total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92" priority="2" stopIfTrue="1">
      <formula>C7=CléPersonnalisée2</formula>
    </cfRule>
    <cfRule type="expression" dxfId="91" priority="3" stopIfTrue="1">
      <formula>C7=CléPersonnalisée1</formula>
    </cfRule>
    <cfRule type="expression" dxfId="90" priority="4" stopIfTrue="1">
      <formula>C7=CléMaladie</formula>
    </cfRule>
    <cfRule type="expression" dxfId="89" priority="5" stopIfTrue="1">
      <formula>C7=CléPersonnel</formula>
    </cfRule>
    <cfRule type="expression" dxfId="88" priority="6" stopIfTrue="1">
      <formula>C7=CléPrésence</formula>
    </cfRule>
  </conditionalFormatting>
  <conditionalFormatting sqref="AH7:AH11">
    <cfRule type="dataBar" priority="30">
      <dataBar>
        <cfvo type="min"/>
        <cfvo type="formula" val="DATEDIF(DATE(AnnéeCalendrier,2,1),DATE(AnnéeCalendrier,3,1),&quot;d&quot;)"/>
        <color theme="2" tint="-0.249977111117893"/>
      </dataBar>
      <extLst>
        <ext xmlns:x14="http://schemas.microsoft.com/office/spreadsheetml/2009/9/main" uri="{B025F937-C7B1-47D3-B67F-A62EFF666E3E}">
          <x14:id>{17586780-365B-4F4C-BBB4-F5991705D361}</x14:id>
        </ext>
      </extLst>
    </cfRule>
  </conditionalFormatting>
  <dataValidations count="14">
    <dataValidation allowBlank="1" showInputMessage="1" showErrorMessage="1" prompt="Année mise à jour automatiquement en fonction de l’année entrée dans la feuille de calcul Janvier" sqref="AH4" xr:uid="{00000000-0002-0000-0B00-000000000000}"/>
    <dataValidation allowBlank="1" showInputMessage="1" showErrorMessage="1" prompt="Calcule automatiquement le nombre total de jours d’absence d’un employé durant ce mois dans cette colonne" sqref="AH6" xr:uid="{00000000-0002-0000-0B00-000001000000}"/>
    <dataValidation allowBlank="1" showInputMessage="1" showErrorMessage="1" prompt="Suivez les absences du mois de décembre dans cette feuille de calcul" sqref="A1" xr:uid="{00000000-0002-0000-0B00-000002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B00-000003000000}"/>
    <dataValidation allowBlank="1" showInputMessage="1" showErrorMessage="1" prompt="Le titre mis à jour automatiquement figure dans cette cellule. Pour modifier le titre, mettez à jour la cellule B1 de la feuille de calcul Janvier" sqref="B1" xr:uid="{00000000-0002-0000-0B00-000004000000}"/>
    <dataValidation allowBlank="1" showInputMessage="1" showErrorMessage="1" prompt="La lettre « C » indique une absence pour cause de congé" sqref="C2" xr:uid="{00000000-0002-0000-0B00-000005000000}"/>
    <dataValidation allowBlank="1" showInputMessage="1" showErrorMessage="1" prompt="La lettre « P » indique une absence pour motifs personnels" sqref="F2" xr:uid="{00000000-0002-0000-0B00-000006000000}"/>
    <dataValidation allowBlank="1" showInputMessage="1" showErrorMessage="1" prompt="La lettre « M » indique une absence pour cause de maladie" sqref="J2" xr:uid="{00000000-0002-0000-0B00-000007000000}"/>
    <dataValidation allowBlank="1" showInputMessage="1" showErrorMessage="1" prompt="Entrez une lettre et personnalisez l’étiquette à droite pour ajouter un élément de clé" sqref="M2 R2" xr:uid="{00000000-0002-0000-0B00-000008000000}"/>
    <dataValidation allowBlank="1" showInputMessage="1" showErrorMessage="1" prompt="Entrez une étiquette pour décrire la clé personnalisée à gauche" sqref="N2 S2" xr:uid="{00000000-0002-0000-0B00-000009000000}"/>
    <dataValidation allowBlank="1" showInputMessage="1" showErrorMessage="1" prompt="Cette ligne définit les clés utilisées dans le tableau : Congé en C2, Personnel en F2 et Congé maladie en J2. Les cellules M2 et R2 sont personnalisables" sqref="B2" xr:uid="{00000000-0002-0000-0B00-00000A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B00-00000B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B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B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7586780-365B-4F4C-BBB4-F5991705D361}">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E000000}">
          <x14:formula1>
            <xm:f>'Noms des stagiaires'!$B$4:$B$8</xm:f>
          </x14:formula1>
          <xm:sqref>B7:B11</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7F6B4-7F9B-42E0-B21B-B67D5BE53330}">
  <sheetPr>
    <tabColor theme="7" tint="0.79998168889431442"/>
  </sheetPr>
  <dimension ref="A1:O12"/>
  <sheetViews>
    <sheetView showGridLines="0" tabSelected="1" zoomScaleNormal="100" workbookViewId="0">
      <selection activeCell="F16" sqref="F16"/>
    </sheetView>
  </sheetViews>
  <sheetFormatPr baseColWidth="10" defaultColWidth="9.140625" defaultRowHeight="30" customHeight="1" x14ac:dyDescent="0.25"/>
  <cols>
    <col min="1" max="1" width="2.7109375" style="10" customWidth="1"/>
    <col min="2" max="2" width="25.7109375" style="10" customWidth="1"/>
    <col min="3" max="3" width="9.5703125" style="10" bestFit="1" customWidth="1"/>
    <col min="4" max="14" width="12.5703125" style="10" customWidth="1"/>
    <col min="15" max="15" width="13.5703125" style="10" customWidth="1"/>
    <col min="16" max="16" width="2.7109375" customWidth="1"/>
  </cols>
  <sheetData>
    <row r="1" spans="2:15" ht="50.1" customHeight="1" x14ac:dyDescent="0.25">
      <c r="B1" s="13" t="str">
        <f>Titre_Absence_Employé</f>
        <v>Calendrier des stagiaires - ESAT JACQUEMART</v>
      </c>
    </row>
    <row r="2" spans="2:15" ht="15" customHeight="1" x14ac:dyDescent="0.25">
      <c r="B2" s="18" t="s">
        <v>59</v>
      </c>
      <c r="C2" s="3" t="s">
        <v>5</v>
      </c>
      <c r="D2" s="40" t="s">
        <v>50</v>
      </c>
      <c r="E2" s="41"/>
      <c r="F2" s="4" t="s">
        <v>69</v>
      </c>
      <c r="G2" s="40" t="s">
        <v>67</v>
      </c>
      <c r="H2" s="41"/>
      <c r="I2" s="41"/>
      <c r="J2" s="5" t="s">
        <v>51</v>
      </c>
      <c r="K2" s="40" t="s">
        <v>68</v>
      </c>
      <c r="L2" s="41"/>
      <c r="M2" s="6"/>
      <c r="N2" s="37"/>
    </row>
    <row r="3" spans="2:15" ht="15" customHeight="1" x14ac:dyDescent="0.25">
      <c r="B3" s="13"/>
    </row>
    <row r="4" spans="2:15" ht="30" customHeight="1" x14ac:dyDescent="0.25">
      <c r="B4" s="36" t="s">
        <v>48</v>
      </c>
      <c r="C4" s="39" t="s">
        <v>58</v>
      </c>
      <c r="D4" s="39"/>
      <c r="E4" s="39"/>
      <c r="F4" s="39"/>
      <c r="G4" s="39"/>
      <c r="H4" s="39"/>
      <c r="I4" s="39"/>
      <c r="J4" s="39"/>
      <c r="K4" s="39"/>
      <c r="L4" s="39"/>
      <c r="M4" s="39"/>
      <c r="N4" s="39"/>
      <c r="O4" s="36">
        <f>AnnéeCalendrier</f>
        <v>2021</v>
      </c>
    </row>
    <row r="5" spans="2:15" ht="15" customHeight="1" x14ac:dyDescent="0.25">
      <c r="B5" s="36"/>
      <c r="C5" s="1" t="s">
        <v>0</v>
      </c>
      <c r="D5" s="1" t="s">
        <v>36</v>
      </c>
      <c r="E5" s="1" t="s">
        <v>39</v>
      </c>
      <c r="F5" s="1" t="s">
        <v>40</v>
      </c>
      <c r="G5" s="1" t="s">
        <v>41</v>
      </c>
      <c r="H5" s="1" t="s">
        <v>42</v>
      </c>
      <c r="I5" s="1" t="s">
        <v>43</v>
      </c>
      <c r="J5" s="1" t="s">
        <v>44</v>
      </c>
      <c r="K5" s="1" t="s">
        <v>45</v>
      </c>
      <c r="L5" s="1" t="s">
        <v>46</v>
      </c>
      <c r="M5" s="1" t="s">
        <v>47</v>
      </c>
      <c r="N5" s="1" t="s">
        <v>48</v>
      </c>
      <c r="O5" s="36"/>
    </row>
    <row r="6" spans="2:15" ht="15" customHeight="1" x14ac:dyDescent="0.25">
      <c r="B6" s="14" t="s">
        <v>1</v>
      </c>
      <c r="C6" s="2" t="s">
        <v>2</v>
      </c>
      <c r="D6" s="2" t="s">
        <v>3</v>
      </c>
      <c r="E6" s="2" t="s">
        <v>4</v>
      </c>
      <c r="F6" s="2" t="s">
        <v>6</v>
      </c>
      <c r="G6" s="2" t="s">
        <v>7</v>
      </c>
      <c r="H6" s="2" t="s">
        <v>8</v>
      </c>
      <c r="I6" s="2" t="s">
        <v>9</v>
      </c>
      <c r="J6" s="2" t="s">
        <v>10</v>
      </c>
      <c r="K6" s="2" t="s">
        <v>11</v>
      </c>
      <c r="L6" s="2" t="s">
        <v>12</v>
      </c>
      <c r="M6" s="2" t="s">
        <v>13</v>
      </c>
      <c r="N6" s="2" t="s">
        <v>14</v>
      </c>
      <c r="O6" s="15" t="s">
        <v>35</v>
      </c>
    </row>
    <row r="7" spans="2:15" ht="30" customHeight="1" x14ac:dyDescent="0.25">
      <c r="B7" s="16" t="s">
        <v>73</v>
      </c>
      <c r="C7" s="42">
        <f t="shared" ref="C7:N11" ca="1" si="0">SUMIF(INDIRECT(C$5&amp;"!B:B"),$B7,INDIRECT(C$5&amp;"!AI:AI"))</f>
        <v>8</v>
      </c>
      <c r="D7" s="42">
        <f t="shared" ca="1" si="0"/>
        <v>1</v>
      </c>
      <c r="E7" s="42">
        <f t="shared" ca="1" si="0"/>
        <v>1</v>
      </c>
      <c r="F7" s="42">
        <f t="shared" ca="1" si="0"/>
        <v>0</v>
      </c>
      <c r="G7" s="42">
        <f t="shared" ca="1" si="0"/>
        <v>0</v>
      </c>
      <c r="H7" s="42">
        <f t="shared" ca="1" si="0"/>
        <v>0</v>
      </c>
      <c r="I7" s="42">
        <f t="shared" ca="1" si="0"/>
        <v>0</v>
      </c>
      <c r="J7" s="42">
        <f t="shared" ca="1" si="0"/>
        <v>0</v>
      </c>
      <c r="K7" s="42">
        <f t="shared" ca="1" si="0"/>
        <v>0</v>
      </c>
      <c r="L7" s="42">
        <f t="shared" ca="1" si="0"/>
        <v>0</v>
      </c>
      <c r="M7" s="42">
        <f t="shared" ca="1" si="0"/>
        <v>0</v>
      </c>
      <c r="N7" s="42">
        <f t="shared" ca="1" si="0"/>
        <v>0</v>
      </c>
      <c r="O7" s="9">
        <f>COUNTA(#REF!)</f>
        <v>1</v>
      </c>
    </row>
    <row r="8" spans="2:15" ht="30" customHeight="1" x14ac:dyDescent="0.25">
      <c r="B8" s="16" t="s">
        <v>54</v>
      </c>
      <c r="C8" s="42">
        <f t="shared" ca="1" si="0"/>
        <v>0</v>
      </c>
      <c r="D8" s="42">
        <f t="shared" ca="1" si="0"/>
        <v>1</v>
      </c>
      <c r="E8" s="42">
        <f t="shared" ca="1" si="0"/>
        <v>0</v>
      </c>
      <c r="F8" s="42">
        <f t="shared" ca="1" si="0"/>
        <v>0</v>
      </c>
      <c r="G8" s="42">
        <f t="shared" ca="1" si="0"/>
        <v>0</v>
      </c>
      <c r="H8" s="42">
        <f t="shared" ca="1" si="0"/>
        <v>0</v>
      </c>
      <c r="I8" s="42">
        <f t="shared" ca="1" si="0"/>
        <v>0</v>
      </c>
      <c r="J8" s="42">
        <f t="shared" ca="1" si="0"/>
        <v>0</v>
      </c>
      <c r="K8" s="42">
        <f t="shared" ca="1" si="0"/>
        <v>0</v>
      </c>
      <c r="L8" s="42">
        <f t="shared" ca="1" si="0"/>
        <v>0</v>
      </c>
      <c r="M8" s="42">
        <f t="shared" ca="1" si="0"/>
        <v>0</v>
      </c>
      <c r="N8" s="42">
        <f t="shared" ca="1" si="0"/>
        <v>0</v>
      </c>
      <c r="O8" s="9">
        <f>COUNTA(#REF!)</f>
        <v>1</v>
      </c>
    </row>
    <row r="9" spans="2:15" ht="30" customHeight="1" x14ac:dyDescent="0.25">
      <c r="B9" s="16" t="s">
        <v>55</v>
      </c>
      <c r="C9" s="42">
        <f t="shared" ca="1" si="0"/>
        <v>2</v>
      </c>
      <c r="D9" s="42">
        <f t="shared" ca="1" si="0"/>
        <v>2</v>
      </c>
      <c r="E9" s="42">
        <f t="shared" ca="1" si="0"/>
        <v>0</v>
      </c>
      <c r="F9" s="42">
        <f t="shared" ca="1" si="0"/>
        <v>0</v>
      </c>
      <c r="G9" s="42">
        <f t="shared" ca="1" si="0"/>
        <v>0</v>
      </c>
      <c r="H9" s="42">
        <f t="shared" ca="1" si="0"/>
        <v>0</v>
      </c>
      <c r="I9" s="42">
        <f t="shared" ca="1" si="0"/>
        <v>0</v>
      </c>
      <c r="J9" s="42">
        <f t="shared" ca="1" si="0"/>
        <v>0</v>
      </c>
      <c r="K9" s="42">
        <f t="shared" ca="1" si="0"/>
        <v>0</v>
      </c>
      <c r="L9" s="42">
        <f t="shared" ca="1" si="0"/>
        <v>0</v>
      </c>
      <c r="M9" s="42">
        <f t="shared" ca="1" si="0"/>
        <v>0</v>
      </c>
      <c r="N9" s="42">
        <f t="shared" ca="1" si="0"/>
        <v>0</v>
      </c>
      <c r="O9" s="9">
        <f>COUNTA(#REF!)</f>
        <v>1</v>
      </c>
    </row>
    <row r="10" spans="2:15" ht="30" customHeight="1" x14ac:dyDescent="0.25">
      <c r="B10" s="16" t="s">
        <v>56</v>
      </c>
      <c r="C10" s="42">
        <f t="shared" ca="1" si="0"/>
        <v>0</v>
      </c>
      <c r="D10" s="42">
        <f t="shared" ca="1" si="0"/>
        <v>1</v>
      </c>
      <c r="E10" s="42">
        <f t="shared" ca="1" si="0"/>
        <v>1</v>
      </c>
      <c r="F10" s="42">
        <f t="shared" ca="1" si="0"/>
        <v>0</v>
      </c>
      <c r="G10" s="42">
        <f t="shared" ca="1" si="0"/>
        <v>0</v>
      </c>
      <c r="H10" s="42">
        <f t="shared" ca="1" si="0"/>
        <v>0</v>
      </c>
      <c r="I10" s="42">
        <f t="shared" ca="1" si="0"/>
        <v>0</v>
      </c>
      <c r="J10" s="42">
        <f t="shared" ca="1" si="0"/>
        <v>0</v>
      </c>
      <c r="K10" s="42">
        <f t="shared" ca="1" si="0"/>
        <v>0</v>
      </c>
      <c r="L10" s="42">
        <f t="shared" ca="1" si="0"/>
        <v>0</v>
      </c>
      <c r="M10" s="42">
        <f t="shared" ca="1" si="0"/>
        <v>0</v>
      </c>
      <c r="N10" s="42">
        <f t="shared" ca="1" si="0"/>
        <v>0</v>
      </c>
      <c r="O10" s="9">
        <f>COUNTA(#REF!)</f>
        <v>1</v>
      </c>
    </row>
    <row r="11" spans="2:15" ht="30" customHeight="1" x14ac:dyDescent="0.25">
      <c r="B11" s="16" t="s">
        <v>57</v>
      </c>
      <c r="C11" s="42">
        <f t="shared" ca="1" si="0"/>
        <v>0</v>
      </c>
      <c r="D11" s="42">
        <f t="shared" ca="1" si="0"/>
        <v>1</v>
      </c>
      <c r="E11" s="42">
        <f t="shared" ca="1" si="0"/>
        <v>0</v>
      </c>
      <c r="F11" s="42">
        <f t="shared" ca="1" si="0"/>
        <v>0</v>
      </c>
      <c r="G11" s="42">
        <f t="shared" ca="1" si="0"/>
        <v>0</v>
      </c>
      <c r="H11" s="42">
        <f t="shared" ca="1" si="0"/>
        <v>0</v>
      </c>
      <c r="I11" s="42">
        <f t="shared" ca="1" si="0"/>
        <v>0</v>
      </c>
      <c r="J11" s="42">
        <f t="shared" ca="1" si="0"/>
        <v>0</v>
      </c>
      <c r="K11" s="42">
        <f t="shared" ca="1" si="0"/>
        <v>0</v>
      </c>
      <c r="L11" s="42">
        <f t="shared" ca="1" si="0"/>
        <v>0</v>
      </c>
      <c r="M11" s="42">
        <f t="shared" ca="1" si="0"/>
        <v>0</v>
      </c>
      <c r="N11" s="42">
        <f t="shared" ca="1" si="0"/>
        <v>0</v>
      </c>
      <c r="O11" s="9">
        <f>COUNTA(#REF!)</f>
        <v>1</v>
      </c>
    </row>
    <row r="12" spans="2:15" ht="30" customHeight="1" x14ac:dyDescent="0.25">
      <c r="B12" s="20" t="str">
        <f>" Total"</f>
        <v xml:space="preserve"> Total</v>
      </c>
      <c r="C12" s="12">
        <f ca="1">+SUM(C7:C11)</f>
        <v>10</v>
      </c>
      <c r="D12" s="12">
        <f t="shared" ref="D12:N12" ca="1" si="1">+SUM(D7:D11)</f>
        <v>6</v>
      </c>
      <c r="E12" s="12">
        <f t="shared" ca="1" si="1"/>
        <v>2</v>
      </c>
      <c r="F12" s="12">
        <f t="shared" ca="1" si="1"/>
        <v>0</v>
      </c>
      <c r="G12" s="12">
        <f t="shared" ca="1" si="1"/>
        <v>0</v>
      </c>
      <c r="H12" s="12">
        <f t="shared" ca="1" si="1"/>
        <v>0</v>
      </c>
      <c r="I12" s="12">
        <f t="shared" ca="1" si="1"/>
        <v>0</v>
      </c>
      <c r="J12" s="12">
        <f t="shared" ca="1" si="1"/>
        <v>0</v>
      </c>
      <c r="K12" s="12">
        <f t="shared" ca="1" si="1"/>
        <v>0</v>
      </c>
      <c r="L12" s="12">
        <f t="shared" ca="1" si="1"/>
        <v>0</v>
      </c>
      <c r="M12" s="12">
        <f t="shared" ca="1" si="1"/>
        <v>0</v>
      </c>
      <c r="N12" s="12">
        <f t="shared" ca="1" si="1"/>
        <v>0</v>
      </c>
      <c r="O12" s="12">
        <f>SUBTOTAL(109,Décembre2[Total des jours])</f>
        <v>5</v>
      </c>
    </row>
  </sheetData>
  <mergeCells count="4">
    <mergeCell ref="D2:E2"/>
    <mergeCell ref="G2:I2"/>
    <mergeCell ref="K2:L2"/>
    <mergeCell ref="C4:N4"/>
  </mergeCells>
  <phoneticPr fontId="19" type="noConversion"/>
  <conditionalFormatting sqref="C7:N11">
    <cfRule type="expression" priority="1" stopIfTrue="1">
      <formula>C7=""</formula>
    </cfRule>
  </conditionalFormatting>
  <conditionalFormatting sqref="C7:N11">
    <cfRule type="expression" dxfId="87" priority="2" stopIfTrue="1">
      <formula>C7=CléPersonnalisée2</formula>
    </cfRule>
    <cfRule type="expression" dxfId="86" priority="3" stopIfTrue="1">
      <formula>C7=CléPersonnalisée1</formula>
    </cfRule>
    <cfRule type="expression" dxfId="85" priority="4" stopIfTrue="1">
      <formula>C7=CléMaladie</formula>
    </cfRule>
    <cfRule type="expression" dxfId="84" priority="5" stopIfTrue="1">
      <formula>C7=CléPersonnel</formula>
    </cfRule>
    <cfRule type="expression" dxfId="83" priority="6" stopIfTrue="1">
      <formula>C7=CléPrésence</formula>
    </cfRule>
  </conditionalFormatting>
  <conditionalFormatting sqref="O7:O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{3A3AC45A-5C6D-4CE3-86FE-7955581EAAEB}</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8664492-8C10-41B6-A196-9681284E99BD}"/>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N5" xr:uid="{7350BFA6-E011-407F-BFF5-7984D7954DDA}"/>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339A2D74-D5DE-4C4F-9E18-3F9F51D91815}"/>
    <dataValidation allowBlank="1" showInputMessage="1" showErrorMessage="1" prompt="Cette ligne définit les clés utilisées dans le tableau : Congé en C2, Personnel en F2 et Congé maladie en J2. Les cellules M2 et R2 sont personnalisables" sqref="B2" xr:uid="{3F0E3E8E-7827-4B91-BF5F-2C5EA07393B7}"/>
    <dataValidation allowBlank="1" showInputMessage="1" showErrorMessage="1" prompt="Entrez une étiquette pour décrire la clé personnalisée à gauche" sqref="N2" xr:uid="{83E4027F-5DD5-4103-AA8F-4D5DA16228E8}"/>
    <dataValidation allowBlank="1" showInputMessage="1" showErrorMessage="1" prompt="Entrez une lettre et personnalisez l’étiquette à droite pour ajouter un élément de clé" sqref="M2" xr:uid="{A271C5CB-4639-4A6F-A170-65117A2EF8AF}"/>
    <dataValidation allowBlank="1" showInputMessage="1" showErrorMessage="1" prompt="La lettre « M » indique une absence pour cause de maladie" sqref="J2" xr:uid="{DF687E23-F617-4713-8B65-C63188117A74}"/>
    <dataValidation allowBlank="1" showInputMessage="1" showErrorMessage="1" prompt="La lettre « P » indique une absence pour motifs personnels" sqref="F2" xr:uid="{7A58A601-E900-42DD-A820-2013C633E593}"/>
    <dataValidation allowBlank="1" showInputMessage="1" showErrorMessage="1" prompt="La lettre « C » indique une absence pour cause de congé" sqref="C2" xr:uid="{FAA4D26E-C817-4711-83AE-FF53CD7F2B1E}"/>
    <dataValidation allowBlank="1" showInputMessage="1" showErrorMessage="1" prompt="Le titre mis à jour automatiquement figure dans cette cellule. Pour modifier le titre, mettez à jour la cellule B1 de la feuille de calcul Janvier" sqref="B1" xr:uid="{462586A0-E1D3-440A-9610-D748BA1E47E6}"/>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90315F14-17DF-4794-897F-0641E7851F1A}"/>
    <dataValidation allowBlank="1" showInputMessage="1" showErrorMessage="1" prompt="Suivez les absences du mois de décembre dans cette feuille de calcul" sqref="A1" xr:uid="{EEA70593-277B-4B35-A318-7118CAA62420}"/>
    <dataValidation allowBlank="1" showInputMessage="1" showErrorMessage="1" prompt="Calcule automatiquement le nombre total de jours d’absence d’un employé durant ce mois dans cette colonne" sqref="O6" xr:uid="{526A7222-61C7-4061-A297-DE9F9AB966CC}"/>
    <dataValidation allowBlank="1" showInputMessage="1" showErrorMessage="1" prompt="Année mise à jour automatiquement en fonction de l’année entrée dans la feuille de calcul Janvier" sqref="O4" xr:uid="{70E906F2-4CA4-41A3-88B0-2F4416A3609D}"/>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A3AC45A-5C6D-4CE3-86FE-7955581EAAEB}">
            <x14:dataBar minLength="0" maxLength="100">
              <x14:cfvo type="autoMin"/>
              <x14:cfvo type="formula">
                <xm:f>DATEDIF(DATE(AnnéeCalendrier,2,1),DATE(AnnéeCalendrier,3,1),"d")</xm:f>
              </x14:cfvo>
              <x14:negativeFillColor rgb="FFFF0000"/>
              <x14:axisColor rgb="FF000000"/>
            </x14:dataBar>
          </x14:cfRule>
          <xm:sqref>O7:O11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2A9EB867-AA10-48B9-8C0C-8512CEF03E2F}">
          <x14:formula1>
            <xm:f>'Noms des stagiaires'!$B$4:$B$8</xm:f>
          </x14:formula1>
          <xm:sqref>B7:B11</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1"/>
  </sheetPr>
  <dimension ref="B1:H8"/>
  <sheetViews>
    <sheetView showGridLines="0" topLeftCell="B1" workbookViewId="0">
      <selection activeCell="F9" sqref="F9"/>
    </sheetView>
  </sheetViews>
  <sheetFormatPr baseColWidth="10" defaultColWidth="9.140625" defaultRowHeight="30" customHeight="1" x14ac:dyDescent="0.25"/>
  <cols>
    <col min="1" max="1" width="2.7109375" customWidth="1"/>
    <col min="2" max="2" width="30.7109375" customWidth="1"/>
    <col min="3" max="5" width="19" customWidth="1"/>
    <col min="6" max="6" width="26.140625" customWidth="1"/>
    <col min="7" max="7" width="25.5703125" bestFit="1" customWidth="1"/>
    <col min="8" max="8" width="22.140625" bestFit="1" customWidth="1"/>
  </cols>
  <sheetData>
    <row r="1" spans="2:8" ht="50.1" customHeight="1" x14ac:dyDescent="0.25">
      <c r="B1" s="21" t="s">
        <v>53</v>
      </c>
    </row>
    <row r="2" spans="2:8" ht="15" customHeight="1" x14ac:dyDescent="0.25"/>
    <row r="3" spans="2:8" ht="30" customHeight="1" x14ac:dyDescent="0.25">
      <c r="B3" t="s">
        <v>53</v>
      </c>
      <c r="C3" s="29" t="s">
        <v>61</v>
      </c>
      <c r="D3" s="29" t="s">
        <v>62</v>
      </c>
      <c r="E3" s="29" t="s">
        <v>64</v>
      </c>
      <c r="F3" s="29" t="s">
        <v>63</v>
      </c>
      <c r="G3" s="29" t="s">
        <v>65</v>
      </c>
      <c r="H3" s="38" t="s">
        <v>72</v>
      </c>
    </row>
    <row r="4" spans="2:8" ht="15" x14ac:dyDescent="0.25">
      <c r="B4" s="25" t="s">
        <v>73</v>
      </c>
      <c r="C4" s="32">
        <v>44361</v>
      </c>
      <c r="D4" s="32">
        <v>44372</v>
      </c>
      <c r="E4" s="28"/>
      <c r="F4" s="33"/>
      <c r="G4" s="30">
        <f>NomStagiaires[[#This Row],[Fin de Stage]]</f>
        <v>44372</v>
      </c>
      <c r="H4" s="27"/>
    </row>
    <row r="5" spans="2:8" ht="30" customHeight="1" x14ac:dyDescent="0.25">
      <c r="B5" s="25" t="s">
        <v>54</v>
      </c>
      <c r="C5" s="27"/>
      <c r="D5" s="27"/>
      <c r="E5" s="27"/>
      <c r="F5" s="34"/>
      <c r="G5" s="31">
        <f>NomStagiaires[[#This Row],[Fin de Stage]]</f>
        <v>0</v>
      </c>
      <c r="H5" s="27"/>
    </row>
    <row r="6" spans="2:8" ht="30" customHeight="1" x14ac:dyDescent="0.25">
      <c r="B6" s="25" t="s">
        <v>55</v>
      </c>
      <c r="C6" s="27"/>
      <c r="D6" s="27"/>
      <c r="E6" s="27"/>
      <c r="F6" s="34"/>
      <c r="G6" s="31">
        <f>NomStagiaires[[#This Row],[Fin de Stage]]</f>
        <v>0</v>
      </c>
      <c r="H6" s="27"/>
    </row>
    <row r="7" spans="2:8" ht="30" customHeight="1" x14ac:dyDescent="0.25">
      <c r="B7" s="25" t="s">
        <v>56</v>
      </c>
      <c r="C7" s="27"/>
      <c r="D7" s="27"/>
      <c r="E7" s="27"/>
      <c r="F7" s="34"/>
      <c r="G7" s="31">
        <f>NomStagiaires[[#This Row],[Fin de Stage]]</f>
        <v>0</v>
      </c>
      <c r="H7" s="27"/>
    </row>
    <row r="8" spans="2:8" ht="30" customHeight="1" x14ac:dyDescent="0.25">
      <c r="B8" s="25" t="s">
        <v>57</v>
      </c>
      <c r="C8" s="27"/>
      <c r="D8" s="27"/>
      <c r="E8" s="27"/>
      <c r="F8" s="34"/>
      <c r="G8" s="31">
        <f>NomStagiaires[[#This Row],[Fin de Stage]]</f>
        <v>0</v>
      </c>
      <c r="H8" s="27"/>
    </row>
  </sheetData>
  <dataValidations count="3">
    <dataValidation allowBlank="1" showInputMessage="1" showErrorMessage="1" prompt="Titre Noms des employés" sqref="B1" xr:uid="{00000000-0002-0000-0C00-000000000000}"/>
    <dataValidation allowBlank="1" showInputMessage="1" showErrorMessage="1" prompt="Entrez les noms des employés dans le tableau Noms des employés dans cette feuille de calcul. Ces noms sont utilisés en tant qu’options dans la colonne B du tableau des absences de chaque mois." sqref="A1" xr:uid="{00000000-0002-0000-0C00-000001000000}"/>
    <dataValidation allowBlank="1" showInputMessage="1" showErrorMessage="1" prompt="Entrez les noms des employés dans cette colonne" sqref="B3" xr:uid="{00000000-0002-0000-0C00-000002000000}"/>
  </dataValidations>
  <pageMargins left="0.7" right="0.7" top="0.75" bottom="0.75" header="0.3" footer="0.3"/>
  <pageSetup paperSize="9" orientation="portrait" horizontalDpi="200" verticalDpi="2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65</vt:i4>
      </vt:variant>
    </vt:vector>
  </HeadingPairs>
  <TitlesOfParts>
    <vt:vector size="79" baseType="lpstr">
      <vt:lpstr>Janvier</vt:lpstr>
      <vt:lpstr>Février</vt:lpstr>
      <vt:lpstr>Mars</vt:lpstr>
      <vt:lpstr>Avril</vt:lpstr>
      <vt:lpstr>Mai</vt:lpstr>
      <vt:lpstr>Juin</vt:lpstr>
      <vt:lpstr>Juillet</vt:lpstr>
      <vt:lpstr>Août</vt:lpstr>
      <vt:lpstr>Septembre</vt:lpstr>
      <vt:lpstr>Octobre</vt:lpstr>
      <vt:lpstr>Novembre</vt:lpstr>
      <vt:lpstr>Décembre</vt:lpstr>
      <vt:lpstr>Total</vt:lpstr>
      <vt:lpstr>Noms des stagiaires</vt:lpstr>
      <vt:lpstr>AnnéeCalendrier</vt:lpstr>
      <vt:lpstr>CléMaladie</vt:lpstr>
      <vt:lpstr>CléPersonnalisée1</vt:lpstr>
      <vt:lpstr>CléPersonnalisée2</vt:lpstr>
      <vt:lpstr>CléPersonnel</vt:lpstr>
      <vt:lpstr>CléPrésence</vt:lpstr>
      <vt:lpstr>ÉtiquetteCléCongé</vt:lpstr>
      <vt:lpstr>ÉtiquetteCléMaladie</vt:lpstr>
      <vt:lpstr>ÉtiquetteCléPersonnalisée1</vt:lpstr>
      <vt:lpstr>ÉtiquetteCléPersonnalisée2</vt:lpstr>
      <vt:lpstr>ÉtiquetteCléPersonnel</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Total!Impression_des_titres</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Total!NomMois</vt:lpstr>
      <vt:lpstr>Titre_Absence_Employé</vt:lpstr>
      <vt:lpstr>Total!Titre1</vt:lpstr>
      <vt:lpstr>Titre1</vt:lpstr>
      <vt:lpstr>Total!Titre10</vt:lpstr>
      <vt:lpstr>Titre10</vt:lpstr>
      <vt:lpstr>Total!Titre11</vt:lpstr>
      <vt:lpstr>Titre11</vt:lpstr>
      <vt:lpstr>Total!Titre12</vt:lpstr>
      <vt:lpstr>Titre12</vt:lpstr>
      <vt:lpstr>Total!Titre2</vt:lpstr>
      <vt:lpstr>Titre2</vt:lpstr>
      <vt:lpstr>Total!Titre3</vt:lpstr>
      <vt:lpstr>Titre3</vt:lpstr>
      <vt:lpstr>Total!Titre4</vt:lpstr>
      <vt:lpstr>Titre4</vt:lpstr>
      <vt:lpstr>Total!Titre5</vt:lpstr>
      <vt:lpstr>Titre5</vt:lpstr>
      <vt:lpstr>Total!Titre6</vt:lpstr>
      <vt:lpstr>Titre6</vt:lpstr>
      <vt:lpstr>Total!Titre7</vt:lpstr>
      <vt:lpstr>Titre7</vt:lpstr>
      <vt:lpstr>Total!Titre8</vt:lpstr>
      <vt:lpstr>Titre8</vt:lpstr>
      <vt:lpstr>Total!Titre9</vt:lpstr>
      <vt:lpstr>Titre9</vt:lpstr>
      <vt:lpstr>Total!TitreColonne13</vt:lpstr>
      <vt:lpstr>TitreColonne13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Odile CONSTANT</dc:creator>
  <cp:lastModifiedBy>CTIS</cp:lastModifiedBy>
  <cp:lastPrinted>2021-05-25T14:53:43Z</cp:lastPrinted>
  <dcterms:created xsi:type="dcterms:W3CDTF">2016-12-06T04:52:27Z</dcterms:created>
  <dcterms:modified xsi:type="dcterms:W3CDTF">2021-05-26T09:54:51Z</dcterms:modified>
</cp:coreProperties>
</file>