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ssier professionnel\IFAP et IFAS\1-RECRUTEMENT\recrutement 2025-2026\"/>
    </mc:Choice>
  </mc:AlternateContent>
  <xr:revisionPtr revIDLastSave="0" documentId="8_{E34BBFAC-92F2-4B99-9141-C6163F9C667E}" xr6:coauthVersionLast="47" xr6:coauthVersionMax="47" xr10:uidLastSave="{00000000-0000-0000-0000-000000000000}"/>
  <bookViews>
    <workbookView xWindow="-120" yWindow="-120" windowWidth="25440" windowHeight="15390" xr2:uid="{A01E6B6C-7A9C-4D3D-A8FA-6B897A346491}"/>
  </bookViews>
  <sheets>
    <sheet name="recrutement" sheetId="1" r:id="rId1"/>
    <sheet name="bilan scolaire" sheetId="4" r:id="rId2"/>
    <sheet name="listes" sheetId="2" r:id="rId3"/>
    <sheet name="statistiques recrutement" sheetId="3" r:id="rId4"/>
  </sheets>
  <definedNames>
    <definedName name="Matisse_2025">OFFSET(recrutement!$H$2,,,COUNTIFS(recrutement!F:F,"2025",recrutement!E:E,"H.Matisse Trappes")-1,1)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3" l="1"/>
  <c r="B13" i="3"/>
  <c r="B12" i="3"/>
  <c r="K42" i="3"/>
  <c r="K41" i="3"/>
  <c r="K40" i="3"/>
  <c r="K39" i="3"/>
  <c r="H39" i="3"/>
  <c r="E39" i="3"/>
  <c r="B47" i="3"/>
  <c r="B46" i="3"/>
  <c r="B45" i="3"/>
  <c r="B44" i="3"/>
  <c r="B43" i="3"/>
  <c r="B42" i="3"/>
  <c r="B41" i="3"/>
  <c r="B40" i="3"/>
  <c r="B39" i="3"/>
  <c r="B6" i="3"/>
  <c r="B5" i="3"/>
  <c r="B4" i="3"/>
  <c r="K28" i="3"/>
  <c r="K27" i="3"/>
  <c r="K26" i="3"/>
  <c r="K25" i="3"/>
  <c r="H25" i="3"/>
  <c r="E25" i="3"/>
  <c r="B33" i="3"/>
  <c r="B32" i="3"/>
  <c r="B31" i="3"/>
  <c r="B30" i="3"/>
  <c r="B29" i="3"/>
  <c r="B28" i="3"/>
  <c r="B27" i="3"/>
  <c r="B26" i="3"/>
  <c r="B25" i="3"/>
  <c r="K14" i="3"/>
  <c r="K13" i="3"/>
  <c r="K12" i="3"/>
  <c r="K11" i="3"/>
  <c r="H11" i="3"/>
  <c r="E11" i="3"/>
  <c r="B2" i="3"/>
  <c r="B19" i="3"/>
  <c r="B18" i="3"/>
  <c r="B17" i="3"/>
  <c r="B16" i="3"/>
  <c r="B15" i="3"/>
  <c r="B14" i="3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2" i="1"/>
  <c r="H5" i="3" l="1"/>
  <c r="H6" i="3"/>
  <c r="B49" i="3"/>
  <c r="F39" i="3" s="1"/>
  <c r="K44" i="3"/>
  <c r="K16" i="3"/>
  <c r="K30" i="3"/>
  <c r="B21" i="3"/>
  <c r="C13" i="3" s="1"/>
  <c r="B35" i="3"/>
  <c r="C26" i="3" s="1"/>
  <c r="C47" i="3" l="1"/>
  <c r="C42" i="3"/>
  <c r="C43" i="3"/>
  <c r="L42" i="3"/>
  <c r="C46" i="3"/>
  <c r="L41" i="3"/>
  <c r="C40" i="3"/>
  <c r="C39" i="3"/>
  <c r="L40" i="3"/>
  <c r="C45" i="3"/>
  <c r="L39" i="3"/>
  <c r="C41" i="3"/>
  <c r="C44" i="3"/>
  <c r="I39" i="3"/>
  <c r="B3" i="3"/>
  <c r="C3" i="3" s="1"/>
  <c r="C15" i="3"/>
  <c r="L14" i="3"/>
  <c r="C18" i="3"/>
  <c r="C16" i="3"/>
  <c r="L12" i="3"/>
  <c r="I11" i="3"/>
  <c r="F11" i="3"/>
  <c r="C14" i="3"/>
  <c r="C17" i="3"/>
  <c r="C12" i="3"/>
  <c r="C11" i="3"/>
  <c r="L13" i="3"/>
  <c r="C19" i="3"/>
  <c r="L11" i="3"/>
  <c r="C33" i="3"/>
  <c r="L28" i="3"/>
  <c r="C30" i="3"/>
  <c r="C25" i="3"/>
  <c r="C31" i="3"/>
  <c r="I25" i="3"/>
  <c r="C32" i="3"/>
  <c r="C28" i="3"/>
  <c r="L26" i="3"/>
  <c r="C29" i="3"/>
  <c r="C27" i="3"/>
  <c r="L25" i="3"/>
  <c r="L27" i="3"/>
  <c r="F25" i="3"/>
  <c r="B7" i="3" l="1"/>
  <c r="C6" i="3"/>
  <c r="C5" i="3"/>
  <c r="C4" i="3"/>
</calcChain>
</file>

<file path=xl/sharedStrings.xml><?xml version="1.0" encoding="utf-8"?>
<sst xmlns="http://schemas.openxmlformats.org/spreadsheetml/2006/main" count="181" uniqueCount="94">
  <si>
    <t>n°</t>
  </si>
  <si>
    <t>nom et prénom</t>
  </si>
  <si>
    <t>date de naissance</t>
  </si>
  <si>
    <t>bac (filière)</t>
  </si>
  <si>
    <t>lycée d'origine</t>
  </si>
  <si>
    <t>année du bac</t>
  </si>
  <si>
    <t>ville de résidence</t>
  </si>
  <si>
    <t>etat du dossier</t>
  </si>
  <si>
    <t>lycée</t>
  </si>
  <si>
    <t>H.Matisse Trappes</t>
  </si>
  <si>
    <t>Jean Moulin Le Chesnay</t>
  </si>
  <si>
    <t>Les Chataigniers Versailles</t>
  </si>
  <si>
    <t>MFR Rambouillet</t>
  </si>
  <si>
    <t>J.Vaucanson Les Mureaux</t>
  </si>
  <si>
    <t>L. Senghor Magnanville</t>
  </si>
  <si>
    <t>A.Bolland Poissy</t>
  </si>
  <si>
    <t>L.Weiss Acheres</t>
  </si>
  <si>
    <t>C.Claudel Mantes</t>
  </si>
  <si>
    <t>profil</t>
  </si>
  <si>
    <t>vide</t>
  </si>
  <si>
    <t>incomplet</t>
  </si>
  <si>
    <t>complet</t>
  </si>
  <si>
    <t>non conforme</t>
  </si>
  <si>
    <t>Lycée d'origine</t>
  </si>
  <si>
    <t>assp</t>
  </si>
  <si>
    <t>parcours</t>
  </si>
  <si>
    <t>partiel assp</t>
  </si>
  <si>
    <t>dossiers</t>
  </si>
  <si>
    <t>%</t>
  </si>
  <si>
    <t>profil de parcours</t>
  </si>
  <si>
    <t>nb</t>
  </si>
  <si>
    <t>nombre de candidatures</t>
  </si>
  <si>
    <t>TOTAL</t>
  </si>
  <si>
    <t>BACS 2025</t>
  </si>
  <si>
    <t>BACS 2024</t>
  </si>
  <si>
    <t>date convocation</t>
  </si>
  <si>
    <t>présent à l'entretien</t>
  </si>
  <si>
    <t>confirmation inscription</t>
  </si>
  <si>
    <t>réponse</t>
  </si>
  <si>
    <t>oui</t>
  </si>
  <si>
    <t>non</t>
  </si>
  <si>
    <t>convoqués</t>
  </si>
  <si>
    <t>convoqués 2025</t>
  </si>
  <si>
    <t>convoqués 2024</t>
  </si>
  <si>
    <t>candidats reçus</t>
  </si>
  <si>
    <t>candidats ajournés</t>
  </si>
  <si>
    <t>note obtenue</t>
  </si>
  <si>
    <t>par rapport au nombre de convoqués</t>
  </si>
  <si>
    <t>par rapport au nombre total de candidatures</t>
  </si>
  <si>
    <t>candidats convoqués à la sélection (dossier validé)</t>
  </si>
  <si>
    <t>candidats présents à l'entretien</t>
  </si>
  <si>
    <t>pression sélective</t>
  </si>
  <si>
    <t>nombre de candidats ayant passé la sélection par rapport au nombre de places</t>
  </si>
  <si>
    <t>par rapport au nombre de présents à l'entretien</t>
  </si>
  <si>
    <t>GLOBAL</t>
  </si>
  <si>
    <t>actuellement scolarisé ?</t>
  </si>
  <si>
    <t>CE TABLEAU SE REMPLIT AUTOMATIQUEMENT - NE PAS MODIFIER LES FORMULES 
(SAUF SI AJOUT DE TYPES DE BAC OU NOM DE LYCEES)</t>
  </si>
  <si>
    <t>id</t>
  </si>
  <si>
    <t>nom</t>
  </si>
  <si>
    <t>année</t>
  </si>
  <si>
    <t>abs/nj</t>
  </si>
  <si>
    <t>maths</t>
  </si>
  <si>
    <t>français</t>
  </si>
  <si>
    <t>bio /soins</t>
  </si>
  <si>
    <t>anim/sms</t>
  </si>
  <si>
    <t>nut/tech pro</t>
  </si>
  <si>
    <t>avis profs</t>
  </si>
  <si>
    <t>info</t>
  </si>
  <si>
    <t>numérique</t>
  </si>
  <si>
    <t>2ND</t>
  </si>
  <si>
    <t>1ERE</t>
  </si>
  <si>
    <t>TALE</t>
  </si>
  <si>
    <t>stage 1</t>
  </si>
  <si>
    <t>stage 2</t>
  </si>
  <si>
    <t>stage 3</t>
  </si>
  <si>
    <t>stage 4</t>
  </si>
  <si>
    <t>stage 5</t>
  </si>
  <si>
    <t>stage 6</t>
  </si>
  <si>
    <t>DOCS</t>
  </si>
  <si>
    <t>PI</t>
  </si>
  <si>
    <t>LM</t>
  </si>
  <si>
    <t>CV</t>
  </si>
  <si>
    <t>SPSPV</t>
  </si>
  <si>
    <t>BS 2nd</t>
  </si>
  <si>
    <t>BS 1ere</t>
  </si>
  <si>
    <t>BS Tale</t>
  </si>
  <si>
    <t>STAGE</t>
  </si>
  <si>
    <t>AT</t>
  </si>
  <si>
    <t>PCOMPL</t>
  </si>
  <si>
    <t>ID</t>
  </si>
  <si>
    <t>NE PAS REMPLIR POUR LE MOMENT - TEST EN COURS</t>
  </si>
  <si>
    <t>recupérer la cellule ID feuille recrutement</t>
  </si>
  <si>
    <t>récupérer la cellule nom feuille recrutement</t>
  </si>
  <si>
    <t>récupérer la cellule lycée d'origine feuille recrutement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</si>
</sst>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0" fillId="5" borderId="1" xfId="0" applyFill="1" applyBorder="1"/>
    <xf numFmtId="0" fontId="0" fillId="0" borderId="4" xfId="0" applyBorder="1"/>
    <xf numFmtId="9" fontId="0" fillId="0" borderId="1" xfId="0" applyNumberFormat="1" applyBorder="1"/>
    <xf numFmtId="0" fontId="0" fillId="0" borderId="3" xfId="0" applyBorder="1"/>
    <xf numFmtId="0" fontId="0" fillId="0" borderId="1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0" fillId="0" borderId="9" xfId="0" applyBorder="1"/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1" xfId="0" applyBorder="1"/>
    <xf numFmtId="0" fontId="4" fillId="0" borderId="1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2" fillId="2" borderId="1" xfId="0" applyFont="1" applyFill="1" applyBorder="1"/>
    <xf numFmtId="0" fontId="0" fillId="0" borderId="19" xfId="0" applyBorder="1" applyAlignment="1">
      <alignment horizontal="center" vertical="center" textRotation="90"/>
    </xf>
    <xf numFmtId="0" fontId="0" fillId="6" borderId="10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0" fontId="0" fillId="0" borderId="1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textRotation="90"/>
    </xf>
    <xf numFmtId="0" fontId="0" fillId="0" borderId="2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15"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83BF8-16E5-4A21-A8F9-71DD9181B4A8}">
  <dimension ref="A1:O66"/>
  <sheetViews>
    <sheetView tabSelected="1" workbookViewId="0">
      <selection activeCell="D5" sqref="D5"/>
    </sheetView>
  </sheetViews>
  <sheetFormatPr baseColWidth="10" defaultRowHeight="15" x14ac:dyDescent="0.25"/>
  <cols>
    <col min="1" max="1" width="4.85546875" style="1" customWidth="1"/>
    <col min="2" max="2" width="4.85546875" style="3" customWidth="1"/>
    <col min="3" max="3" width="14.7109375" style="1" bestFit="1" customWidth="1"/>
    <col min="4" max="4" width="16.85546875" style="1" bestFit="1" customWidth="1"/>
    <col min="5" max="5" width="16.85546875" style="1" customWidth="1"/>
    <col min="6" max="6" width="22.7109375" style="1" bestFit="1" customWidth="1"/>
    <col min="7" max="7" width="11.28515625" style="1" bestFit="1" customWidth="1"/>
    <col min="8" max="8" width="24.7109375" style="1" bestFit="1" customWidth="1"/>
    <col min="9" max="9" width="12.7109375" style="1" bestFit="1" customWidth="1"/>
    <col min="10" max="10" width="16.85546875" style="1" bestFit="1" customWidth="1"/>
    <col min="11" max="11" width="14.140625" style="1" bestFit="1" customWidth="1"/>
    <col min="12" max="12" width="16.28515625" style="1" bestFit="1" customWidth="1"/>
    <col min="13" max="13" width="19.28515625" style="1" bestFit="1" customWidth="1"/>
    <col min="14" max="14" width="13.140625" style="1" bestFit="1" customWidth="1"/>
    <col min="15" max="15" width="22.5703125" style="1" bestFit="1" customWidth="1"/>
  </cols>
  <sheetData>
    <row r="1" spans="1:15" x14ac:dyDescent="0.25">
      <c r="A1" s="1" t="s">
        <v>0</v>
      </c>
      <c r="B1" s="39" t="s">
        <v>89</v>
      </c>
      <c r="C1" s="1" t="s">
        <v>1</v>
      </c>
      <c r="D1" s="1" t="s">
        <v>2</v>
      </c>
      <c r="E1" s="1" t="s">
        <v>6</v>
      </c>
      <c r="F1" s="1" t="s">
        <v>55</v>
      </c>
      <c r="G1" s="1" t="s">
        <v>3</v>
      </c>
      <c r="H1" s="1" t="s">
        <v>4</v>
      </c>
      <c r="I1" s="1" t="s">
        <v>5</v>
      </c>
      <c r="J1" s="1" t="s">
        <v>29</v>
      </c>
      <c r="K1" s="1" t="s">
        <v>7</v>
      </c>
      <c r="L1" s="1" t="s">
        <v>35</v>
      </c>
      <c r="M1" s="1" t="s">
        <v>36</v>
      </c>
      <c r="N1" s="1" t="s">
        <v>46</v>
      </c>
      <c r="O1" s="1" t="s">
        <v>37</v>
      </c>
    </row>
    <row r="2" spans="1:15" x14ac:dyDescent="0.25">
      <c r="A2" s="1">
        <f>ROW(A1)</f>
        <v>1</v>
      </c>
    </row>
    <row r="3" spans="1:15" x14ac:dyDescent="0.25">
      <c r="A3" s="1">
        <f t="shared" ref="A3:A66" si="0">ROW(A2)</f>
        <v>2</v>
      </c>
    </row>
    <row r="4" spans="1:15" x14ac:dyDescent="0.25">
      <c r="A4" s="1">
        <f t="shared" si="0"/>
        <v>3</v>
      </c>
    </row>
    <row r="5" spans="1:15" x14ac:dyDescent="0.25">
      <c r="A5" s="1">
        <f t="shared" si="0"/>
        <v>4</v>
      </c>
    </row>
    <row r="6" spans="1:15" x14ac:dyDescent="0.25">
      <c r="A6" s="1">
        <f t="shared" si="0"/>
        <v>5</v>
      </c>
    </row>
    <row r="7" spans="1:15" x14ac:dyDescent="0.25">
      <c r="A7" s="1">
        <f t="shared" si="0"/>
        <v>6</v>
      </c>
    </row>
    <row r="8" spans="1:15" x14ac:dyDescent="0.25">
      <c r="A8" s="1">
        <f t="shared" si="0"/>
        <v>7</v>
      </c>
    </row>
    <row r="9" spans="1:15" x14ac:dyDescent="0.25">
      <c r="A9" s="1">
        <f t="shared" si="0"/>
        <v>8</v>
      </c>
    </row>
    <row r="10" spans="1:15" x14ac:dyDescent="0.25">
      <c r="A10" s="1">
        <f t="shared" si="0"/>
        <v>9</v>
      </c>
    </row>
    <row r="11" spans="1:15" x14ac:dyDescent="0.25">
      <c r="A11" s="1">
        <f t="shared" si="0"/>
        <v>10</v>
      </c>
    </row>
    <row r="12" spans="1:15" x14ac:dyDescent="0.25">
      <c r="A12" s="1">
        <f t="shared" si="0"/>
        <v>11</v>
      </c>
    </row>
    <row r="13" spans="1:15" x14ac:dyDescent="0.25">
      <c r="A13" s="1">
        <f t="shared" si="0"/>
        <v>12</v>
      </c>
    </row>
    <row r="14" spans="1:15" x14ac:dyDescent="0.25">
      <c r="A14" s="1">
        <f t="shared" si="0"/>
        <v>13</v>
      </c>
    </row>
    <row r="15" spans="1:15" x14ac:dyDescent="0.25">
      <c r="A15" s="1">
        <f t="shared" si="0"/>
        <v>14</v>
      </c>
    </row>
    <row r="16" spans="1:15" x14ac:dyDescent="0.25">
      <c r="A16" s="1">
        <f t="shared" si="0"/>
        <v>15</v>
      </c>
    </row>
    <row r="17" spans="1:1" x14ac:dyDescent="0.25">
      <c r="A17" s="1">
        <f t="shared" si="0"/>
        <v>16</v>
      </c>
    </row>
    <row r="18" spans="1:1" x14ac:dyDescent="0.25">
      <c r="A18" s="1">
        <f t="shared" si="0"/>
        <v>17</v>
      </c>
    </row>
    <row r="19" spans="1:1" x14ac:dyDescent="0.25">
      <c r="A19" s="1">
        <f t="shared" si="0"/>
        <v>18</v>
      </c>
    </row>
    <row r="20" spans="1:1" x14ac:dyDescent="0.25">
      <c r="A20" s="1">
        <f t="shared" si="0"/>
        <v>19</v>
      </c>
    </row>
    <row r="21" spans="1:1" x14ac:dyDescent="0.25">
      <c r="A21" s="1">
        <f t="shared" si="0"/>
        <v>20</v>
      </c>
    </row>
    <row r="22" spans="1:1" x14ac:dyDescent="0.25">
      <c r="A22" s="1">
        <f t="shared" si="0"/>
        <v>21</v>
      </c>
    </row>
    <row r="23" spans="1:1" x14ac:dyDescent="0.25">
      <c r="A23" s="1">
        <f t="shared" si="0"/>
        <v>22</v>
      </c>
    </row>
    <row r="24" spans="1:1" x14ac:dyDescent="0.25">
      <c r="A24" s="1">
        <f t="shared" si="0"/>
        <v>23</v>
      </c>
    </row>
    <row r="25" spans="1:1" x14ac:dyDescent="0.25">
      <c r="A25" s="1">
        <f t="shared" si="0"/>
        <v>24</v>
      </c>
    </row>
    <row r="26" spans="1:1" x14ac:dyDescent="0.25">
      <c r="A26" s="1">
        <f t="shared" si="0"/>
        <v>25</v>
      </c>
    </row>
    <row r="27" spans="1:1" x14ac:dyDescent="0.25">
      <c r="A27" s="1">
        <f t="shared" si="0"/>
        <v>26</v>
      </c>
    </row>
    <row r="28" spans="1:1" x14ac:dyDescent="0.25">
      <c r="A28" s="1">
        <f t="shared" si="0"/>
        <v>27</v>
      </c>
    </row>
    <row r="29" spans="1:1" x14ac:dyDescent="0.25">
      <c r="A29" s="1">
        <f t="shared" si="0"/>
        <v>28</v>
      </c>
    </row>
    <row r="30" spans="1:1" x14ac:dyDescent="0.25">
      <c r="A30" s="1">
        <f t="shared" si="0"/>
        <v>29</v>
      </c>
    </row>
    <row r="31" spans="1:1" x14ac:dyDescent="0.25">
      <c r="A31" s="1">
        <f t="shared" si="0"/>
        <v>30</v>
      </c>
    </row>
    <row r="32" spans="1:1" x14ac:dyDescent="0.25">
      <c r="A32" s="1">
        <f t="shared" si="0"/>
        <v>31</v>
      </c>
    </row>
    <row r="33" spans="1:1" x14ac:dyDescent="0.25">
      <c r="A33" s="1">
        <f t="shared" si="0"/>
        <v>32</v>
      </c>
    </row>
    <row r="34" spans="1:1" x14ac:dyDescent="0.25">
      <c r="A34" s="1">
        <f t="shared" si="0"/>
        <v>33</v>
      </c>
    </row>
    <row r="35" spans="1:1" x14ac:dyDescent="0.25">
      <c r="A35" s="1">
        <f t="shared" si="0"/>
        <v>34</v>
      </c>
    </row>
    <row r="36" spans="1:1" x14ac:dyDescent="0.25">
      <c r="A36" s="1">
        <f t="shared" si="0"/>
        <v>35</v>
      </c>
    </row>
    <row r="37" spans="1:1" x14ac:dyDescent="0.25">
      <c r="A37" s="1">
        <f t="shared" si="0"/>
        <v>36</v>
      </c>
    </row>
    <row r="38" spans="1:1" x14ac:dyDescent="0.25">
      <c r="A38" s="1">
        <f t="shared" si="0"/>
        <v>37</v>
      </c>
    </row>
    <row r="39" spans="1:1" x14ac:dyDescent="0.25">
      <c r="A39" s="1">
        <f t="shared" si="0"/>
        <v>38</v>
      </c>
    </row>
    <row r="40" spans="1:1" x14ac:dyDescent="0.25">
      <c r="A40" s="1">
        <f t="shared" si="0"/>
        <v>39</v>
      </c>
    </row>
    <row r="41" spans="1:1" x14ac:dyDescent="0.25">
      <c r="A41" s="1">
        <f t="shared" si="0"/>
        <v>40</v>
      </c>
    </row>
    <row r="42" spans="1:1" x14ac:dyDescent="0.25">
      <c r="A42" s="1">
        <f t="shared" si="0"/>
        <v>41</v>
      </c>
    </row>
    <row r="43" spans="1:1" x14ac:dyDescent="0.25">
      <c r="A43" s="1">
        <f t="shared" si="0"/>
        <v>42</v>
      </c>
    </row>
    <row r="44" spans="1:1" x14ac:dyDescent="0.25">
      <c r="A44" s="1">
        <f t="shared" si="0"/>
        <v>43</v>
      </c>
    </row>
    <row r="45" spans="1:1" x14ac:dyDescent="0.25">
      <c r="A45" s="1">
        <f t="shared" si="0"/>
        <v>44</v>
      </c>
    </row>
    <row r="46" spans="1:1" x14ac:dyDescent="0.25">
      <c r="A46" s="1">
        <f t="shared" si="0"/>
        <v>45</v>
      </c>
    </row>
    <row r="47" spans="1:1" x14ac:dyDescent="0.25">
      <c r="A47" s="1">
        <f t="shared" si="0"/>
        <v>46</v>
      </c>
    </row>
    <row r="48" spans="1:1" x14ac:dyDescent="0.25">
      <c r="A48" s="1">
        <f t="shared" si="0"/>
        <v>47</v>
      </c>
    </row>
    <row r="49" spans="1:1" x14ac:dyDescent="0.25">
      <c r="A49" s="1">
        <f t="shared" si="0"/>
        <v>48</v>
      </c>
    </row>
    <row r="50" spans="1:1" x14ac:dyDescent="0.25">
      <c r="A50" s="1">
        <f t="shared" si="0"/>
        <v>49</v>
      </c>
    </row>
    <row r="51" spans="1:1" x14ac:dyDescent="0.25">
      <c r="A51" s="1">
        <f t="shared" si="0"/>
        <v>50</v>
      </c>
    </row>
    <row r="52" spans="1:1" x14ac:dyDescent="0.25">
      <c r="A52" s="1">
        <f t="shared" si="0"/>
        <v>51</v>
      </c>
    </row>
    <row r="53" spans="1:1" x14ac:dyDescent="0.25">
      <c r="A53" s="1">
        <f t="shared" si="0"/>
        <v>52</v>
      </c>
    </row>
    <row r="54" spans="1:1" x14ac:dyDescent="0.25">
      <c r="A54" s="1">
        <f t="shared" si="0"/>
        <v>53</v>
      </c>
    </row>
    <row r="55" spans="1:1" x14ac:dyDescent="0.25">
      <c r="A55" s="1">
        <f t="shared" si="0"/>
        <v>54</v>
      </c>
    </row>
    <row r="56" spans="1:1" x14ac:dyDescent="0.25">
      <c r="A56" s="1">
        <f t="shared" si="0"/>
        <v>55</v>
      </c>
    </row>
    <row r="57" spans="1:1" x14ac:dyDescent="0.25">
      <c r="A57" s="1">
        <f t="shared" si="0"/>
        <v>56</v>
      </c>
    </row>
    <row r="58" spans="1:1" x14ac:dyDescent="0.25">
      <c r="A58" s="1">
        <f t="shared" si="0"/>
        <v>57</v>
      </c>
    </row>
    <row r="59" spans="1:1" x14ac:dyDescent="0.25">
      <c r="A59" s="1">
        <f t="shared" si="0"/>
        <v>58</v>
      </c>
    </row>
    <row r="60" spans="1:1" x14ac:dyDescent="0.25">
      <c r="A60" s="1">
        <f t="shared" si="0"/>
        <v>59</v>
      </c>
    </row>
    <row r="61" spans="1:1" x14ac:dyDescent="0.25">
      <c r="A61" s="1">
        <f t="shared" si="0"/>
        <v>60</v>
      </c>
    </row>
    <row r="62" spans="1:1" x14ac:dyDescent="0.25">
      <c r="A62" s="1">
        <f t="shared" si="0"/>
        <v>61</v>
      </c>
    </row>
    <row r="63" spans="1:1" x14ac:dyDescent="0.25">
      <c r="A63" s="1">
        <f t="shared" si="0"/>
        <v>62</v>
      </c>
    </row>
    <row r="64" spans="1:1" x14ac:dyDescent="0.25">
      <c r="A64" s="1">
        <f t="shared" si="0"/>
        <v>63</v>
      </c>
    </row>
    <row r="65" spans="1:1" x14ac:dyDescent="0.25">
      <c r="A65" s="1">
        <f t="shared" si="0"/>
        <v>64</v>
      </c>
    </row>
    <row r="66" spans="1:1" x14ac:dyDescent="0.25">
      <c r="A66" s="1">
        <f t="shared" si="0"/>
        <v>65</v>
      </c>
    </row>
  </sheetData>
  <conditionalFormatting sqref="L1:O1 K1:K1048576">
    <cfRule type="cellIs" dxfId="14" priority="6" operator="equal">
      <formula>"complet"</formula>
    </cfRule>
    <cfRule type="cellIs" dxfId="13" priority="7" operator="equal">
      <formula>"non conforme"</formula>
    </cfRule>
    <cfRule type="cellIs" dxfId="12" priority="8" operator="equal">
      <formula>"incomplet"</formula>
    </cfRule>
    <cfRule type="cellIs" dxfId="11" priority="9" operator="equal">
      <formula>"vide"</formula>
    </cfRule>
  </conditionalFormatting>
  <conditionalFormatting sqref="M1:O1048576">
    <cfRule type="cellIs" dxfId="10" priority="4" operator="equal">
      <formula>"non"</formula>
    </cfRule>
    <cfRule type="cellIs" dxfId="9" priority="5" operator="equal">
      <formula>"oui"</formula>
    </cfRule>
  </conditionalFormatting>
  <conditionalFormatting sqref="N1:N1048576">
    <cfRule type="cellIs" dxfId="8" priority="2" operator="lessThan">
      <formula>10</formula>
    </cfRule>
    <cfRule type="cellIs" dxfId="7" priority="3" operator="greaterThanOrEqual">
      <formula>10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90884B6-315D-4695-BBF5-58AD229727C8}">
          <x14:formula1>
            <xm:f>listes!$A$2:$A$10</xm:f>
          </x14:formula1>
          <xm:sqref>H1:H1048576</xm:sqref>
        </x14:dataValidation>
        <x14:dataValidation type="list" allowBlank="1" showInputMessage="1" showErrorMessage="1" xr:uid="{8FD83FB8-41C8-4903-8AEA-BC32C59AB5FC}">
          <x14:formula1>
            <xm:f>listes!$D$1:$D$2</xm:f>
          </x14:formula1>
          <xm:sqref>G1:G1048576</xm:sqref>
        </x14:dataValidation>
        <x14:dataValidation type="list" allowBlank="1" showInputMessage="1" showErrorMessage="1" xr:uid="{A6DEBC76-B5DF-45DE-A1C7-32900FA2DD85}">
          <x14:formula1>
            <xm:f>listes!$E$2:$E$3</xm:f>
          </x14:formula1>
          <xm:sqref>O1:O1048576 M1:M1048576</xm:sqref>
        </x14:dataValidation>
        <x14:dataValidation type="list" allowBlank="1" showInputMessage="1" showErrorMessage="1" xr:uid="{AECAEE9C-CF48-44B4-B03E-E10E7B9728B4}">
          <x14:formula1>
            <xm:f>listes!$C$2:$C$5</xm:f>
          </x14:formula1>
          <xm:sqref>K1:K1048576</xm:sqref>
        </x14:dataValidation>
        <x14:dataValidation type="list" allowBlank="1" showInputMessage="1" showErrorMessage="1" xr:uid="{3C1648F6-C320-409D-9699-1D7A63D433B9}">
          <x14:formula1>
            <xm:f>'statistiques recrutement'!$G$11:$G$11</xm:f>
          </x14:formula1>
          <xm:sqref>J1:J1048576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2DCF6-EA9F-4FA4-B09A-9C2886122D58}">
  <dimension ref="A1:M16"/>
  <sheetViews>
    <sheetView workbookViewId="0">
      <selection activeCell="P24" sqref="P24"/>
    </sheetView>
  </sheetViews>
  <sheetFormatPr baseColWidth="10" defaultRowHeight="15" x14ac:dyDescent="0.25"/>
  <cols>
    <col min="1" max="1" width="12.28515625" customWidth="1"/>
    <col min="2" max="2" width="12.5703125" customWidth="1"/>
    <col min="3" max="3" width="12.85546875" customWidth="1"/>
  </cols>
  <sheetData>
    <row r="1" spans="1:13" ht="24" thickBot="1" x14ac:dyDescent="0.4">
      <c r="A1" s="43" t="s">
        <v>90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ht="15.75" thickBot="1" x14ac:dyDescent="0.3">
      <c r="A2" s="57" t="s">
        <v>57</v>
      </c>
      <c r="B2" s="58" t="s">
        <v>58</v>
      </c>
      <c r="C2" s="58" t="s">
        <v>8</v>
      </c>
      <c r="D2" s="17" t="s">
        <v>59</v>
      </c>
      <c r="E2" s="17" t="s">
        <v>60</v>
      </c>
      <c r="F2" s="17" t="s">
        <v>61</v>
      </c>
      <c r="G2" s="17" t="s">
        <v>62</v>
      </c>
      <c r="H2" s="17" t="s">
        <v>63</v>
      </c>
      <c r="I2" s="17" t="s">
        <v>64</v>
      </c>
      <c r="J2" s="17" t="s">
        <v>65</v>
      </c>
      <c r="K2" s="17" t="s">
        <v>66</v>
      </c>
      <c r="L2" s="18" t="s">
        <v>67</v>
      </c>
      <c r="M2" s="19" t="s">
        <v>68</v>
      </c>
    </row>
    <row r="3" spans="1:13" x14ac:dyDescent="0.25">
      <c r="A3" s="61" t="s">
        <v>91</v>
      </c>
      <c r="B3" s="61" t="s">
        <v>92</v>
      </c>
      <c r="C3" s="61" t="s">
        <v>93</v>
      </c>
      <c r="D3" s="55" t="s">
        <v>69</v>
      </c>
      <c r="E3" s="20"/>
      <c r="F3" s="21"/>
      <c r="G3" s="21"/>
      <c r="H3" s="22"/>
      <c r="I3" s="22"/>
      <c r="J3" s="22"/>
      <c r="K3" s="23"/>
      <c r="L3" s="44"/>
      <c r="M3" s="44"/>
    </row>
    <row r="4" spans="1:13" x14ac:dyDescent="0.25">
      <c r="A4" s="61"/>
      <c r="B4" s="61"/>
      <c r="C4" s="61"/>
      <c r="D4" s="56" t="s">
        <v>69</v>
      </c>
      <c r="E4" s="24"/>
      <c r="F4" s="25"/>
      <c r="G4" s="25"/>
      <c r="H4" s="26"/>
      <c r="I4" s="26"/>
      <c r="J4" s="26"/>
      <c r="K4" s="27"/>
      <c r="L4" s="45"/>
      <c r="M4" s="45"/>
    </row>
    <row r="5" spans="1:13" x14ac:dyDescent="0.25">
      <c r="A5" s="61"/>
      <c r="B5" s="61"/>
      <c r="C5" s="61"/>
      <c r="D5" s="56" t="s">
        <v>70</v>
      </c>
      <c r="E5" s="24"/>
      <c r="F5" s="25"/>
      <c r="G5" s="25"/>
      <c r="H5" s="25"/>
      <c r="I5" s="25"/>
      <c r="J5" s="25"/>
      <c r="K5" s="27"/>
      <c r="L5" s="45"/>
      <c r="M5" s="45"/>
    </row>
    <row r="6" spans="1:13" x14ac:dyDescent="0.25">
      <c r="A6" s="61"/>
      <c r="B6" s="61"/>
      <c r="C6" s="61"/>
      <c r="D6" s="56" t="s">
        <v>70</v>
      </c>
      <c r="E6" s="24"/>
      <c r="F6" s="28"/>
      <c r="G6" s="25"/>
      <c r="H6" s="25"/>
      <c r="I6" s="25"/>
      <c r="J6" s="25"/>
      <c r="K6" s="27"/>
      <c r="L6" s="45"/>
      <c r="M6" s="45"/>
    </row>
    <row r="7" spans="1:13" x14ac:dyDescent="0.25">
      <c r="A7" s="61"/>
      <c r="B7" s="61"/>
      <c r="C7" s="61"/>
      <c r="D7" s="56" t="s">
        <v>71</v>
      </c>
      <c r="E7" s="24"/>
      <c r="F7" s="28"/>
      <c r="G7" s="25"/>
      <c r="H7" s="25"/>
      <c r="I7" s="25"/>
      <c r="J7" s="25"/>
      <c r="K7" s="27"/>
      <c r="L7" s="45"/>
      <c r="M7" s="45"/>
    </row>
    <row r="8" spans="1:13" ht="15.75" thickBot="1" x14ac:dyDescent="0.3">
      <c r="A8" s="61"/>
      <c r="B8" s="61"/>
      <c r="C8" s="61"/>
      <c r="D8" s="38" t="s">
        <v>71</v>
      </c>
      <c r="E8" s="29"/>
      <c r="F8" s="30"/>
      <c r="G8" s="30"/>
      <c r="H8" s="30"/>
      <c r="I8" s="30"/>
      <c r="J8" s="30"/>
      <c r="K8" s="31"/>
      <c r="L8" s="46"/>
      <c r="M8" s="45"/>
    </row>
    <row r="9" spans="1:13" x14ac:dyDescent="0.25">
      <c r="A9" s="61"/>
      <c r="B9" s="61"/>
      <c r="C9" s="61"/>
      <c r="D9" s="55" t="s">
        <v>72</v>
      </c>
      <c r="E9" s="47"/>
      <c r="F9" s="47"/>
      <c r="G9" s="47"/>
      <c r="H9" s="47"/>
      <c r="I9" s="47"/>
      <c r="J9" s="47"/>
      <c r="K9" s="48"/>
      <c r="L9" s="44"/>
      <c r="M9" s="45"/>
    </row>
    <row r="10" spans="1:13" x14ac:dyDescent="0.25">
      <c r="A10" s="61"/>
      <c r="B10" s="61"/>
      <c r="C10" s="61"/>
      <c r="D10" s="56" t="s">
        <v>73</v>
      </c>
      <c r="E10" s="49"/>
      <c r="F10" s="49"/>
      <c r="G10" s="49"/>
      <c r="H10" s="49"/>
      <c r="I10" s="49"/>
      <c r="J10" s="49"/>
      <c r="K10" s="50"/>
      <c r="L10" s="45"/>
      <c r="M10" s="45"/>
    </row>
    <row r="11" spans="1:13" x14ac:dyDescent="0.25">
      <c r="A11" s="61"/>
      <c r="B11" s="61"/>
      <c r="C11" s="61"/>
      <c r="D11" s="56" t="s">
        <v>74</v>
      </c>
      <c r="E11" s="49"/>
      <c r="F11" s="49"/>
      <c r="G11" s="49"/>
      <c r="H11" s="49"/>
      <c r="I11" s="49"/>
      <c r="J11" s="49"/>
      <c r="K11" s="50"/>
      <c r="L11" s="45"/>
      <c r="M11" s="45"/>
    </row>
    <row r="12" spans="1:13" x14ac:dyDescent="0.25">
      <c r="A12" s="61"/>
      <c r="B12" s="61"/>
      <c r="C12" s="61"/>
      <c r="D12" s="56" t="s">
        <v>75</v>
      </c>
      <c r="E12" s="49"/>
      <c r="F12" s="49"/>
      <c r="G12" s="49"/>
      <c r="H12" s="49"/>
      <c r="I12" s="49"/>
      <c r="J12" s="49"/>
      <c r="K12" s="50"/>
      <c r="L12" s="45"/>
      <c r="M12" s="45"/>
    </row>
    <row r="13" spans="1:13" x14ac:dyDescent="0.25">
      <c r="A13" s="61"/>
      <c r="B13" s="61"/>
      <c r="C13" s="61"/>
      <c r="D13" s="56" t="s">
        <v>76</v>
      </c>
      <c r="E13" s="49"/>
      <c r="F13" s="49"/>
      <c r="G13" s="49"/>
      <c r="H13" s="49"/>
      <c r="I13" s="49"/>
      <c r="J13" s="49"/>
      <c r="K13" s="50"/>
      <c r="L13" s="45"/>
      <c r="M13" s="45"/>
    </row>
    <row r="14" spans="1:13" ht="15.75" thickBot="1" x14ac:dyDescent="0.3">
      <c r="A14" s="61"/>
      <c r="B14" s="61"/>
      <c r="C14" s="61"/>
      <c r="D14" s="38" t="s">
        <v>77</v>
      </c>
      <c r="E14" s="51"/>
      <c r="F14" s="51"/>
      <c r="G14" s="51"/>
      <c r="H14" s="51"/>
      <c r="I14" s="51"/>
      <c r="J14" s="51"/>
      <c r="K14" s="52"/>
      <c r="L14" s="46"/>
      <c r="M14" s="45"/>
    </row>
    <row r="15" spans="1:13" x14ac:dyDescent="0.25">
      <c r="A15" s="59" t="s">
        <v>78</v>
      </c>
      <c r="B15" s="60" t="s">
        <v>79</v>
      </c>
      <c r="C15" s="60" t="s">
        <v>80</v>
      </c>
      <c r="D15" s="36" t="s">
        <v>81</v>
      </c>
      <c r="E15" s="32" t="s">
        <v>82</v>
      </c>
      <c r="F15" s="32" t="s">
        <v>83</v>
      </c>
      <c r="G15" s="32" t="s">
        <v>84</v>
      </c>
      <c r="H15" s="32" t="s">
        <v>85</v>
      </c>
      <c r="I15" s="32" t="s">
        <v>86</v>
      </c>
      <c r="J15" s="32" t="s">
        <v>87</v>
      </c>
      <c r="K15" s="33" t="s">
        <v>88</v>
      </c>
      <c r="L15" s="41"/>
      <c r="M15" s="45"/>
    </row>
    <row r="16" spans="1:13" ht="15.75" thickBot="1" x14ac:dyDescent="0.3">
      <c r="A16" s="40"/>
      <c r="B16" s="37"/>
      <c r="C16" s="37"/>
      <c r="D16" s="38"/>
      <c r="E16" s="34"/>
      <c r="F16" s="34"/>
      <c r="G16" s="34"/>
      <c r="H16" s="34"/>
      <c r="I16" s="34"/>
      <c r="J16" s="34"/>
      <c r="K16" s="35"/>
      <c r="L16" s="42"/>
      <c r="M16" s="46"/>
    </row>
  </sheetData>
  <mergeCells count="15">
    <mergeCell ref="M3:M16"/>
    <mergeCell ref="E9:K9"/>
    <mergeCell ref="L9:L14"/>
    <mergeCell ref="E10:K10"/>
    <mergeCell ref="E11:K11"/>
    <mergeCell ref="E12:K12"/>
    <mergeCell ref="A3:A14"/>
    <mergeCell ref="B3:B14"/>
    <mergeCell ref="C3:C14"/>
    <mergeCell ref="L3:L8"/>
    <mergeCell ref="A1:M1"/>
    <mergeCell ref="E13:K13"/>
    <mergeCell ref="E14:K14"/>
    <mergeCell ref="A15:A16"/>
    <mergeCell ref="L15:L16"/>
  </mergeCells>
  <conditionalFormatting sqref="A2:K2 M2 A3:H3 K3:K4 A4:G4 A5:K16">
    <cfRule type="containsText" dxfId="6" priority="8" operator="containsText" text="doc">
      <formula>NOT(ISERROR(SEARCH("doc",A2)))</formula>
    </cfRule>
    <cfRule type="cellIs" dxfId="5" priority="9" operator="equal">
      <formula>"non rendu"</formula>
    </cfRule>
    <cfRule type="cellIs" dxfId="4" priority="10" operator="equal">
      <formula>"NR"</formula>
    </cfRule>
    <cfRule type="cellIs" dxfId="3" priority="11" operator="equal">
      <formula>"AUTRE"</formula>
    </cfRule>
    <cfRule type="cellIs" dxfId="2" priority="12" operator="equal">
      <formula>"ODT"</formula>
    </cfRule>
    <cfRule type="cellIs" dxfId="1" priority="13" operator="equal">
      <formula>"JPG"</formula>
    </cfRule>
    <cfRule type="cellIs" dxfId="0" priority="14" operator="equal">
      <formula>"PDF"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664D8-1BE3-41BE-B754-F4971F383C02}">
  <dimension ref="A1:E10"/>
  <sheetViews>
    <sheetView workbookViewId="0">
      <selection activeCell="B2" sqref="B2"/>
    </sheetView>
  </sheetViews>
  <sheetFormatPr baseColWidth="10" defaultRowHeight="15" x14ac:dyDescent="0.25"/>
  <cols>
    <col min="1" max="1" width="24.7109375" bestFit="1" customWidth="1"/>
    <col min="2" max="2" width="19.28515625" bestFit="1" customWidth="1"/>
    <col min="3" max="3" width="14.140625" bestFit="1" customWidth="1"/>
  </cols>
  <sheetData>
    <row r="1" spans="1:5" x14ac:dyDescent="0.25">
      <c r="A1" s="1" t="s">
        <v>8</v>
      </c>
      <c r="B1" s="1" t="s">
        <v>18</v>
      </c>
      <c r="C1" s="1" t="s">
        <v>7</v>
      </c>
      <c r="D1" s="1" t="s">
        <v>3</v>
      </c>
      <c r="E1" s="13" t="s">
        <v>38</v>
      </c>
    </row>
    <row r="2" spans="1:5" x14ac:dyDescent="0.25">
      <c r="A2" t="s">
        <v>9</v>
      </c>
      <c r="B2" t="s">
        <v>26</v>
      </c>
      <c r="C2" t="s">
        <v>19</v>
      </c>
      <c r="D2" t="s">
        <v>24</v>
      </c>
      <c r="E2" t="s">
        <v>39</v>
      </c>
    </row>
    <row r="3" spans="1:5" x14ac:dyDescent="0.25">
      <c r="A3" t="s">
        <v>10</v>
      </c>
      <c r="C3" t="s">
        <v>20</v>
      </c>
      <c r="E3" t="s">
        <v>40</v>
      </c>
    </row>
    <row r="4" spans="1:5" x14ac:dyDescent="0.25">
      <c r="A4" t="s">
        <v>11</v>
      </c>
      <c r="C4" t="s">
        <v>21</v>
      </c>
    </row>
    <row r="5" spans="1:5" x14ac:dyDescent="0.25">
      <c r="A5" t="s">
        <v>12</v>
      </c>
      <c r="C5" t="s">
        <v>22</v>
      </c>
    </row>
    <row r="6" spans="1:5" x14ac:dyDescent="0.25">
      <c r="A6" t="s">
        <v>13</v>
      </c>
    </row>
    <row r="7" spans="1:5" x14ac:dyDescent="0.25">
      <c r="A7" t="s">
        <v>14</v>
      </c>
    </row>
    <row r="8" spans="1:5" x14ac:dyDescent="0.25">
      <c r="A8" t="s">
        <v>15</v>
      </c>
    </row>
    <row r="9" spans="1:5" x14ac:dyDescent="0.25">
      <c r="A9" t="s">
        <v>16</v>
      </c>
    </row>
    <row r="10" spans="1:5" x14ac:dyDescent="0.25">
      <c r="A10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B70A9-74BA-4897-B6EB-6A63186A0C23}">
  <dimension ref="A1:L49"/>
  <sheetViews>
    <sheetView workbookViewId="0">
      <selection activeCell="G45" sqref="G45"/>
    </sheetView>
  </sheetViews>
  <sheetFormatPr baseColWidth="10" defaultRowHeight="15" x14ac:dyDescent="0.25"/>
  <cols>
    <col min="1" max="1" width="29.7109375" bestFit="1" customWidth="1"/>
    <col min="10" max="10" width="15" bestFit="1" customWidth="1"/>
    <col min="11" max="11" width="13.42578125" customWidth="1"/>
  </cols>
  <sheetData>
    <row r="1" spans="1:12" ht="48.75" customHeight="1" x14ac:dyDescent="0.35">
      <c r="A1" s="54" t="s">
        <v>56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8" customHeight="1" x14ac:dyDescent="0.25">
      <c r="A2" s="1" t="s">
        <v>31</v>
      </c>
      <c r="B2" s="1">
        <f>COUNTA(recrutement!C:C)-1</f>
        <v>0</v>
      </c>
    </row>
    <row r="3" spans="1:12" ht="30" x14ac:dyDescent="0.25">
      <c r="A3" s="16" t="s">
        <v>49</v>
      </c>
      <c r="B3" s="1">
        <f>K16+K30</f>
        <v>0</v>
      </c>
      <c r="C3" t="e">
        <f>(B3*100)/B2</f>
        <v>#DIV/0!</v>
      </c>
      <c r="D3" t="s">
        <v>48</v>
      </c>
    </row>
    <row r="4" spans="1:12" x14ac:dyDescent="0.25">
      <c r="A4" s="1" t="s">
        <v>50</v>
      </c>
      <c r="B4" s="1">
        <f>COUNTIF(recrutement!M:M,"oui")</f>
        <v>0</v>
      </c>
      <c r="C4" t="e">
        <f>(B4*100)/B3</f>
        <v>#DIV/0!</v>
      </c>
      <c r="D4" t="s">
        <v>47</v>
      </c>
    </row>
    <row r="5" spans="1:12" x14ac:dyDescent="0.25">
      <c r="A5" s="1" t="s">
        <v>44</v>
      </c>
      <c r="B5" s="1">
        <f>COUNTIF(recrutement!N:N,"&gt;=10")</f>
        <v>0</v>
      </c>
      <c r="C5" t="e">
        <f>(B5*100)/B3</f>
        <v>#DIV/0!</v>
      </c>
      <c r="D5" t="s">
        <v>47</v>
      </c>
      <c r="H5" t="e">
        <f>(B5*100)/B4</f>
        <v>#DIV/0!</v>
      </c>
      <c r="I5" t="s">
        <v>53</v>
      </c>
    </row>
    <row r="6" spans="1:12" x14ac:dyDescent="0.25">
      <c r="A6" s="1" t="s">
        <v>45</v>
      </c>
      <c r="B6" s="1">
        <f>COUNTIF(recrutement!N:N,"&lt;10")</f>
        <v>0</v>
      </c>
      <c r="C6" t="e">
        <f>(B6*100)/B3</f>
        <v>#DIV/0!</v>
      </c>
      <c r="D6" t="s">
        <v>47</v>
      </c>
      <c r="H6" t="e">
        <f>(B6*100)/B4</f>
        <v>#DIV/0!</v>
      </c>
      <c r="I6" t="s">
        <v>53</v>
      </c>
    </row>
    <row r="7" spans="1:12" x14ac:dyDescent="0.25">
      <c r="A7" s="1" t="s">
        <v>51</v>
      </c>
      <c r="B7" s="1">
        <f>B3/24</f>
        <v>0</v>
      </c>
      <c r="D7" t="s">
        <v>52</v>
      </c>
    </row>
    <row r="8" spans="1:12" x14ac:dyDescent="0.25">
      <c r="A8" s="1"/>
      <c r="B8" s="1"/>
    </row>
    <row r="9" spans="1:12" x14ac:dyDescent="0.25">
      <c r="A9" s="53" t="s">
        <v>33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x14ac:dyDescent="0.25">
      <c r="A10" s="3" t="s">
        <v>23</v>
      </c>
      <c r="B10" s="3" t="s">
        <v>30</v>
      </c>
      <c r="C10" s="4" t="s">
        <v>28</v>
      </c>
      <c r="D10" s="5" t="s">
        <v>3</v>
      </c>
      <c r="E10" s="5" t="s">
        <v>30</v>
      </c>
      <c r="F10" s="6" t="s">
        <v>28</v>
      </c>
      <c r="G10" s="7" t="s">
        <v>25</v>
      </c>
      <c r="H10" s="8" t="s">
        <v>30</v>
      </c>
      <c r="I10" s="9" t="s">
        <v>28</v>
      </c>
      <c r="J10" s="10" t="s">
        <v>27</v>
      </c>
      <c r="K10" s="11" t="s">
        <v>30</v>
      </c>
      <c r="L10" s="12" t="s">
        <v>28</v>
      </c>
    </row>
    <row r="11" spans="1:12" x14ac:dyDescent="0.25">
      <c r="A11" s="1" t="s">
        <v>9</v>
      </c>
      <c r="B11" s="1">
        <f>COUNTIFS(recrutement!I:I,"2025",recrutement!H:H,"H.Matisse Trappes")</f>
        <v>0</v>
      </c>
      <c r="C11" s="1" t="e">
        <f>(B11*100)/B21</f>
        <v>#DIV/0!</v>
      </c>
      <c r="D11" s="1" t="s">
        <v>24</v>
      </c>
      <c r="E11" s="1">
        <f>COUNTIFS(recrutement!I:I,"2025",recrutement!G:G,"assp")</f>
        <v>0</v>
      </c>
      <c r="F11" s="1" t="e">
        <f>(E11*100)/B21</f>
        <v>#DIV/0!</v>
      </c>
      <c r="G11" s="15" t="s">
        <v>26</v>
      </c>
      <c r="H11" s="2">
        <f>COUNTIFS(recrutement!I:I,"2025",recrutement!J:J,"partiel assp")</f>
        <v>0</v>
      </c>
      <c r="I11" s="2" t="e">
        <f>(H11*100)/B21</f>
        <v>#DIV/0!</v>
      </c>
      <c r="J11" s="1" t="s">
        <v>19</v>
      </c>
      <c r="K11" s="1">
        <f>COUNTIFS(recrutement!I:I,"2025",recrutement!K:K,"vide")</f>
        <v>0</v>
      </c>
      <c r="L11" s="1" t="e">
        <f>(K11*100)/B21</f>
        <v>#DIV/0!</v>
      </c>
    </row>
    <row r="12" spans="1:12" x14ac:dyDescent="0.25">
      <c r="A12" s="1" t="s">
        <v>10</v>
      </c>
      <c r="B12" s="1">
        <f>COUNTIFS(recrutement!I:I,"2025",recrutement!H:H,"Jean Moulin Le Chesnay")</f>
        <v>0</v>
      </c>
      <c r="C12" s="1" t="e">
        <f>(B12*100)/B21</f>
        <v>#DIV/0!</v>
      </c>
      <c r="D12" s="1"/>
      <c r="E12" s="1"/>
      <c r="F12" s="1"/>
      <c r="J12" s="1" t="s">
        <v>22</v>
      </c>
      <c r="K12" s="1">
        <f>COUNTIFS(recrutement!I:I,"2025",recrutement!K:K,"non conforme")</f>
        <v>0</v>
      </c>
      <c r="L12" s="1" t="e">
        <f>(K12*100)/B21</f>
        <v>#DIV/0!</v>
      </c>
    </row>
    <row r="13" spans="1:12" x14ac:dyDescent="0.25">
      <c r="A13" s="1" t="s">
        <v>11</v>
      </c>
      <c r="B13" s="1">
        <f>COUNTIFS(recrutement!I:I,"2025",recrutement!H:H,"Les Chataigniers Versailles")</f>
        <v>0</v>
      </c>
      <c r="C13" s="1" t="e">
        <f>(B13*100)/B21</f>
        <v>#DIV/0!</v>
      </c>
      <c r="D13" s="1"/>
      <c r="E13" s="1"/>
      <c r="F13" s="1"/>
      <c r="J13" s="1" t="s">
        <v>20</v>
      </c>
      <c r="K13" s="1">
        <f>COUNTIFS(recrutement!I:I,"2025",recrutement!K:K,"incomplet")</f>
        <v>0</v>
      </c>
      <c r="L13" s="1" t="e">
        <f>(K13*100)/B21</f>
        <v>#DIV/0!</v>
      </c>
    </row>
    <row r="14" spans="1:12" x14ac:dyDescent="0.25">
      <c r="A14" s="1" t="s">
        <v>12</v>
      </c>
      <c r="B14" s="1">
        <f>COUNTIFS(recrutement!I:I,"2025",recrutement!H:H,"MFR Rambouillet")</f>
        <v>0</v>
      </c>
      <c r="C14" s="1" t="e">
        <f>(B14*100)/B21</f>
        <v>#DIV/0!</v>
      </c>
      <c r="D14" s="1"/>
      <c r="E14" s="1"/>
      <c r="F14" s="1"/>
      <c r="J14" s="1" t="s">
        <v>21</v>
      </c>
      <c r="K14" s="1">
        <f>COUNTIFS(recrutement!I:I,"2025",recrutement!K:K,"complet")</f>
        <v>0</v>
      </c>
      <c r="L14" s="1" t="e">
        <f>(K14*100)/B21</f>
        <v>#DIV/0!</v>
      </c>
    </row>
    <row r="15" spans="1:12" x14ac:dyDescent="0.25">
      <c r="A15" s="1" t="s">
        <v>13</v>
      </c>
      <c r="B15" s="1">
        <f>COUNTIFS(recrutement!I:I,"2025",recrutement!H:H,"J.Vaucanson Les Mureaux")</f>
        <v>0</v>
      </c>
      <c r="C15" s="1" t="e">
        <f>(B15*100)/B21</f>
        <v>#DIV/0!</v>
      </c>
      <c r="D15" s="1"/>
      <c r="E15" s="1"/>
      <c r="F15" s="1"/>
    </row>
    <row r="16" spans="1:12" x14ac:dyDescent="0.25">
      <c r="A16" s="1" t="s">
        <v>14</v>
      </c>
      <c r="B16" s="1">
        <f>COUNTIFS(recrutement!I:I,"2025",recrutement!H:H,"L. Senghor Magnanville")</f>
        <v>0</v>
      </c>
      <c r="C16" s="1" t="e">
        <f>(B16*100)/B21</f>
        <v>#DIV/0!</v>
      </c>
      <c r="D16" s="1"/>
      <c r="E16" s="1"/>
      <c r="F16" s="1"/>
      <c r="J16" s="1" t="s">
        <v>42</v>
      </c>
      <c r="K16" s="1">
        <f>SUM(K13:K14)</f>
        <v>0</v>
      </c>
    </row>
    <row r="17" spans="1:12" x14ac:dyDescent="0.25">
      <c r="A17" s="1" t="s">
        <v>15</v>
      </c>
      <c r="B17" s="1">
        <f>COUNTIFS(recrutement!I:I,"2025",recrutement!H:H,"A.Bolland Poissy")</f>
        <v>0</v>
      </c>
      <c r="C17" s="1" t="e">
        <f>(B17*100)/B21</f>
        <v>#DIV/0!</v>
      </c>
      <c r="D17" s="1"/>
      <c r="E17" s="1"/>
      <c r="F17" s="1"/>
    </row>
    <row r="18" spans="1:12" x14ac:dyDescent="0.25">
      <c r="A18" s="1" t="s">
        <v>16</v>
      </c>
      <c r="B18" s="1">
        <f>COUNTIFS(recrutement!I:I,"2025",recrutement!H:H,"L.Weiss Acheres")</f>
        <v>0</v>
      </c>
      <c r="C18" s="1" t="e">
        <f>(B18*100)/B21</f>
        <v>#DIV/0!</v>
      </c>
      <c r="D18" s="1"/>
      <c r="E18" s="1"/>
      <c r="F18" s="1"/>
    </row>
    <row r="19" spans="1:12" x14ac:dyDescent="0.25">
      <c r="A19" s="1" t="s">
        <v>17</v>
      </c>
      <c r="B19" s="1">
        <f>COUNTIFS(recrutement!I:I,"2025",recrutement!H:H,"C.Claudel Mantes")</f>
        <v>0</v>
      </c>
      <c r="C19" s="1" t="e">
        <f>(B19*100)/B21</f>
        <v>#DIV/0!</v>
      </c>
      <c r="D19" s="1"/>
      <c r="E19" s="1"/>
      <c r="F19" s="1"/>
    </row>
    <row r="20" spans="1:12" x14ac:dyDescent="0.25">
      <c r="A20" s="1"/>
      <c r="B20" s="1"/>
      <c r="C20" s="1"/>
    </row>
    <row r="21" spans="1:12" x14ac:dyDescent="0.25">
      <c r="A21" s="1" t="s">
        <v>32</v>
      </c>
      <c r="B21" s="1">
        <f>SUM(B11:B19)</f>
        <v>0</v>
      </c>
      <c r="C21" s="14">
        <v>1</v>
      </c>
    </row>
    <row r="23" spans="1:12" x14ac:dyDescent="0.25">
      <c r="A23" s="53" t="s">
        <v>34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</row>
    <row r="24" spans="1:12" x14ac:dyDescent="0.25">
      <c r="A24" s="3" t="s">
        <v>23</v>
      </c>
      <c r="B24" s="3" t="s">
        <v>30</v>
      </c>
      <c r="C24" s="4" t="s">
        <v>28</v>
      </c>
      <c r="D24" s="5" t="s">
        <v>3</v>
      </c>
      <c r="E24" s="5" t="s">
        <v>30</v>
      </c>
      <c r="F24" s="6" t="s">
        <v>28</v>
      </c>
      <c r="G24" s="7" t="s">
        <v>25</v>
      </c>
      <c r="H24" s="8" t="s">
        <v>30</v>
      </c>
      <c r="I24" s="9" t="s">
        <v>28</v>
      </c>
      <c r="J24" s="10" t="s">
        <v>27</v>
      </c>
      <c r="K24" s="11" t="s">
        <v>30</v>
      </c>
      <c r="L24" s="12" t="s">
        <v>28</v>
      </c>
    </row>
    <row r="25" spans="1:12" x14ac:dyDescent="0.25">
      <c r="A25" s="1" t="s">
        <v>9</v>
      </c>
      <c r="B25" s="1">
        <f>COUNTIFS(recrutement!I:I,"2024",recrutement!H:H,"H.Matisse Trappes")</f>
        <v>0</v>
      </c>
      <c r="C25" s="1" t="e">
        <f>(B25*100)/B35</f>
        <v>#DIV/0!</v>
      </c>
      <c r="D25" s="1" t="s">
        <v>24</v>
      </c>
      <c r="E25" s="1">
        <f>COUNTIFS(recrutement!I:I,"2024",recrutement!G:G,"assp")</f>
        <v>0</v>
      </c>
      <c r="F25" s="1" t="e">
        <f>(E25*100)/B35</f>
        <v>#DIV/0!</v>
      </c>
      <c r="G25" s="15" t="s">
        <v>26</v>
      </c>
      <c r="H25" s="2">
        <f>COUNTIFS(recrutement!I:I,"2024",recrutement!J:J,"partiel assp")</f>
        <v>0</v>
      </c>
      <c r="I25" s="2" t="e">
        <f>(H25*100)/B35</f>
        <v>#DIV/0!</v>
      </c>
      <c r="J25" s="1" t="s">
        <v>19</v>
      </c>
      <c r="K25" s="1">
        <f>COUNTIFS(recrutement!I:I,"2024",recrutement!K:K,"vide")</f>
        <v>0</v>
      </c>
      <c r="L25" s="1" t="e">
        <f>(K25*100)/B35</f>
        <v>#DIV/0!</v>
      </c>
    </row>
    <row r="26" spans="1:12" x14ac:dyDescent="0.25">
      <c r="A26" s="1" t="s">
        <v>10</v>
      </c>
      <c r="B26" s="1">
        <f>COUNTIFS(recrutement!I:I,"2024",recrutement!H:H,"Jean Moulin Le Chesnay")</f>
        <v>0</v>
      </c>
      <c r="C26" s="1" t="e">
        <f>(B26*100)/B35</f>
        <v>#DIV/0!</v>
      </c>
      <c r="D26" s="1"/>
      <c r="E26" s="1"/>
      <c r="F26" s="1"/>
      <c r="J26" s="1" t="s">
        <v>22</v>
      </c>
      <c r="K26" s="1">
        <f>COUNTIFS(recrutement!I:I,"2024",recrutement!K:K,"non conforme")</f>
        <v>0</v>
      </c>
      <c r="L26" s="1" t="e">
        <f>(K26*100)/B35</f>
        <v>#DIV/0!</v>
      </c>
    </row>
    <row r="27" spans="1:12" x14ac:dyDescent="0.25">
      <c r="A27" s="1" t="s">
        <v>11</v>
      </c>
      <c r="B27" s="1">
        <f>COUNTIFS(recrutement!I:I,"2024",recrutement!H:H,"Les Chataigniers Versailles")</f>
        <v>0</v>
      </c>
      <c r="C27" s="1" t="e">
        <f>(B27*100)/B35</f>
        <v>#DIV/0!</v>
      </c>
      <c r="D27" s="1"/>
      <c r="E27" s="1"/>
      <c r="F27" s="1"/>
      <c r="J27" s="1" t="s">
        <v>20</v>
      </c>
      <c r="K27" s="1">
        <f>COUNTIFS(recrutement!I:I,"2024",recrutement!K:K,"incomplet")</f>
        <v>0</v>
      </c>
      <c r="L27" s="1" t="e">
        <f>(K27*100)/B35</f>
        <v>#DIV/0!</v>
      </c>
    </row>
    <row r="28" spans="1:12" x14ac:dyDescent="0.25">
      <c r="A28" s="1" t="s">
        <v>12</v>
      </c>
      <c r="B28" s="1">
        <f>COUNTIFS(recrutement!I:I,"2024",recrutement!H:H,"MFR Rambouillet")</f>
        <v>0</v>
      </c>
      <c r="C28" s="1" t="e">
        <f>(B28*100)/B35</f>
        <v>#DIV/0!</v>
      </c>
      <c r="D28" s="1"/>
      <c r="E28" s="1"/>
      <c r="F28" s="1"/>
      <c r="J28" s="1" t="s">
        <v>21</v>
      </c>
      <c r="K28" s="1">
        <f>COUNTIFS(recrutement!I:I,"2024",recrutement!K:K,"complet")</f>
        <v>0</v>
      </c>
      <c r="L28" s="1" t="e">
        <f>(K28*100)/B35</f>
        <v>#DIV/0!</v>
      </c>
    </row>
    <row r="29" spans="1:12" x14ac:dyDescent="0.25">
      <c r="A29" s="1" t="s">
        <v>13</v>
      </c>
      <c r="B29" s="1">
        <f>COUNTIFS(recrutement!I:I,"2024",recrutement!H:H,"J.Vaucanson Les Mureaux")</f>
        <v>0</v>
      </c>
      <c r="C29" s="1" t="e">
        <f>(B29*100)/B35</f>
        <v>#DIV/0!</v>
      </c>
      <c r="D29" s="1"/>
      <c r="E29" s="1"/>
      <c r="F29" s="1"/>
    </row>
    <row r="30" spans="1:12" x14ac:dyDescent="0.25">
      <c r="A30" s="1" t="s">
        <v>14</v>
      </c>
      <c r="B30" s="1">
        <f>COUNTIFS(recrutement!I:I,"2024",recrutement!H:H,"L. Senghor Magnanville")</f>
        <v>0</v>
      </c>
      <c r="C30" s="1" t="e">
        <f>(B30*100)/B35</f>
        <v>#DIV/0!</v>
      </c>
      <c r="D30" s="1"/>
      <c r="E30" s="1"/>
      <c r="F30" s="1"/>
      <c r="J30" s="1" t="s">
        <v>43</v>
      </c>
      <c r="K30" s="1">
        <f>SUM(K27:K28)</f>
        <v>0</v>
      </c>
    </row>
    <row r="31" spans="1:12" x14ac:dyDescent="0.25">
      <c r="A31" s="1" t="s">
        <v>15</v>
      </c>
      <c r="B31" s="1">
        <f>COUNTIFS(recrutement!I:I,"2024",recrutement!H:H,"A.Bolland Poissy")</f>
        <v>0</v>
      </c>
      <c r="C31" s="1" t="e">
        <f>(B31*100)/B35</f>
        <v>#DIV/0!</v>
      </c>
      <c r="D31" s="1"/>
      <c r="E31" s="1"/>
      <c r="F31" s="1"/>
    </row>
    <row r="32" spans="1:12" x14ac:dyDescent="0.25">
      <c r="A32" s="1" t="s">
        <v>16</v>
      </c>
      <c r="B32" s="1">
        <f>COUNTIFS(recrutement!I:I,"2024",recrutement!H:H,"L.Weiss Acheres")</f>
        <v>0</v>
      </c>
      <c r="C32" s="1" t="e">
        <f>(B32*100)/B35</f>
        <v>#DIV/0!</v>
      </c>
      <c r="D32" s="1"/>
      <c r="E32" s="1"/>
      <c r="F32" s="1"/>
    </row>
    <row r="33" spans="1:12" x14ac:dyDescent="0.25">
      <c r="A33" s="1" t="s">
        <v>17</v>
      </c>
      <c r="B33" s="1">
        <f>COUNTIFS(recrutement!I:I,"2024",recrutement!H:H,"C.Claudel Mantes")</f>
        <v>0</v>
      </c>
      <c r="C33" s="1" t="e">
        <f>(B33*100)/B35</f>
        <v>#DIV/0!</v>
      </c>
      <c r="D33" s="1"/>
      <c r="E33" s="1"/>
      <c r="F33" s="1"/>
    </row>
    <row r="34" spans="1:12" x14ac:dyDescent="0.25">
      <c r="A34" s="1"/>
      <c r="B34" s="1"/>
      <c r="C34" s="1"/>
    </row>
    <row r="35" spans="1:12" x14ac:dyDescent="0.25">
      <c r="A35" s="1" t="s">
        <v>32</v>
      </c>
      <c r="B35" s="1">
        <f>SUM(B25:B33)</f>
        <v>0</v>
      </c>
      <c r="C35" s="14">
        <v>1</v>
      </c>
    </row>
    <row r="37" spans="1:12" x14ac:dyDescent="0.25">
      <c r="A37" s="53" t="s">
        <v>54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</row>
    <row r="38" spans="1:12" x14ac:dyDescent="0.25">
      <c r="A38" s="3" t="s">
        <v>23</v>
      </c>
      <c r="B38" s="3" t="s">
        <v>30</v>
      </c>
      <c r="C38" s="4" t="s">
        <v>28</v>
      </c>
      <c r="D38" s="5" t="s">
        <v>3</v>
      </c>
      <c r="E38" s="5" t="s">
        <v>30</v>
      </c>
      <c r="F38" s="6" t="s">
        <v>28</v>
      </c>
      <c r="G38" s="7" t="s">
        <v>25</v>
      </c>
      <c r="H38" s="8" t="s">
        <v>30</v>
      </c>
      <c r="I38" s="9" t="s">
        <v>28</v>
      </c>
      <c r="J38" s="10" t="s">
        <v>27</v>
      </c>
      <c r="K38" s="11" t="s">
        <v>30</v>
      </c>
      <c r="L38" s="12" t="s">
        <v>28</v>
      </c>
    </row>
    <row r="39" spans="1:12" x14ac:dyDescent="0.25">
      <c r="A39" s="1" t="s">
        <v>9</v>
      </c>
      <c r="B39" s="1">
        <f>COUNTIF(recrutement!H:H,"H.Matisse Trappes")</f>
        <v>0</v>
      </c>
      <c r="C39" s="1" t="e">
        <f>(B39*100)/B49</f>
        <v>#DIV/0!</v>
      </c>
      <c r="D39" s="1" t="s">
        <v>24</v>
      </c>
      <c r="E39" s="1">
        <f>COUNTIF(recrutement!G:G,"assp")</f>
        <v>0</v>
      </c>
      <c r="F39" s="1" t="e">
        <f>(E39*100)/B49</f>
        <v>#DIV/0!</v>
      </c>
      <c r="G39" s="15" t="s">
        <v>26</v>
      </c>
      <c r="H39" s="2">
        <f>COUNTIF(recrutement!J:J,"partiel assp")</f>
        <v>0</v>
      </c>
      <c r="I39" s="2" t="e">
        <f>(H39*100)/B49</f>
        <v>#DIV/0!</v>
      </c>
      <c r="J39" s="1" t="s">
        <v>19</v>
      </c>
      <c r="K39" s="1">
        <f>COUNTIF(recrutement!K:K,"vide")</f>
        <v>0</v>
      </c>
      <c r="L39" s="1" t="e">
        <f>(K39*100)/B49</f>
        <v>#DIV/0!</v>
      </c>
    </row>
    <row r="40" spans="1:12" x14ac:dyDescent="0.25">
      <c r="A40" s="1" t="s">
        <v>10</v>
      </c>
      <c r="B40" s="1">
        <f>COUNTIF(recrutement!H:H,"Jean Moulin Le Chesnay")</f>
        <v>0</v>
      </c>
      <c r="C40" s="1" t="e">
        <f>(B40*100)/B49</f>
        <v>#DIV/0!</v>
      </c>
      <c r="D40" s="1"/>
      <c r="E40" s="1"/>
      <c r="F40" s="1"/>
      <c r="J40" s="1" t="s">
        <v>22</v>
      </c>
      <c r="K40" s="1">
        <f>COUNTIF(recrutement!K:K,"non conforme")</f>
        <v>0</v>
      </c>
      <c r="L40" s="1" t="e">
        <f>(K40*100)/B49</f>
        <v>#DIV/0!</v>
      </c>
    </row>
    <row r="41" spans="1:12" x14ac:dyDescent="0.25">
      <c r="A41" s="1" t="s">
        <v>11</v>
      </c>
      <c r="B41" s="1">
        <f>COUNTIF(recrutement!H:H,"Les Chataigniers Versailles")</f>
        <v>0</v>
      </c>
      <c r="C41" s="1" t="e">
        <f>(B41*100)/B49</f>
        <v>#DIV/0!</v>
      </c>
      <c r="D41" s="1"/>
      <c r="E41" s="1"/>
      <c r="F41" s="1"/>
      <c r="J41" s="1" t="s">
        <v>20</v>
      </c>
      <c r="K41" s="1">
        <f>COUNTIF(recrutement!K:K,"incomplet")</f>
        <v>0</v>
      </c>
      <c r="L41" s="1" t="e">
        <f>(K41*100)/B49</f>
        <v>#DIV/0!</v>
      </c>
    </row>
    <row r="42" spans="1:12" x14ac:dyDescent="0.25">
      <c r="A42" s="1" t="s">
        <v>12</v>
      </c>
      <c r="B42" s="1">
        <f>COUNTIF(recrutement!H:H,"MFR Rambouillet")</f>
        <v>0</v>
      </c>
      <c r="C42" s="1" t="e">
        <f>(B42*100)/B49</f>
        <v>#DIV/0!</v>
      </c>
      <c r="D42" s="1"/>
      <c r="E42" s="1"/>
      <c r="F42" s="1"/>
      <c r="J42" s="1" t="s">
        <v>21</v>
      </c>
      <c r="K42" s="1">
        <f>COUNTIF(recrutement!K:K,"complet")</f>
        <v>0</v>
      </c>
      <c r="L42" s="1" t="e">
        <f>(K42*100)/B49</f>
        <v>#DIV/0!</v>
      </c>
    </row>
    <row r="43" spans="1:12" x14ac:dyDescent="0.25">
      <c r="A43" s="1" t="s">
        <v>13</v>
      </c>
      <c r="B43" s="1">
        <f>COUNTIF(recrutement!H:H,"J.Vaucanson Les Mureaux")</f>
        <v>0</v>
      </c>
      <c r="C43" s="1" t="e">
        <f>(B43*100)/B49</f>
        <v>#DIV/0!</v>
      </c>
      <c r="D43" s="1"/>
      <c r="E43" s="1"/>
      <c r="F43" s="1"/>
    </row>
    <row r="44" spans="1:12" x14ac:dyDescent="0.25">
      <c r="A44" s="1" t="s">
        <v>14</v>
      </c>
      <c r="B44" s="1">
        <f>COUNTIF(recrutement!H:H,"L. Senghor Magnanville")</f>
        <v>0</v>
      </c>
      <c r="C44" s="1" t="e">
        <f>(B44*100)/B49</f>
        <v>#DIV/0!</v>
      </c>
      <c r="D44" s="1"/>
      <c r="E44" s="1"/>
      <c r="F44" s="1"/>
      <c r="J44" s="1" t="s">
        <v>41</v>
      </c>
      <c r="K44" s="1">
        <f>SUM(K41:K42)</f>
        <v>0</v>
      </c>
    </row>
    <row r="45" spans="1:12" x14ac:dyDescent="0.25">
      <c r="A45" s="1" t="s">
        <v>15</v>
      </c>
      <c r="B45" s="1">
        <f>COUNTIF(recrutement!H:H,"A.Bolland Poissy")</f>
        <v>0</v>
      </c>
      <c r="C45" s="1" t="e">
        <f>(B45*100)/B49</f>
        <v>#DIV/0!</v>
      </c>
      <c r="D45" s="1"/>
      <c r="E45" s="1"/>
      <c r="F45" s="1"/>
    </row>
    <row r="46" spans="1:12" x14ac:dyDescent="0.25">
      <c r="A46" s="1" t="s">
        <v>16</v>
      </c>
      <c r="B46" s="1">
        <f>COUNTIF(recrutement!H:H,"L.Weiss Acheres")</f>
        <v>0</v>
      </c>
      <c r="C46" s="1" t="e">
        <f>(B46*100)/B49</f>
        <v>#DIV/0!</v>
      </c>
      <c r="D46" s="1"/>
      <c r="E46" s="1"/>
      <c r="F46" s="1"/>
    </row>
    <row r="47" spans="1:12" x14ac:dyDescent="0.25">
      <c r="A47" s="1" t="s">
        <v>17</v>
      </c>
      <c r="B47" s="1">
        <f>COUNTIF(recrutement!H:H,"C.Claudel Mantes")</f>
        <v>0</v>
      </c>
      <c r="C47" s="1" t="e">
        <f>(B47*100)/B49</f>
        <v>#DIV/0!</v>
      </c>
      <c r="D47" s="1"/>
      <c r="E47" s="1"/>
      <c r="F47" s="1"/>
    </row>
    <row r="48" spans="1:12" x14ac:dyDescent="0.25">
      <c r="A48" s="1"/>
      <c r="B48" s="1"/>
      <c r="C48" s="1"/>
    </row>
    <row r="49" spans="1:3" x14ac:dyDescent="0.25">
      <c r="A49" s="1" t="s">
        <v>32</v>
      </c>
      <c r="B49" s="1">
        <f>SUM(B39:B47)</f>
        <v>0</v>
      </c>
      <c r="C49" s="14">
        <v>1</v>
      </c>
    </row>
  </sheetData>
  <mergeCells count="4">
    <mergeCell ref="A23:L23"/>
    <mergeCell ref="A37:L37"/>
    <mergeCell ref="A9:L9"/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recrutement</vt:lpstr>
      <vt:lpstr>bilan scolaire</vt:lpstr>
      <vt:lpstr>listes</vt:lpstr>
      <vt:lpstr>statistiques recrutement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arpino</dc:creator>
  <cp:lastModifiedBy>alexandra arpino</cp:lastModifiedBy>
  <dcterms:created xsi:type="dcterms:W3CDTF">2025-03-15T08:28:03Z</dcterms:created>
  <dcterms:modified xsi:type="dcterms:W3CDTF">2025-03-23T19:58:35Z</dcterms:modified>
</cp:coreProperties>
</file>