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555" windowWidth="5775" windowHeight="4830" tabRatio="760"/>
  </bookViews>
  <sheets>
    <sheet name="Utilisateur" sheetId="1" r:id="rId1"/>
    <sheet name="INPUT DATA 2" sheetId="7" r:id="rId2"/>
    <sheet name="CALCUL COUTS" sheetId="11" r:id="rId3"/>
    <sheet name="données" sheetId="8" r:id="rId4"/>
    <sheet name="Mise A Jour BDD" sheetId="2" r:id="rId5"/>
    <sheet name="Données bateau" sheetId="6" r:id="rId6"/>
    <sheet name="tcd marchan" sheetId="10" r:id="rId7"/>
    <sheet name="tcd outil" sheetId="4" r:id="rId8"/>
    <sheet name="tcd transfo" sheetId="5" r:id="rId9"/>
  </sheets>
  <definedNames>
    <definedName name="Referentiel_de_prix_de_revient" localSheetId="4">'Mise A Jour BDD'!$D$4:$E$9</definedName>
    <definedName name="Referentiel_prix_de_revient" localSheetId="4">'Mise A Jour BDD'!$A$4:$B$9</definedName>
  </definedNames>
  <calcPr calcId="145621"/>
  <pivotCaches>
    <pivotCache cacheId="1" r:id="rId10"/>
  </pivotCaches>
</workbook>
</file>

<file path=xl/calcChain.xml><?xml version="1.0" encoding="utf-8"?>
<calcChain xmlns="http://schemas.openxmlformats.org/spreadsheetml/2006/main">
  <c r="F5" i="1" l="1"/>
  <c r="B9" i="11" l="1"/>
  <c r="C9" i="11"/>
  <c r="D9" i="11"/>
  <c r="B10" i="11"/>
  <c r="C10" i="11"/>
  <c r="D10" i="11"/>
  <c r="B11" i="11"/>
  <c r="C11" i="11"/>
  <c r="D11" i="11"/>
  <c r="D8" i="11"/>
  <c r="C8" i="11"/>
  <c r="B8" i="11"/>
  <c r="D3" i="11"/>
  <c r="D4" i="11"/>
  <c r="D2" i="11"/>
  <c r="C3" i="11"/>
  <c r="C4" i="11"/>
  <c r="C2" i="11"/>
  <c r="B3" i="11"/>
  <c r="B4" i="11"/>
  <c r="B2" i="11"/>
  <c r="A7" i="7" l="1"/>
  <c r="A6" i="7"/>
  <c r="A5" i="7"/>
  <c r="A4" i="7"/>
  <c r="A3" i="7"/>
  <c r="A2" i="7"/>
  <c r="A10" i="11"/>
  <c r="A9" i="11"/>
  <c r="A8" i="11"/>
  <c r="A4" i="11"/>
  <c r="A3" i="11"/>
  <c r="A2" i="11"/>
  <c r="I4" i="11" l="1"/>
  <c r="R3" i="8" l="1"/>
  <c r="H2" i="11"/>
  <c r="W9" i="11" l="1"/>
  <c r="W8" i="11"/>
  <c r="AD9" i="8"/>
  <c r="AD8" i="8"/>
  <c r="AD7" i="8"/>
  <c r="AD6" i="8"/>
  <c r="AD5" i="8"/>
  <c r="AD4" i="8"/>
  <c r="AD3" i="8"/>
  <c r="AC9" i="8"/>
  <c r="AC8" i="8"/>
  <c r="AC7" i="8"/>
  <c r="AC6" i="8"/>
  <c r="AC5" i="8"/>
  <c r="AC4" i="8"/>
  <c r="AC3" i="8"/>
  <c r="S6" i="8" l="1"/>
  <c r="S5" i="8"/>
  <c r="S4" i="8"/>
  <c r="S3" i="8"/>
  <c r="M2" i="11" s="1"/>
  <c r="R6" i="8"/>
  <c r="R5" i="8"/>
  <c r="R4" i="8"/>
  <c r="L7" i="8"/>
  <c r="L6" i="8"/>
  <c r="L5" i="8"/>
  <c r="L4" i="8"/>
  <c r="L3" i="8"/>
  <c r="K7" i="8"/>
  <c r="K6" i="8"/>
  <c r="K5" i="8"/>
  <c r="K4" i="8"/>
  <c r="K3" i="8"/>
  <c r="J7" i="8"/>
  <c r="J6" i="8"/>
  <c r="J5" i="8"/>
  <c r="J4" i="8"/>
  <c r="J3" i="8"/>
  <c r="Y8" i="11"/>
  <c r="K4" i="11" l="1"/>
  <c r="K3" i="11"/>
  <c r="K2" i="11"/>
  <c r="J4" i="11"/>
  <c r="J3" i="11"/>
  <c r="J2" i="11"/>
  <c r="N2" i="11" s="1"/>
  <c r="I3" i="11"/>
  <c r="L3" i="11" s="1"/>
  <c r="I2" i="11"/>
  <c r="L4" i="11" s="1"/>
  <c r="H4" i="11"/>
  <c r="H3" i="11"/>
  <c r="G4" i="11"/>
  <c r="G3" i="11"/>
  <c r="G2" i="11"/>
  <c r="F4" i="11"/>
  <c r="F3" i="11"/>
  <c r="F2" i="11"/>
  <c r="E4" i="11"/>
  <c r="E3" i="11"/>
  <c r="E2" i="11"/>
  <c r="AE8" i="11"/>
  <c r="AC8" i="11"/>
  <c r="Y9" i="11"/>
  <c r="AC9" i="11"/>
  <c r="AF8" i="11"/>
  <c r="AD9" i="11"/>
  <c r="AE9" i="11"/>
  <c r="Z8" i="11"/>
  <c r="AA8" i="11"/>
  <c r="AB8" i="11"/>
  <c r="AA9" i="11"/>
  <c r="AB9" i="11"/>
  <c r="AF9" i="11"/>
  <c r="AD8" i="11"/>
  <c r="Z9" i="11"/>
  <c r="N4" i="11" l="1"/>
  <c r="N3" i="11"/>
  <c r="M4" i="11"/>
  <c r="M3" i="11"/>
  <c r="L2" i="11"/>
  <c r="X2" i="11" s="1"/>
  <c r="X8" i="11"/>
  <c r="R4" i="11"/>
  <c r="S9" i="11"/>
  <c r="R3" i="11"/>
  <c r="R8" i="11"/>
  <c r="S3" i="11"/>
  <c r="S4" i="11"/>
  <c r="S8" i="11"/>
  <c r="R2" i="11"/>
  <c r="S2" i="11"/>
  <c r="R9" i="11"/>
  <c r="Z4" i="11"/>
  <c r="AA3" i="11"/>
  <c r="AD2" i="11"/>
  <c r="AD3" i="11"/>
  <c r="AF4" i="11"/>
  <c r="AA4" i="11"/>
  <c r="AB3" i="11"/>
  <c r="Y4" i="11"/>
  <c r="AA2" i="11"/>
  <c r="Z3" i="11"/>
  <c r="AE4" i="11"/>
  <c r="AF3" i="11"/>
  <c r="AC4" i="11"/>
  <c r="AE2" i="11"/>
  <c r="AG4" i="11"/>
  <c r="AG2" i="11"/>
  <c r="Y2" i="11"/>
  <c r="AC2" i="11"/>
  <c r="AC3" i="11"/>
  <c r="AB4" i="11"/>
  <c r="AD4" i="11"/>
  <c r="Z2" i="11"/>
  <c r="AF2" i="11"/>
  <c r="AB2" i="11"/>
  <c r="AE3" i="11"/>
  <c r="Y3" i="11"/>
  <c r="AG8" i="11"/>
  <c r="AG9" i="11"/>
  <c r="AG3" i="11"/>
  <c r="Q4" i="11" l="1"/>
  <c r="X3" i="11"/>
  <c r="W2" i="11"/>
  <c r="W4" i="11"/>
  <c r="Q8" i="11"/>
  <c r="Q3" i="11"/>
  <c r="H29" i="1"/>
  <c r="W3" i="11"/>
  <c r="Q2" i="11"/>
  <c r="AH8" i="11"/>
  <c r="Q9" i="11"/>
  <c r="X9" i="11"/>
  <c r="X4" i="11"/>
  <c r="H28" i="1" l="1"/>
  <c r="H30" i="1"/>
  <c r="H27" i="1"/>
  <c r="H26" i="1"/>
  <c r="D301" i="6"/>
  <c r="C301" i="6"/>
  <c r="B301" i="6"/>
  <c r="D300" i="6"/>
  <c r="C300" i="6"/>
  <c r="B300" i="6"/>
  <c r="D299" i="6"/>
  <c r="C299" i="6"/>
  <c r="B299" i="6"/>
  <c r="D298" i="6"/>
  <c r="C298" i="6"/>
  <c r="B298" i="6"/>
  <c r="J297" i="6"/>
  <c r="D297" i="6"/>
  <c r="C297" i="6"/>
  <c r="B297" i="6"/>
  <c r="J296" i="6"/>
  <c r="D296" i="6"/>
  <c r="C296" i="6"/>
  <c r="B296" i="6"/>
  <c r="J295" i="6"/>
  <c r="D295" i="6"/>
  <c r="C295" i="6"/>
  <c r="B295" i="6"/>
  <c r="J294" i="6"/>
  <c r="D294" i="6"/>
  <c r="C294" i="6"/>
  <c r="B294" i="6"/>
  <c r="J293" i="6"/>
  <c r="D293" i="6"/>
  <c r="C293" i="6"/>
  <c r="B293" i="6"/>
  <c r="J292" i="6"/>
  <c r="D292" i="6"/>
  <c r="C292" i="6"/>
  <c r="B292" i="6"/>
  <c r="J291" i="6"/>
  <c r="D291" i="6"/>
  <c r="C291" i="6"/>
  <c r="B291" i="6"/>
  <c r="J290" i="6"/>
  <c r="D290" i="6"/>
  <c r="C290" i="6"/>
  <c r="B290" i="6"/>
  <c r="J289" i="6"/>
  <c r="J288" i="6"/>
  <c r="J287" i="6"/>
  <c r="J286" i="6"/>
  <c r="J285" i="6"/>
  <c r="I285" i="6"/>
  <c r="H285" i="6"/>
  <c r="G285" i="6"/>
  <c r="F285" i="6"/>
  <c r="E285" i="6"/>
  <c r="J284" i="6"/>
  <c r="I284" i="6"/>
  <c r="H284" i="6"/>
  <c r="G284" i="6"/>
  <c r="F284" i="6"/>
  <c r="E284" i="6"/>
  <c r="J283" i="6"/>
  <c r="I283" i="6"/>
  <c r="D283" i="6"/>
  <c r="C283" i="6"/>
  <c r="B283" i="6"/>
  <c r="J282" i="6"/>
  <c r="I282" i="6"/>
  <c r="H282" i="6"/>
  <c r="G282" i="6"/>
  <c r="F282" i="6"/>
  <c r="E282" i="6"/>
  <c r="J281" i="6"/>
  <c r="I281" i="6"/>
  <c r="H281" i="6"/>
  <c r="G281" i="6"/>
  <c r="F281" i="6"/>
  <c r="E281" i="6"/>
  <c r="J280" i="6"/>
  <c r="I280" i="6"/>
  <c r="H280" i="6"/>
  <c r="G280" i="6"/>
  <c r="F280" i="6"/>
  <c r="E280" i="6"/>
  <c r="J279" i="6"/>
  <c r="I279" i="6"/>
  <c r="D279" i="6"/>
  <c r="C279" i="6"/>
  <c r="B279" i="6"/>
  <c r="J278" i="6"/>
  <c r="I278" i="6"/>
  <c r="H278" i="6"/>
  <c r="G278" i="6"/>
  <c r="F278" i="6"/>
  <c r="E278" i="6"/>
  <c r="J277" i="6"/>
  <c r="I277" i="6"/>
  <c r="H277" i="6"/>
  <c r="G277" i="6"/>
  <c r="F277" i="6"/>
  <c r="E277" i="6"/>
  <c r="J276" i="6"/>
  <c r="I276" i="6"/>
  <c r="H276" i="6"/>
  <c r="G276" i="6"/>
  <c r="F276" i="6"/>
  <c r="E276" i="6"/>
  <c r="J275" i="6"/>
  <c r="I275" i="6"/>
  <c r="D275" i="6"/>
  <c r="C275" i="6"/>
  <c r="B275" i="6"/>
  <c r="J274" i="6"/>
  <c r="I274" i="6"/>
  <c r="H274" i="6"/>
  <c r="G274" i="6"/>
  <c r="F274" i="6"/>
  <c r="E274" i="6"/>
  <c r="J273" i="6"/>
  <c r="I273" i="6"/>
  <c r="H273" i="6"/>
  <c r="G273" i="6"/>
  <c r="F273" i="6"/>
  <c r="E273" i="6"/>
  <c r="J272" i="6"/>
  <c r="I272" i="6"/>
  <c r="H272" i="6"/>
  <c r="G272" i="6"/>
  <c r="F272" i="6"/>
  <c r="E272" i="6"/>
  <c r="J271" i="6"/>
  <c r="I271" i="6"/>
  <c r="D271" i="6"/>
  <c r="C271" i="6"/>
  <c r="B271" i="6"/>
  <c r="J270" i="6"/>
  <c r="I270" i="6"/>
  <c r="H270" i="6"/>
  <c r="G270" i="6"/>
  <c r="F270" i="6"/>
  <c r="E270" i="6"/>
  <c r="J269" i="6"/>
  <c r="I269" i="6"/>
  <c r="H269" i="6"/>
  <c r="G269" i="6"/>
  <c r="F269" i="6"/>
  <c r="E269" i="6"/>
  <c r="J268" i="6"/>
  <c r="I268" i="6"/>
  <c r="H268" i="6"/>
  <c r="G268" i="6"/>
  <c r="F268" i="6"/>
  <c r="E268" i="6"/>
  <c r="J267" i="6"/>
  <c r="I267" i="6"/>
  <c r="D267" i="6"/>
  <c r="C267" i="6"/>
  <c r="B267" i="6"/>
  <c r="J266" i="6"/>
  <c r="I266" i="6"/>
  <c r="H266" i="6"/>
  <c r="G266" i="6"/>
  <c r="F266" i="6"/>
  <c r="E266" i="6"/>
  <c r="J265" i="6"/>
  <c r="D265" i="6"/>
  <c r="C265" i="6"/>
  <c r="B265" i="6"/>
  <c r="J264" i="6"/>
  <c r="D264" i="6"/>
  <c r="C264" i="6"/>
  <c r="B264" i="6"/>
  <c r="J263" i="6"/>
  <c r="D263" i="6"/>
  <c r="C263" i="6"/>
  <c r="B263" i="6"/>
  <c r="J262" i="6"/>
  <c r="D262" i="6"/>
  <c r="C262" i="6"/>
  <c r="B262" i="6"/>
  <c r="D261" i="6"/>
  <c r="C261" i="6"/>
  <c r="B261" i="6"/>
  <c r="D260" i="6"/>
  <c r="C260" i="6"/>
  <c r="B260" i="6"/>
  <c r="D259" i="6"/>
  <c r="C259" i="6"/>
  <c r="B259" i="6"/>
  <c r="D258" i="6"/>
  <c r="C258" i="6"/>
  <c r="B258" i="6"/>
  <c r="J257" i="6"/>
  <c r="D257" i="6"/>
  <c r="C257" i="6"/>
  <c r="B257" i="6"/>
  <c r="J256" i="6"/>
  <c r="D256" i="6"/>
  <c r="C256" i="6"/>
  <c r="B256" i="6"/>
  <c r="J255" i="6"/>
  <c r="D255" i="6"/>
  <c r="C255" i="6"/>
  <c r="B255" i="6"/>
  <c r="J254" i="6"/>
  <c r="D254" i="6"/>
  <c r="C254" i="6"/>
  <c r="B254" i="6"/>
  <c r="J253" i="6"/>
  <c r="D253" i="6"/>
  <c r="C253" i="6"/>
  <c r="B253" i="6"/>
  <c r="J252" i="6"/>
  <c r="D252" i="6"/>
  <c r="C252" i="6"/>
  <c r="B252" i="6"/>
  <c r="J251" i="6"/>
  <c r="D251" i="6"/>
  <c r="C251" i="6"/>
  <c r="B251" i="6"/>
  <c r="J250" i="6"/>
  <c r="D250" i="6"/>
  <c r="C250" i="6"/>
  <c r="B250" i="6"/>
  <c r="J249" i="6"/>
  <c r="D249" i="6"/>
  <c r="C249" i="6"/>
  <c r="B249" i="6"/>
  <c r="J248" i="6"/>
  <c r="D248" i="6"/>
  <c r="C248" i="6"/>
  <c r="B248" i="6"/>
  <c r="J247" i="6"/>
  <c r="D247" i="6"/>
  <c r="C247" i="6"/>
  <c r="B247" i="6"/>
  <c r="J246" i="6"/>
  <c r="D246" i="6"/>
  <c r="C246" i="6"/>
  <c r="B246" i="6"/>
  <c r="J245" i="6"/>
  <c r="D245" i="6"/>
  <c r="C245" i="6"/>
  <c r="B245" i="6"/>
  <c r="J244" i="6"/>
  <c r="D244" i="6"/>
  <c r="C244" i="6"/>
  <c r="B244" i="6"/>
  <c r="J243" i="6"/>
  <c r="D243" i="6"/>
  <c r="C243" i="6"/>
  <c r="B243" i="6"/>
  <c r="J242" i="6"/>
  <c r="D242" i="6"/>
  <c r="C242" i="6"/>
  <c r="B242" i="6"/>
  <c r="J241" i="6"/>
  <c r="J240" i="6"/>
  <c r="J239" i="6"/>
  <c r="J238" i="6"/>
  <c r="J237" i="6"/>
  <c r="C237" i="6"/>
  <c r="J236" i="6"/>
  <c r="J235" i="6"/>
  <c r="J234" i="6"/>
  <c r="J233" i="6"/>
  <c r="J232" i="6"/>
  <c r="J231" i="6"/>
  <c r="J230" i="6"/>
  <c r="J229" i="6"/>
  <c r="I229" i="6"/>
  <c r="J228" i="6"/>
  <c r="I228" i="6"/>
  <c r="J227" i="6"/>
  <c r="I227" i="6"/>
  <c r="J226" i="6"/>
  <c r="I226" i="6"/>
  <c r="J225" i="6"/>
  <c r="D225" i="6"/>
  <c r="C225" i="6"/>
  <c r="B225" i="6"/>
  <c r="J224" i="6"/>
  <c r="D224" i="6"/>
  <c r="C224" i="6"/>
  <c r="B224" i="6"/>
  <c r="J223" i="6"/>
  <c r="C223" i="6"/>
  <c r="B223" i="6"/>
  <c r="J222" i="6"/>
  <c r="D222" i="6"/>
  <c r="C222" i="6"/>
  <c r="B222" i="6"/>
  <c r="J219" i="6"/>
  <c r="J218" i="6"/>
  <c r="J217" i="6"/>
  <c r="J216" i="6"/>
  <c r="J215" i="6"/>
  <c r="J214" i="6"/>
  <c r="J213" i="6"/>
  <c r="J212" i="6"/>
  <c r="J211" i="6"/>
  <c r="J210" i="6"/>
  <c r="J209" i="6"/>
  <c r="J208" i="6"/>
  <c r="J207" i="6"/>
  <c r="D207" i="6"/>
  <c r="C207" i="6"/>
  <c r="B207" i="6"/>
  <c r="J206" i="6"/>
  <c r="D206" i="6"/>
  <c r="C206" i="6"/>
  <c r="B206" i="6"/>
  <c r="J205" i="6"/>
  <c r="D205" i="6"/>
  <c r="C205" i="6"/>
  <c r="B205" i="6"/>
  <c r="J204" i="6"/>
  <c r="D204" i="6"/>
  <c r="C204" i="6"/>
  <c r="B204" i="6"/>
  <c r="J203" i="6"/>
  <c r="D203" i="6"/>
  <c r="C203" i="6"/>
  <c r="B203" i="6"/>
  <c r="J202" i="6"/>
  <c r="D202" i="6"/>
  <c r="C202" i="6"/>
  <c r="B202" i="6"/>
  <c r="J201" i="6"/>
  <c r="I201" i="6"/>
  <c r="D201" i="6"/>
  <c r="C201" i="6"/>
  <c r="B201" i="6"/>
  <c r="J200" i="6"/>
  <c r="J199" i="6"/>
  <c r="J198" i="6"/>
  <c r="D198" i="6"/>
  <c r="C198" i="6"/>
  <c r="B198" i="6"/>
  <c r="J197" i="6"/>
  <c r="D197" i="6"/>
  <c r="C197" i="6"/>
  <c r="B197" i="6"/>
  <c r="J196" i="6"/>
  <c r="D196" i="6"/>
  <c r="C196" i="6"/>
  <c r="B196" i="6"/>
  <c r="J195" i="6"/>
  <c r="D195" i="6"/>
  <c r="C195" i="6"/>
  <c r="B195" i="6"/>
  <c r="I194" i="6"/>
  <c r="D194" i="6"/>
  <c r="C194" i="6"/>
  <c r="B194" i="6"/>
  <c r="I193" i="6"/>
  <c r="D193" i="6"/>
  <c r="C193" i="6"/>
  <c r="B193" i="6"/>
  <c r="D192" i="6"/>
  <c r="C192" i="6"/>
  <c r="B192" i="6"/>
  <c r="I191" i="6"/>
  <c r="D191" i="6"/>
  <c r="C191" i="6"/>
  <c r="B191" i="6"/>
  <c r="I190" i="6"/>
  <c r="D190" i="6"/>
  <c r="C190" i="6"/>
  <c r="B190" i="6"/>
  <c r="I189" i="6"/>
  <c r="D189" i="6"/>
  <c r="C189" i="6"/>
  <c r="B189" i="6"/>
  <c r="D188" i="6"/>
  <c r="C188" i="6"/>
  <c r="B188" i="6"/>
  <c r="I187" i="6"/>
  <c r="D187" i="6"/>
  <c r="C187" i="6"/>
  <c r="B187" i="6"/>
  <c r="J182" i="6"/>
  <c r="D182" i="6"/>
  <c r="C182" i="6"/>
  <c r="B182" i="6"/>
  <c r="J181" i="6"/>
  <c r="D181" i="6"/>
  <c r="C181" i="6"/>
  <c r="B181" i="6"/>
  <c r="J180" i="6"/>
  <c r="D180" i="6"/>
  <c r="C180" i="6"/>
  <c r="B180" i="6"/>
  <c r="J179" i="6"/>
  <c r="D179" i="6"/>
  <c r="C179" i="6"/>
  <c r="B179" i="6"/>
  <c r="J175" i="6"/>
  <c r="I175" i="6"/>
  <c r="D175" i="6"/>
  <c r="C175" i="6"/>
  <c r="B175" i="6"/>
  <c r="J174" i="6"/>
  <c r="I174" i="6"/>
  <c r="D174" i="6"/>
  <c r="C174" i="6"/>
  <c r="B174" i="6"/>
  <c r="J173" i="6"/>
  <c r="I173" i="6"/>
  <c r="D173" i="6"/>
  <c r="C173" i="6"/>
  <c r="B173" i="6"/>
  <c r="J172" i="6"/>
  <c r="I172" i="6"/>
  <c r="D172" i="6"/>
  <c r="C172" i="6"/>
  <c r="B172" i="6"/>
  <c r="J171" i="6"/>
  <c r="I171" i="6"/>
  <c r="D171" i="6"/>
  <c r="C171" i="6"/>
  <c r="B171" i="6"/>
  <c r="J170" i="6"/>
  <c r="D170" i="6"/>
  <c r="C170" i="6"/>
  <c r="B170" i="6"/>
  <c r="J169" i="6"/>
  <c r="I169" i="6"/>
  <c r="D169" i="6"/>
  <c r="C169" i="6"/>
  <c r="B169" i="6"/>
  <c r="J168" i="6"/>
  <c r="I168" i="6"/>
  <c r="D168" i="6"/>
  <c r="C168" i="6"/>
  <c r="B168" i="6"/>
  <c r="J167" i="6"/>
  <c r="I167" i="6"/>
  <c r="D167" i="6"/>
  <c r="C167" i="6"/>
  <c r="B167" i="6"/>
  <c r="J166" i="6"/>
  <c r="D166" i="6"/>
  <c r="C166" i="6"/>
  <c r="B166" i="6"/>
  <c r="J165" i="6"/>
  <c r="I165" i="6"/>
  <c r="D165" i="6"/>
  <c r="C165" i="6"/>
  <c r="B165" i="6"/>
  <c r="J164" i="6"/>
  <c r="I164" i="6"/>
  <c r="D164" i="6"/>
  <c r="C164" i="6"/>
  <c r="B164" i="6"/>
  <c r="J163" i="6"/>
  <c r="I163" i="6"/>
  <c r="D163" i="6"/>
  <c r="C163" i="6"/>
  <c r="B163" i="6"/>
  <c r="J162" i="6"/>
  <c r="I162" i="6"/>
  <c r="D162" i="6"/>
  <c r="C162" i="6"/>
  <c r="B162" i="6"/>
  <c r="J161" i="6"/>
  <c r="I161" i="6"/>
  <c r="D161" i="6"/>
  <c r="C161" i="6"/>
  <c r="B161" i="6"/>
  <c r="J160" i="6"/>
  <c r="I160" i="6"/>
  <c r="D160" i="6"/>
  <c r="C160" i="6"/>
  <c r="B160" i="6"/>
  <c r="J159" i="6"/>
  <c r="D159" i="6"/>
  <c r="C159" i="6"/>
  <c r="B159" i="6"/>
  <c r="J158" i="6"/>
  <c r="I158" i="6"/>
  <c r="D158" i="6"/>
  <c r="C158" i="6"/>
  <c r="B158" i="6"/>
  <c r="J157" i="6"/>
  <c r="J156" i="6"/>
  <c r="J155" i="6"/>
  <c r="J154" i="6"/>
  <c r="J153" i="6"/>
  <c r="D153" i="6"/>
  <c r="C153" i="6"/>
  <c r="B153" i="6"/>
  <c r="J152" i="6"/>
  <c r="D152" i="6"/>
  <c r="C152" i="6"/>
  <c r="B152" i="6"/>
  <c r="J151" i="6"/>
  <c r="D151" i="6"/>
  <c r="C151" i="6"/>
  <c r="B151" i="6"/>
  <c r="J150" i="6"/>
  <c r="D150" i="6"/>
  <c r="C150" i="6"/>
  <c r="B150" i="6"/>
  <c r="J149" i="6"/>
  <c r="D149" i="6"/>
  <c r="C149" i="6"/>
  <c r="B149" i="6"/>
  <c r="J148" i="6"/>
  <c r="D148" i="6"/>
  <c r="C148" i="6"/>
  <c r="B148" i="6"/>
  <c r="J147" i="6"/>
  <c r="D147" i="6"/>
  <c r="C147" i="6"/>
  <c r="B147" i="6"/>
  <c r="J146" i="6"/>
  <c r="D146" i="6"/>
  <c r="C146" i="6"/>
  <c r="B146" i="6"/>
  <c r="J145" i="6"/>
  <c r="D145" i="6"/>
  <c r="C145" i="6"/>
  <c r="B145" i="6"/>
  <c r="J144" i="6"/>
  <c r="D144" i="6"/>
  <c r="C144" i="6"/>
  <c r="B144" i="6"/>
  <c r="J143" i="6"/>
  <c r="D143" i="6"/>
  <c r="C143" i="6"/>
  <c r="B143" i="6"/>
  <c r="D142" i="6"/>
  <c r="C142" i="6"/>
  <c r="B142" i="6"/>
  <c r="J141" i="6"/>
  <c r="D141" i="6"/>
  <c r="C141" i="6"/>
  <c r="B141" i="6"/>
  <c r="J140" i="6"/>
  <c r="D140" i="6"/>
  <c r="C140" i="6"/>
  <c r="B140" i="6"/>
  <c r="J139" i="6"/>
  <c r="J138" i="6"/>
  <c r="J137" i="6"/>
  <c r="J121" i="6"/>
  <c r="D121" i="6"/>
  <c r="C121" i="6"/>
  <c r="B121" i="6"/>
  <c r="J120" i="6"/>
  <c r="D120" i="6"/>
  <c r="C120" i="6"/>
  <c r="B120" i="6"/>
  <c r="J119" i="6"/>
  <c r="D119" i="6"/>
  <c r="C119" i="6"/>
  <c r="B119" i="6"/>
  <c r="J118" i="6"/>
  <c r="D118" i="6"/>
  <c r="C118" i="6"/>
  <c r="B118" i="6"/>
  <c r="J117" i="6"/>
  <c r="D117" i="6"/>
  <c r="C117" i="6"/>
  <c r="B117" i="6"/>
  <c r="J116" i="6"/>
  <c r="D116" i="6"/>
  <c r="C116" i="6"/>
  <c r="B116" i="6"/>
  <c r="J115" i="6"/>
  <c r="D115" i="6"/>
  <c r="C115" i="6"/>
  <c r="B115" i="6"/>
  <c r="J114" i="6"/>
  <c r="D114" i="6"/>
  <c r="C114" i="6"/>
  <c r="B114" i="6"/>
  <c r="D89" i="6"/>
  <c r="C89" i="6"/>
  <c r="B89" i="6"/>
  <c r="D88" i="6"/>
  <c r="C88" i="6"/>
  <c r="B88" i="6"/>
  <c r="D87" i="6"/>
  <c r="C87" i="6"/>
  <c r="B87" i="6"/>
  <c r="D86" i="6"/>
  <c r="C86" i="6"/>
  <c r="B86" i="6"/>
  <c r="J85" i="6"/>
  <c r="D85" i="6"/>
  <c r="C85" i="6"/>
  <c r="B85" i="6"/>
  <c r="J84" i="6"/>
  <c r="D84" i="6"/>
  <c r="C84" i="6"/>
  <c r="B84" i="6"/>
  <c r="J83" i="6"/>
  <c r="D83" i="6"/>
  <c r="C83" i="6"/>
  <c r="B83" i="6"/>
  <c r="J82" i="6"/>
  <c r="D82" i="6"/>
  <c r="C82" i="6"/>
  <c r="B82" i="6"/>
  <c r="D81" i="6"/>
  <c r="C81" i="6"/>
  <c r="B81" i="6"/>
  <c r="D80" i="6"/>
  <c r="C80" i="6"/>
  <c r="B80" i="6"/>
  <c r="D79" i="6"/>
  <c r="C79" i="6"/>
  <c r="B79" i="6"/>
  <c r="D78" i="6"/>
  <c r="C78" i="6"/>
  <c r="B78" i="6"/>
  <c r="J77" i="6"/>
  <c r="J76" i="6"/>
  <c r="J75" i="6"/>
  <c r="J74" i="6"/>
  <c r="J73" i="6"/>
  <c r="I73" i="6"/>
  <c r="D73" i="6"/>
  <c r="C73" i="6"/>
  <c r="B73" i="6"/>
  <c r="J72" i="6"/>
  <c r="I72" i="6"/>
  <c r="D72" i="6"/>
  <c r="C72" i="6"/>
  <c r="B72" i="6"/>
  <c r="J71" i="6"/>
  <c r="I71" i="6"/>
  <c r="D71" i="6"/>
  <c r="C71" i="6"/>
  <c r="B71" i="6"/>
  <c r="J70" i="6"/>
  <c r="I70" i="6"/>
  <c r="D70" i="6"/>
  <c r="C70" i="6"/>
  <c r="B70" i="6"/>
  <c r="J69" i="6"/>
  <c r="I69" i="6"/>
  <c r="D69" i="6"/>
  <c r="C69" i="6"/>
  <c r="B69" i="6"/>
  <c r="J68" i="6"/>
  <c r="I68" i="6"/>
  <c r="D68" i="6"/>
  <c r="C68" i="6"/>
  <c r="B68" i="6"/>
  <c r="J67" i="6"/>
  <c r="I67" i="6"/>
  <c r="D67" i="6"/>
  <c r="C67" i="6"/>
  <c r="B67" i="6"/>
  <c r="J66" i="6"/>
  <c r="I66" i="6"/>
  <c r="D66" i="6"/>
  <c r="C66" i="6"/>
  <c r="B66" i="6"/>
  <c r="J65" i="6"/>
  <c r="I65" i="6"/>
  <c r="D65" i="6"/>
  <c r="C65" i="6"/>
  <c r="B65" i="6"/>
  <c r="J64" i="6"/>
  <c r="I64" i="6"/>
  <c r="D64" i="6"/>
  <c r="C64" i="6"/>
  <c r="B64" i="6"/>
  <c r="J63" i="6"/>
  <c r="I63" i="6"/>
  <c r="D63" i="6"/>
  <c r="C63" i="6"/>
  <c r="B63" i="6"/>
  <c r="J62" i="6"/>
  <c r="I62" i="6"/>
  <c r="D62" i="6"/>
  <c r="C62" i="6"/>
  <c r="B62" i="6"/>
  <c r="J61" i="6"/>
  <c r="J60" i="6"/>
  <c r="J59" i="6"/>
  <c r="D59" i="6"/>
  <c r="C59" i="6"/>
  <c r="B59" i="6"/>
  <c r="J58" i="6"/>
  <c r="J57" i="6"/>
  <c r="J56" i="6"/>
  <c r="J55" i="6"/>
  <c r="J54" i="6"/>
  <c r="J53" i="6"/>
  <c r="J52" i="6"/>
  <c r="J51" i="6"/>
  <c r="J50" i="6"/>
  <c r="J49" i="6"/>
  <c r="I49" i="6"/>
  <c r="J48" i="6"/>
  <c r="I48" i="6"/>
  <c r="J47" i="6"/>
  <c r="I47" i="6"/>
  <c r="J46" i="6"/>
  <c r="I46" i="6"/>
  <c r="J45" i="6"/>
  <c r="I45" i="6"/>
  <c r="J44" i="6"/>
  <c r="I44" i="6"/>
  <c r="J43" i="6"/>
  <c r="I43" i="6"/>
  <c r="J42" i="6"/>
  <c r="I42" i="6"/>
  <c r="J41" i="6"/>
  <c r="I41" i="6"/>
  <c r="J40" i="6"/>
  <c r="I40" i="6"/>
  <c r="J39" i="6"/>
  <c r="I39" i="6"/>
  <c r="J38" i="6"/>
  <c r="I38" i="6"/>
  <c r="D38" i="6"/>
  <c r="C38" i="6"/>
  <c r="B38" i="6"/>
  <c r="J37" i="6"/>
  <c r="I37" i="6"/>
  <c r="D37" i="6"/>
  <c r="C37" i="6"/>
  <c r="B37" i="6"/>
  <c r="J36" i="6"/>
  <c r="I36" i="6"/>
  <c r="F36" i="6"/>
  <c r="E36" i="6"/>
  <c r="D36" i="6"/>
  <c r="C36" i="6"/>
  <c r="B36" i="6"/>
  <c r="J35" i="6"/>
  <c r="I35" i="6"/>
  <c r="D35" i="6"/>
  <c r="C35" i="6"/>
  <c r="B35" i="6"/>
  <c r="J34" i="6"/>
  <c r="I34" i="6"/>
  <c r="D34" i="6"/>
  <c r="C34" i="6"/>
  <c r="B34" i="6"/>
  <c r="J33" i="6"/>
  <c r="I33" i="6"/>
  <c r="D33" i="6"/>
  <c r="C33" i="6"/>
  <c r="B33" i="6"/>
  <c r="J32" i="6"/>
  <c r="I32" i="6"/>
  <c r="F32" i="6"/>
  <c r="E32" i="6"/>
  <c r="D32" i="6"/>
  <c r="C32" i="6"/>
  <c r="B32" i="6"/>
  <c r="J31" i="6"/>
  <c r="I31" i="6"/>
  <c r="D31" i="6"/>
  <c r="C31" i="6"/>
  <c r="B31" i="6"/>
  <c r="J30" i="6"/>
  <c r="I30" i="6"/>
  <c r="D30" i="6"/>
  <c r="C30" i="6"/>
  <c r="B30" i="6"/>
  <c r="J29" i="6"/>
  <c r="I29" i="6"/>
  <c r="D29" i="6"/>
  <c r="C29" i="6"/>
  <c r="B29" i="6"/>
  <c r="J28" i="6"/>
  <c r="I28" i="6"/>
  <c r="F28" i="6"/>
  <c r="E28" i="6"/>
  <c r="J27" i="6"/>
  <c r="I27" i="6"/>
  <c r="D27" i="6"/>
  <c r="C27" i="6"/>
  <c r="B27" i="6"/>
  <c r="J26" i="6"/>
  <c r="I26" i="6"/>
  <c r="D26" i="6"/>
  <c r="C26" i="6"/>
  <c r="B26" i="6"/>
  <c r="J25" i="6"/>
  <c r="I25" i="6"/>
  <c r="D25" i="6"/>
  <c r="C25" i="6"/>
  <c r="B25" i="6"/>
  <c r="J24" i="6"/>
  <c r="I24" i="6"/>
  <c r="D24" i="6"/>
  <c r="C24" i="6"/>
  <c r="B24" i="6"/>
  <c r="J23" i="6"/>
  <c r="I23" i="6"/>
  <c r="D23" i="6"/>
  <c r="C23" i="6"/>
  <c r="B23" i="6"/>
  <c r="J22" i="6"/>
  <c r="I22" i="6"/>
  <c r="D22" i="6"/>
  <c r="C22" i="6"/>
  <c r="B22" i="6"/>
  <c r="J21" i="6"/>
  <c r="I21" i="6"/>
  <c r="D21" i="6"/>
  <c r="C21" i="6"/>
  <c r="B21" i="6"/>
  <c r="J20" i="6"/>
  <c r="D20" i="6"/>
  <c r="C20" i="6"/>
  <c r="B20" i="6"/>
  <c r="J19" i="6"/>
  <c r="I19" i="6"/>
  <c r="D19" i="6"/>
  <c r="C19" i="6"/>
  <c r="B19" i="6"/>
  <c r="J18" i="6"/>
  <c r="D18" i="6"/>
  <c r="C18" i="6"/>
  <c r="B18" i="6"/>
  <c r="J17" i="6"/>
  <c r="D17" i="6"/>
  <c r="C17" i="6"/>
  <c r="B17" i="6"/>
  <c r="J16" i="6"/>
  <c r="D16" i="6"/>
  <c r="C16" i="6"/>
  <c r="B16" i="6"/>
  <c r="J15" i="6"/>
  <c r="D15" i="6"/>
  <c r="C15" i="6"/>
  <c r="B15" i="6"/>
  <c r="J14" i="6"/>
  <c r="D14" i="6"/>
  <c r="C14" i="6"/>
  <c r="B14" i="6"/>
  <c r="J13" i="6"/>
  <c r="D13" i="6"/>
  <c r="C13" i="6"/>
  <c r="B13" i="6"/>
  <c r="J12" i="6"/>
  <c r="D12" i="6"/>
  <c r="C12" i="6"/>
  <c r="B12" i="6"/>
  <c r="J11" i="6"/>
  <c r="D11" i="6"/>
  <c r="C11" i="6"/>
  <c r="B11" i="6"/>
  <c r="D10" i="6"/>
  <c r="C10" i="6"/>
  <c r="B10" i="6"/>
  <c r="D9" i="6"/>
  <c r="C9" i="6"/>
  <c r="B9" i="6"/>
  <c r="D8" i="6"/>
  <c r="C8" i="6"/>
  <c r="B8" i="6"/>
  <c r="D7" i="6"/>
  <c r="C7" i="6"/>
  <c r="B7" i="6"/>
  <c r="D6" i="6"/>
  <c r="C6" i="6"/>
  <c r="B6" i="6"/>
  <c r="D5" i="6"/>
  <c r="C5" i="6"/>
  <c r="B5" i="6"/>
  <c r="D4" i="6"/>
  <c r="C4" i="6"/>
  <c r="B4" i="6"/>
  <c r="D3" i="6"/>
  <c r="C3" i="6"/>
  <c r="B3" i="6"/>
</calcChain>
</file>

<file path=xl/connections.xml><?xml version="1.0" encoding="utf-8"?>
<connections xmlns="http://schemas.openxmlformats.org/spreadsheetml/2006/main">
  <connection id="1" name="Connexion1" type="4" refreshedVersion="4" background="1" saveData="1">
    <webPr sourceData="1" parsePre="1" consecutive="1" xl2000="1" url="http://www.cnr.fr/Indices-Statistiques/Frigo-LD-40T/Referentiel-de-prix-de-revient" htmlTables="1">
      <tables count="1">
        <x v="9"/>
      </tables>
    </webPr>
  </connection>
  <connection id="2" name="Connexion2" type="4" refreshedVersion="4" background="1" saveData="1">
    <webPr sourceData="1" parsePre="1" consecutive="1" xl2000="1" url="http://www.cnr.fr/Indices-Statistiques/Longue-distance-40T/Referentiel-prix-de-revient" htmlTables="1">
      <tables count="1">
        <x v="10"/>
      </tables>
    </webPr>
  </connection>
</connections>
</file>

<file path=xl/sharedStrings.xml><?xml version="1.0" encoding="utf-8"?>
<sst xmlns="http://schemas.openxmlformats.org/spreadsheetml/2006/main" count="1489" uniqueCount="351">
  <si>
    <t>LIEN</t>
  </si>
  <si>
    <t>Terme journalier €</t>
  </si>
  <si>
    <t>Terme Horaire €</t>
  </si>
  <si>
    <t>Terme kilometrique avec péage €</t>
  </si>
  <si>
    <t>RATIO US $ / €</t>
  </si>
  <si>
    <t>Ratio AUSTRALIAN $ / €</t>
  </si>
  <si>
    <t>Ratio Brazilian real / €</t>
  </si>
  <si>
    <t>Ratio Chinese Yuan Renminbi / €</t>
  </si>
  <si>
    <t>Ratio South-Korean WON / €</t>
  </si>
  <si>
    <t>Ratio Yen / €</t>
  </si>
  <si>
    <t>Ratio vietnamien Dong / €</t>
  </si>
  <si>
    <t>Ratio thai bath / €</t>
  </si>
  <si>
    <t>Ratio Singapore Dollar / €</t>
  </si>
  <si>
    <t>Ratio Malaysian Ringgit / €</t>
  </si>
  <si>
    <t>Ratio Omani Rial / €</t>
  </si>
  <si>
    <t>Ratio Hong Kond $ / €</t>
  </si>
  <si>
    <t>New Taiwan $ / €</t>
  </si>
  <si>
    <t>Ratio Indian Rupee / €</t>
  </si>
  <si>
    <t>Ratio Norvegian Krone / €</t>
  </si>
  <si>
    <t>Ratio New Zealand $ / €</t>
  </si>
  <si>
    <t>Pays</t>
  </si>
  <si>
    <t>Partie en camion</t>
  </si>
  <si>
    <t>Partie en bateau</t>
  </si>
  <si>
    <t>Liste des Incotermes</t>
  </si>
  <si>
    <t>Nom du site de livraison</t>
  </si>
  <si>
    <t>Adresse</t>
  </si>
  <si>
    <t>Distance a parcourir (Km)</t>
  </si>
  <si>
    <t>Temps de trajet (h)</t>
  </si>
  <si>
    <t>Cout péage (€)</t>
  </si>
  <si>
    <t>Nom du port de Départ/Livraison</t>
  </si>
  <si>
    <t>Pays d'arrivé</t>
  </si>
  <si>
    <t>Port d'arrivé</t>
  </si>
  <si>
    <t>EXW</t>
  </si>
  <si>
    <t>FAS (Maritime)</t>
  </si>
  <si>
    <t>Route uniquement</t>
  </si>
  <si>
    <t>FOB (Maritime)</t>
  </si>
  <si>
    <t>CFR (Maritime)</t>
  </si>
  <si>
    <t>CIF (Maritime)</t>
  </si>
  <si>
    <t>DAT (Multimodal)</t>
  </si>
  <si>
    <t>Coût de manutention au port de départ</t>
  </si>
  <si>
    <t>Coût du Conteneur standar 20'</t>
  </si>
  <si>
    <t>Coût du Conteneur standar 40'</t>
  </si>
  <si>
    <t>Distance à parcourir (Km)</t>
  </si>
  <si>
    <t>Coût de l'Open Top 20'</t>
  </si>
  <si>
    <t>Coût de l'Open Top 40'</t>
  </si>
  <si>
    <t>Coût du Conteneur Flat Rack 20'</t>
  </si>
  <si>
    <t>volume de l'envoi (m^3)</t>
  </si>
  <si>
    <t>Coût du Conteneur Flat Rack 40'</t>
  </si>
  <si>
    <t>Poids de l'envoi (kg)</t>
  </si>
  <si>
    <t>Coût du Conteneur High Cube PalletWide 40'</t>
  </si>
  <si>
    <t>Frais additionnel</t>
  </si>
  <si>
    <t>Frais de manutention du port d'arrivé</t>
  </si>
  <si>
    <t>Type de camion</t>
  </si>
  <si>
    <t>Surface au sol (m²)</t>
  </si>
  <si>
    <t>Nombre de caisse</t>
  </si>
  <si>
    <t>Port de départ</t>
  </si>
  <si>
    <t>Port de Marseille</t>
  </si>
  <si>
    <t>Alexandrie</t>
  </si>
  <si>
    <t>Valeurs</t>
  </si>
  <si>
    <t>Somme de Coût 20' Standard (€)</t>
  </si>
  <si>
    <t>Somme de Coût 40' Standard (€)</t>
  </si>
  <si>
    <t>Somme de Cout 20' Open Top (€)</t>
  </si>
  <si>
    <t>Somme de Cout 40' Open Top (€)</t>
  </si>
  <si>
    <t>Somme de Coût 20' Flat Rack</t>
  </si>
  <si>
    <t>Somme de Coût 40' Flat Rack</t>
  </si>
  <si>
    <t>Somme de Coût 40' High Cube PalletWide (€)</t>
  </si>
  <si>
    <t>Port d'Anvers</t>
  </si>
  <si>
    <t>Somme de Frais additionnel (€)</t>
  </si>
  <si>
    <t>Somme de Dont - Frais de manutention arrivé</t>
  </si>
  <si>
    <t>Port du Havre</t>
  </si>
  <si>
    <t>Port de Rotterdam</t>
  </si>
  <si>
    <t>Port de Fos Sur Mer</t>
  </si>
  <si>
    <t>Données : ports fréquemment utilisé</t>
  </si>
  <si>
    <t>Belgique</t>
  </si>
  <si>
    <t>Antwerp Port House: Entrepotkaai 1, 2000 Antwerp</t>
  </si>
  <si>
    <t>France</t>
  </si>
  <si>
    <t>13226, 23 Place de la Joliette, 13002 Marseille</t>
  </si>
  <si>
    <t>Terre Plein de la Barre 76600 Le Havre</t>
  </si>
  <si>
    <t>Pays Bas</t>
  </si>
  <si>
    <t xml:space="preserve">Luxembourg Weg No. 2, 3198 LG Europoort, Pays Bas </t>
  </si>
  <si>
    <t>13230 Port-Saint-Louis-du-Rhône</t>
  </si>
  <si>
    <t>Données : Coût de transport en bateau</t>
  </si>
  <si>
    <t>Coût 20' Standard (€)</t>
  </si>
  <si>
    <t>Coût 40' Standard (€)</t>
  </si>
  <si>
    <t>Coût 40' High Cube PalletWide (€)</t>
  </si>
  <si>
    <t>Cout 40' Open Top (€)</t>
  </si>
  <si>
    <t>Cout 20' Open Top (€)</t>
  </si>
  <si>
    <t>Coût 20' Flat Rack</t>
  </si>
  <si>
    <t>Coût 40' Flat Rack</t>
  </si>
  <si>
    <t>Frais additionnel (€)</t>
  </si>
  <si>
    <t>Dont - Frais de manutention arrivé</t>
  </si>
  <si>
    <t>Indicatif du pays</t>
  </si>
  <si>
    <t>Arabie Saudite</t>
  </si>
  <si>
    <t>SA</t>
  </si>
  <si>
    <t>Dammam</t>
  </si>
  <si>
    <t>Jeddah</t>
  </si>
  <si>
    <t>Argentine</t>
  </si>
  <si>
    <t>AR</t>
  </si>
  <si>
    <t>Buenos Aires</t>
  </si>
  <si>
    <t>Zarate</t>
  </si>
  <si>
    <t>Australie</t>
  </si>
  <si>
    <t>AU</t>
  </si>
  <si>
    <t>Adelaide</t>
  </si>
  <si>
    <t>Brisbane</t>
  </si>
  <si>
    <t>Fremantle</t>
  </si>
  <si>
    <t>Espagne</t>
  </si>
  <si>
    <t>Melbourne</t>
  </si>
  <si>
    <t>Sydney</t>
  </si>
  <si>
    <t>Finlande</t>
  </si>
  <si>
    <t>Brezil (centre)</t>
  </si>
  <si>
    <t>BR</t>
  </si>
  <si>
    <t>Salvador di bahia</t>
  </si>
  <si>
    <t>Brezil (sud)</t>
  </si>
  <si>
    <t>Rio de Janeiro</t>
  </si>
  <si>
    <t>Rio Grande</t>
  </si>
  <si>
    <t>Chili (centre)</t>
  </si>
  <si>
    <t>CL</t>
  </si>
  <si>
    <t>Valparaiso</t>
  </si>
  <si>
    <t>Chili (nord)</t>
  </si>
  <si>
    <t>Iquique</t>
  </si>
  <si>
    <t>Chine</t>
  </si>
  <si>
    <t>HK</t>
  </si>
  <si>
    <t>Hong Kong</t>
  </si>
  <si>
    <t>CN</t>
  </si>
  <si>
    <t>Shanghai</t>
  </si>
  <si>
    <t>Qingdao</t>
  </si>
  <si>
    <t>Dalian</t>
  </si>
  <si>
    <t>Colombie</t>
  </si>
  <si>
    <t>CO</t>
  </si>
  <si>
    <t>Buenaventura</t>
  </si>
  <si>
    <t>Continant Africain (est)</t>
  </si>
  <si>
    <t>DJ</t>
  </si>
  <si>
    <t>Djibouti</t>
  </si>
  <si>
    <t>KE</t>
  </si>
  <si>
    <t>Mombassa</t>
  </si>
  <si>
    <t>SD</t>
  </si>
  <si>
    <t>Port Soudan</t>
  </si>
  <si>
    <t>Continant Africain (ouest)</t>
  </si>
  <si>
    <t>CI</t>
  </si>
  <si>
    <t>Abidjan</t>
  </si>
  <si>
    <t>DZ</t>
  </si>
  <si>
    <t>Alger</t>
  </si>
  <si>
    <t>AO</t>
  </si>
  <si>
    <t>Luanda</t>
  </si>
  <si>
    <t>CG</t>
  </si>
  <si>
    <t>Pointe Noire</t>
  </si>
  <si>
    <t>GA</t>
  </si>
  <si>
    <t>Port Gentil</t>
  </si>
  <si>
    <t>Continant Africain (Sud-Ouest)</t>
  </si>
  <si>
    <t>MA</t>
  </si>
  <si>
    <t>Tanger</t>
  </si>
  <si>
    <t>Corée du sud</t>
  </si>
  <si>
    <t>KR</t>
  </si>
  <si>
    <t>Busan</t>
  </si>
  <si>
    <t>Incheon</t>
  </si>
  <si>
    <t>Egypte</t>
  </si>
  <si>
    <t>EG</t>
  </si>
  <si>
    <t>Equateur</t>
  </si>
  <si>
    <t>EC</t>
  </si>
  <si>
    <t>Guayaquil</t>
  </si>
  <si>
    <t>ES</t>
  </si>
  <si>
    <t>Barcelone</t>
  </si>
  <si>
    <t>Valence</t>
  </si>
  <si>
    <t>FI</t>
  </si>
  <si>
    <t>Helsinki</t>
  </si>
  <si>
    <t>Kotka</t>
  </si>
  <si>
    <t>Rauma</t>
  </si>
  <si>
    <t>Honduras</t>
  </si>
  <si>
    <t>HN</t>
  </si>
  <si>
    <t>Puerto Cortes</t>
  </si>
  <si>
    <t>Inde</t>
  </si>
  <si>
    <t>IN</t>
  </si>
  <si>
    <t>Chennai-Ennore</t>
  </si>
  <si>
    <t>Haldia</t>
  </si>
  <si>
    <t>Vishakapatnam</t>
  </si>
  <si>
    <t>Indonesie</t>
  </si>
  <si>
    <t>ID</t>
  </si>
  <si>
    <t>Jakarta</t>
  </si>
  <si>
    <t>Makassar</t>
  </si>
  <si>
    <t>Surabaya</t>
  </si>
  <si>
    <t>Iran</t>
  </si>
  <si>
    <t>IR</t>
  </si>
  <si>
    <t>Bandar Shahid Rajaee</t>
  </si>
  <si>
    <t>Japon</t>
  </si>
  <si>
    <t>JP</t>
  </si>
  <si>
    <t>Kobe-Osaka</t>
  </si>
  <si>
    <t xml:space="preserve">Moji / Kitakyushu </t>
  </si>
  <si>
    <t>Nagoya</t>
  </si>
  <si>
    <t>Tokyo</t>
  </si>
  <si>
    <t>Tomakomai</t>
  </si>
  <si>
    <t>Libye</t>
  </si>
  <si>
    <t>LY</t>
  </si>
  <si>
    <t>Tripoli</t>
  </si>
  <si>
    <t>Malaysie</t>
  </si>
  <si>
    <t>MY</t>
  </si>
  <si>
    <t>Port Kelang</t>
  </si>
  <si>
    <t>Martinique</t>
  </si>
  <si>
    <t>MQ</t>
  </si>
  <si>
    <t>Fort de France</t>
  </si>
  <si>
    <t>Mexique</t>
  </si>
  <si>
    <t>MX</t>
  </si>
  <si>
    <t>Manzanillo</t>
  </si>
  <si>
    <t>Veracruz</t>
  </si>
  <si>
    <t>Mozanbique</t>
  </si>
  <si>
    <t>MZ</t>
  </si>
  <si>
    <t>Nacala</t>
  </si>
  <si>
    <t>Norvege</t>
  </si>
  <si>
    <t>NO</t>
  </si>
  <si>
    <t>Brevik</t>
  </si>
  <si>
    <t>Oslo</t>
  </si>
  <si>
    <t>Nouvelle-Zellande</t>
  </si>
  <si>
    <t>NZ</t>
  </si>
  <si>
    <t>Auckland</t>
  </si>
  <si>
    <t>Oman</t>
  </si>
  <si>
    <t>OM</t>
  </si>
  <si>
    <t>Salalah</t>
  </si>
  <si>
    <t>Pakistant</t>
  </si>
  <si>
    <t>PK</t>
  </si>
  <si>
    <t>Karachi</t>
  </si>
  <si>
    <t>Port Qasim</t>
  </si>
  <si>
    <t>Panama</t>
  </si>
  <si>
    <t>PA</t>
  </si>
  <si>
    <t>Manzanillo, Pa</t>
  </si>
  <si>
    <t>PE</t>
  </si>
  <si>
    <t>Paita</t>
  </si>
  <si>
    <t>Pérou</t>
  </si>
  <si>
    <t>Callao</t>
  </si>
  <si>
    <t>Russie</t>
  </si>
  <si>
    <t>RU</t>
  </si>
  <si>
    <t>Nakhodka</t>
  </si>
  <si>
    <t>Philippines</t>
  </si>
  <si>
    <t>PH</t>
  </si>
  <si>
    <t>Manille</t>
  </si>
  <si>
    <t>Puerto Rico</t>
  </si>
  <si>
    <t>PR</t>
  </si>
  <si>
    <t>San Juan</t>
  </si>
  <si>
    <t>Kaliningrad</t>
  </si>
  <si>
    <t>Saint-Pétersbourg</t>
  </si>
  <si>
    <t>UST'-Luga</t>
  </si>
  <si>
    <t>Vladivostock</t>
  </si>
  <si>
    <t>Vostochny</t>
  </si>
  <si>
    <t>Singapour</t>
  </si>
  <si>
    <t>SG</t>
  </si>
  <si>
    <t>Taiwan</t>
  </si>
  <si>
    <t>TW</t>
  </si>
  <si>
    <t>Taichung</t>
  </si>
  <si>
    <t>Tanzanie</t>
  </si>
  <si>
    <t>TZ</t>
  </si>
  <si>
    <t>Zanzibar</t>
  </si>
  <si>
    <t>Thailande</t>
  </si>
  <si>
    <t>TH</t>
  </si>
  <si>
    <t>Bangkok</t>
  </si>
  <si>
    <t>USA (est)</t>
  </si>
  <si>
    <t>US</t>
  </si>
  <si>
    <t>Houston</t>
  </si>
  <si>
    <t>Miami</t>
  </si>
  <si>
    <t>New York</t>
  </si>
  <si>
    <t>Nouvelle Orleans</t>
  </si>
  <si>
    <t>Savannah</t>
  </si>
  <si>
    <t>Venezuela</t>
  </si>
  <si>
    <t>VE</t>
  </si>
  <si>
    <t>Puerto Cabello</t>
  </si>
  <si>
    <t>Vietnam</t>
  </si>
  <si>
    <t>VN</t>
  </si>
  <si>
    <t>Haiphong</t>
  </si>
  <si>
    <t>Ho Chi Minh</t>
  </si>
  <si>
    <t>Yemen</t>
  </si>
  <si>
    <t>YE</t>
  </si>
  <si>
    <t>Aden</t>
  </si>
  <si>
    <t>Moyenne frais de manutention arrivé (si pas de valeur dans mon tableau)</t>
  </si>
  <si>
    <t>Transport France</t>
  </si>
  <si>
    <t>Transport Europe</t>
  </si>
  <si>
    <t>CPT (Multimodal)</t>
  </si>
  <si>
    <t>CIP (Multimodal)</t>
  </si>
  <si>
    <t>FCA (Routier)</t>
  </si>
  <si>
    <t>DAP (Routier) Europe Uniquement</t>
  </si>
  <si>
    <t>Marchandise</t>
  </si>
  <si>
    <t>Transformateur</t>
  </si>
  <si>
    <t>Outillage</t>
  </si>
  <si>
    <t>Incoterme/type d'envoie</t>
  </si>
  <si>
    <t>Données marchandise</t>
  </si>
  <si>
    <t xml:space="preserve">Cellule </t>
  </si>
  <si>
    <t>SF6</t>
  </si>
  <si>
    <t>Coût de revient camion (€)</t>
  </si>
  <si>
    <t>Type de D'envoie</t>
  </si>
  <si>
    <t>SEMI</t>
  </si>
  <si>
    <t>PLATEAU</t>
  </si>
  <si>
    <t>Surbaissé 3 essieux</t>
  </si>
  <si>
    <t>Surbaissé 4 essieux</t>
  </si>
  <si>
    <t>Incoterm / Type d'envoie</t>
  </si>
  <si>
    <t>mode de transport</t>
  </si>
  <si>
    <t>cout du transport</t>
  </si>
  <si>
    <t xml:space="preserve"> </t>
  </si>
  <si>
    <t>Coût de l'equipement</t>
  </si>
  <si>
    <r>
      <t xml:space="preserve">Coût de transport Bateau (€) </t>
    </r>
    <r>
      <rPr>
        <b/>
        <i/>
        <u/>
        <sz val="11"/>
        <color theme="1"/>
        <rFont val="Times New Roman"/>
        <family val="1"/>
      </rPr>
      <t>hors Manutention</t>
    </r>
  </si>
  <si>
    <t>Cout manutention port de départ</t>
  </si>
  <si>
    <t>Données camoins</t>
  </si>
  <si>
    <t>Coût du supplément pour hors gabari en camion</t>
  </si>
  <si>
    <t>Coût du stockage</t>
  </si>
  <si>
    <r>
      <t>Coût Assurance Transport Principal</t>
    </r>
    <r>
      <rPr>
        <b/>
        <sz val="11"/>
        <color theme="1"/>
        <rFont val="Times New Roman"/>
        <family val="1"/>
      </rPr>
      <t xml:space="preserve"> CIP / CIF (</t>
    </r>
    <r>
      <rPr>
        <sz val="11"/>
        <color theme="1"/>
        <rFont val="Times New Roman"/>
        <family val="1"/>
      </rPr>
      <t>€)</t>
    </r>
  </si>
  <si>
    <t>Nombre de Camion (Ratio Surface)</t>
  </si>
  <si>
    <t>Nombre de Camion (Ratio volume)</t>
  </si>
  <si>
    <t>Nombre de Camion (Ratio masse)</t>
  </si>
  <si>
    <t>CU (kg)</t>
  </si>
  <si>
    <t>SURFACE (m²)</t>
  </si>
  <si>
    <t>volume (m^3)</t>
  </si>
  <si>
    <t>L (m)</t>
  </si>
  <si>
    <t>l  (m)</t>
  </si>
  <si>
    <t>H  (m)</t>
  </si>
  <si>
    <t>Coût du supplément pour hors gabari en bateau</t>
  </si>
  <si>
    <t>Coût Stockage 1 mois(€)</t>
  </si>
  <si>
    <t>Coût Stockage 5 mois(€)</t>
  </si>
  <si>
    <t>Routier-Aérien</t>
  </si>
  <si>
    <t>Routier-Maritime</t>
  </si>
  <si>
    <t>Données conteneur</t>
  </si>
  <si>
    <t>20' std</t>
  </si>
  <si>
    <t>40' std</t>
  </si>
  <si>
    <t>40' hc</t>
  </si>
  <si>
    <t>20' ot</t>
  </si>
  <si>
    <t>40' ot</t>
  </si>
  <si>
    <t>20' fla</t>
  </si>
  <si>
    <t>40' fla</t>
  </si>
  <si>
    <t>Nombre de Conteneur (Ratio masse)</t>
  </si>
  <si>
    <t>Nombre de Conteneur (Ratio volume)</t>
  </si>
  <si>
    <t>Nombre de Conteneur (Ratio Surface)</t>
  </si>
  <si>
    <t>Assurance Marchandise</t>
  </si>
  <si>
    <t>a verifier euro/$</t>
  </si>
  <si>
    <t>CAMION STANDARD</t>
  </si>
  <si>
    <t>CAMION SURBAISSEE</t>
  </si>
  <si>
    <t>Marchandise nécesitant un transport en surbaissée/plateau</t>
  </si>
  <si>
    <t xml:space="preserve">Cellules </t>
  </si>
  <si>
    <t>Pôles dijoncteurs</t>
  </si>
  <si>
    <r>
      <t xml:space="preserve">Montant du transport total ( </t>
    </r>
    <r>
      <rPr>
        <sz val="28"/>
        <color theme="1"/>
        <rFont val="Calibri"/>
        <family val="2"/>
      </rPr>
      <t>€ )</t>
    </r>
  </si>
  <si>
    <t>Marchandise nécessitant un transport standard</t>
  </si>
  <si>
    <t>Transformateur d'essaie</t>
  </si>
  <si>
    <t>Outilllage</t>
  </si>
  <si>
    <t>Parafoudre</t>
  </si>
  <si>
    <t>Terme kilométrique avec péages (CK)</t>
  </si>
  <si>
    <t>(1 km parcouru) CK</t>
  </si>
  <si>
    <t>(0,353 € Hors péage)</t>
  </si>
  <si>
    <t>Terme journalier (CV + CS)</t>
  </si>
  <si>
    <t>(coût de véhicule + coût de structure) CV + CS</t>
  </si>
  <si>
    <t>Terme horaire</t>
  </si>
  <si>
    <t>(1 heure de temps de service) CC/h</t>
  </si>
  <si>
    <t>(0,355 € Hors péage)</t>
  </si>
  <si>
    <r>
      <t xml:space="preserve">Données exporter </t>
    </r>
    <r>
      <rPr>
        <b/>
        <i/>
        <u/>
        <sz val="48"/>
        <color theme="1"/>
        <rFont val="Times New Roman"/>
        <family val="1"/>
      </rPr>
      <t>automatiquement</t>
    </r>
    <r>
      <rPr>
        <b/>
        <i/>
        <u/>
        <sz val="20"/>
        <color theme="1"/>
        <rFont val="Times New Roman"/>
        <family val="1"/>
      </rPr>
      <t xml:space="preserve"> relatives au camion</t>
    </r>
  </si>
  <si>
    <r>
      <t xml:space="preserve">Données </t>
    </r>
    <r>
      <rPr>
        <b/>
        <i/>
        <u/>
        <sz val="36"/>
        <color theme="1"/>
        <rFont val="Times New Roman"/>
        <family val="1"/>
      </rPr>
      <t>à exporter</t>
    </r>
    <r>
      <rPr>
        <b/>
        <i/>
        <u/>
        <sz val="20"/>
        <color theme="1"/>
        <rFont val="Times New Roman"/>
        <family val="1"/>
      </rPr>
      <t xml:space="preserve"> relatives a la monnaie</t>
    </r>
  </si>
  <si>
    <t>377,9</t>
  </si>
  <si>
    <t>5,25</t>
  </si>
  <si>
    <t>93,2</t>
  </si>
  <si>
    <t>Routier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</si>
</sst>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\ &quot;€&quot;;[Red]\-#,##0.000\ &quot;€&quot;"/>
  </numFmts>
  <fonts count="29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</font>
    <font>
      <b/>
      <sz val="28"/>
      <color rgb="FFDD0806"/>
      <name val="Times New Roman"/>
      <family val="1"/>
    </font>
    <font>
      <sz val="12"/>
      <color theme="1"/>
      <name val="Times New Roman"/>
      <family val="1"/>
    </font>
    <font>
      <b/>
      <sz val="14"/>
      <color theme="1"/>
      <name val="Times New Roman"/>
      <family val="1"/>
    </font>
    <font>
      <b/>
      <i/>
      <u/>
      <sz val="20"/>
      <color theme="1"/>
      <name val="Times New Roman"/>
      <family val="1"/>
    </font>
    <font>
      <u/>
      <sz val="12"/>
      <color theme="10"/>
      <name val="Calibri"/>
      <family val="2"/>
      <scheme val="minor"/>
    </font>
    <font>
      <u/>
      <sz val="12"/>
      <color theme="10"/>
      <name val="Times New Roman"/>
      <family val="1"/>
    </font>
    <font>
      <b/>
      <sz val="22"/>
      <color theme="1"/>
      <name val="Times New Roman"/>
      <family val="1"/>
    </font>
    <font>
      <b/>
      <sz val="16"/>
      <color theme="1"/>
      <name val="Times New Roman"/>
      <family val="1"/>
    </font>
    <font>
      <sz val="12"/>
      <color rgb="FF222222"/>
      <name val="Times New Roman"/>
      <family val="1"/>
    </font>
    <font>
      <sz val="16"/>
      <color theme="1"/>
      <name val="Times New Roman"/>
      <family val="1"/>
    </font>
    <font>
      <b/>
      <sz val="22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6"/>
      <color rgb="FFFF0000"/>
      <name val="Times New Roman"/>
      <family val="1"/>
    </font>
    <font>
      <sz val="12"/>
      <color theme="1"/>
      <name val="Calibri"/>
      <family val="2"/>
      <scheme val="minor"/>
    </font>
    <font>
      <b/>
      <sz val="11"/>
      <color theme="1"/>
      <name val="Times New Roman"/>
      <family val="1"/>
    </font>
    <font>
      <b/>
      <i/>
      <u/>
      <sz val="11"/>
      <color theme="1"/>
      <name val="Times New Roman"/>
      <family val="1"/>
    </font>
    <font>
      <b/>
      <u/>
      <sz val="22"/>
      <color theme="10"/>
      <name val="Calibri"/>
      <family val="2"/>
      <scheme val="minor"/>
    </font>
    <font>
      <sz val="18"/>
      <color theme="1"/>
      <name val="Times New Roman"/>
      <family val="1"/>
    </font>
    <font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45"/>
      <color theme="1"/>
      <name val="Calibri"/>
      <family val="2"/>
      <scheme val="minor"/>
    </font>
    <font>
      <sz val="28"/>
      <color theme="1"/>
      <name val="Times New Roman"/>
      <family val="1"/>
    </font>
    <font>
      <sz val="28"/>
      <color theme="1"/>
      <name val="Calibri"/>
      <family val="2"/>
    </font>
    <font>
      <sz val="14"/>
      <color theme="1"/>
      <name val="Times New Roman"/>
      <family val="1"/>
    </font>
    <font>
      <u/>
      <sz val="14"/>
      <color theme="10"/>
      <name val="Times New Roman"/>
      <family val="1"/>
    </font>
    <font>
      <b/>
      <i/>
      <u/>
      <sz val="36"/>
      <color theme="1"/>
      <name val="Times New Roman"/>
      <family val="1"/>
    </font>
    <font>
      <b/>
      <i/>
      <u/>
      <sz val="48"/>
      <color theme="1"/>
      <name val="Times New Roman"/>
      <family val="1"/>
    </font>
  </fonts>
  <fills count="1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rgb="FF00FF00"/>
        <bgColor indexed="64"/>
      </patternFill>
    </fill>
  </fills>
  <borders count="67">
    <border>
      <left/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double">
        <color auto="1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auto="1"/>
      </bottom>
      <diagonal/>
    </border>
    <border>
      <left style="thin">
        <color indexed="64"/>
      </left>
      <right/>
      <top style="thin">
        <color indexed="64"/>
      </top>
      <bottom style="double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double">
        <color auto="1"/>
      </bottom>
      <diagonal/>
    </border>
    <border>
      <left/>
      <right style="thin">
        <color indexed="64"/>
      </right>
      <top style="thin">
        <color indexed="64"/>
      </top>
      <bottom style="double">
        <color auto="1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indexed="64"/>
      </left>
      <right/>
      <top style="double">
        <color auto="1"/>
      </top>
      <bottom style="double">
        <color auto="1"/>
      </bottom>
      <diagonal/>
    </border>
    <border>
      <left style="thin">
        <color indexed="64"/>
      </left>
      <right/>
      <top style="double">
        <color auto="1"/>
      </top>
      <bottom style="double">
        <color auto="1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97">
    <xf numFmtId="0" fontId="0" fillId="0" borderId="0" xfId="0"/>
    <xf numFmtId="0" fontId="3" fillId="8" borderId="16" xfId="0" applyFont="1" applyFill="1" applyBorder="1" applyAlignment="1">
      <alignment horizontal="center" vertical="center" wrapText="1"/>
    </xf>
    <xf numFmtId="0" fontId="3" fillId="8" borderId="3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9" fillId="4" borderId="20" xfId="0" applyFont="1" applyFill="1" applyBorder="1" applyAlignment="1">
      <alignment horizontal="center" vertical="center" wrapText="1"/>
    </xf>
    <xf numFmtId="0" fontId="9" fillId="5" borderId="21" xfId="0" applyFont="1" applyFill="1" applyBorder="1" applyAlignment="1">
      <alignment horizontal="center" vertical="center" wrapText="1"/>
    </xf>
    <xf numFmtId="0" fontId="11" fillId="2" borderId="21" xfId="0" applyFont="1" applyFill="1" applyBorder="1" applyAlignment="1">
      <alignment horizontal="center" vertical="center" wrapText="1"/>
    </xf>
    <xf numFmtId="0" fontId="9" fillId="3" borderId="21" xfId="0" applyFont="1" applyFill="1" applyBorder="1" applyAlignment="1">
      <alignment horizontal="center" vertical="center" wrapText="1"/>
    </xf>
    <xf numFmtId="0" fontId="9" fillId="3" borderId="22" xfId="0" applyFont="1" applyFill="1" applyBorder="1" applyAlignment="1">
      <alignment horizontal="center" vertical="center" wrapText="1"/>
    </xf>
    <xf numFmtId="0" fontId="11" fillId="4" borderId="23" xfId="0" applyFont="1" applyFill="1" applyBorder="1" applyAlignment="1">
      <alignment horizontal="center" vertical="center" wrapText="1"/>
    </xf>
    <xf numFmtId="1" fontId="11" fillId="0" borderId="0" xfId="0" applyNumberFormat="1" applyFont="1" applyFill="1" applyBorder="1" applyAlignment="1">
      <alignment horizontal="center" vertical="center" wrapText="1"/>
    </xf>
    <xf numFmtId="1" fontId="11" fillId="0" borderId="24" xfId="0" applyNumberFormat="1" applyFont="1" applyBorder="1" applyAlignment="1">
      <alignment horizontal="center" vertical="center" wrapText="1"/>
    </xf>
    <xf numFmtId="1" fontId="11" fillId="0" borderId="14" xfId="0" applyNumberFormat="1" applyFont="1" applyBorder="1" applyAlignment="1">
      <alignment horizontal="center" vertical="center" wrapText="1"/>
    </xf>
    <xf numFmtId="1" fontId="11" fillId="0" borderId="25" xfId="0" applyNumberFormat="1" applyFont="1" applyFill="1" applyBorder="1" applyAlignment="1">
      <alignment horizontal="center" vertical="center" wrapText="1"/>
    </xf>
    <xf numFmtId="1" fontId="11" fillId="0" borderId="26" xfId="0" applyNumberFormat="1" applyFont="1" applyFill="1" applyBorder="1" applyAlignment="1">
      <alignment horizontal="center" vertical="center" wrapText="1"/>
    </xf>
    <xf numFmtId="1" fontId="11" fillId="0" borderId="17" xfId="0" applyNumberFormat="1" applyFont="1" applyFill="1" applyBorder="1" applyAlignment="1">
      <alignment horizontal="center" vertical="center" wrapText="1"/>
    </xf>
    <xf numFmtId="1" fontId="11" fillId="2" borderId="27" xfId="0" applyNumberFormat="1" applyFont="1" applyFill="1" applyBorder="1" applyAlignment="1">
      <alignment horizontal="center" vertical="center" wrapText="1"/>
    </xf>
    <xf numFmtId="1" fontId="11" fillId="2" borderId="28" xfId="0" applyNumberFormat="1" applyFont="1" applyFill="1" applyBorder="1" applyAlignment="1">
      <alignment horizontal="center" vertical="center" wrapText="1"/>
    </xf>
    <xf numFmtId="0" fontId="11" fillId="3" borderId="0" xfId="0" applyFont="1" applyFill="1" applyBorder="1" applyAlignment="1">
      <alignment horizontal="center" vertical="center" wrapText="1"/>
    </xf>
    <xf numFmtId="0" fontId="11" fillId="3" borderId="18" xfId="0" applyFont="1" applyFill="1" applyBorder="1" applyAlignment="1">
      <alignment horizontal="center" vertical="center" wrapText="1"/>
    </xf>
    <xf numFmtId="0" fontId="11" fillId="3" borderId="29" xfId="0" applyFont="1" applyFill="1" applyBorder="1" applyAlignment="1">
      <alignment horizontal="center" vertical="center" wrapText="1"/>
    </xf>
    <xf numFmtId="0" fontId="11" fillId="4" borderId="30" xfId="0" applyFont="1" applyFill="1" applyBorder="1" applyAlignment="1">
      <alignment horizontal="center" vertical="center" wrapText="1"/>
    </xf>
    <xf numFmtId="1" fontId="11" fillId="0" borderId="15" xfId="0" applyNumberFormat="1" applyFont="1" applyFill="1" applyBorder="1" applyAlignment="1">
      <alignment horizontal="center" vertical="center" wrapText="1"/>
    </xf>
    <xf numFmtId="1" fontId="11" fillId="0" borderId="3" xfId="0" applyNumberFormat="1" applyFont="1" applyFill="1" applyBorder="1" applyAlignment="1">
      <alignment horizontal="center" vertical="center" wrapText="1"/>
    </xf>
    <xf numFmtId="1" fontId="11" fillId="0" borderId="12" xfId="0" applyNumberFormat="1" applyFont="1" applyFill="1" applyBorder="1" applyAlignment="1">
      <alignment horizontal="center" vertical="center" wrapText="1"/>
    </xf>
    <xf numFmtId="1" fontId="11" fillId="0" borderId="19" xfId="0" applyNumberFormat="1" applyFont="1" applyFill="1" applyBorder="1" applyAlignment="1">
      <alignment horizontal="center" vertical="center" wrapText="1"/>
    </xf>
    <xf numFmtId="1" fontId="11" fillId="0" borderId="31" xfId="0" applyNumberFormat="1" applyFont="1" applyFill="1" applyBorder="1" applyAlignment="1">
      <alignment horizontal="center" vertical="center" wrapText="1"/>
    </xf>
    <xf numFmtId="1" fontId="11" fillId="0" borderId="13" xfId="0" applyNumberFormat="1" applyFont="1" applyFill="1" applyBorder="1" applyAlignment="1">
      <alignment horizontal="center" vertical="center" wrapText="1"/>
    </xf>
    <xf numFmtId="1" fontId="11" fillId="2" borderId="19" xfId="0" applyNumberFormat="1" applyFont="1" applyFill="1" applyBorder="1" applyAlignment="1">
      <alignment horizontal="center" vertical="center" wrapText="1"/>
    </xf>
    <xf numFmtId="1" fontId="11" fillId="2" borderId="31" xfId="0" applyNumberFormat="1" applyFont="1" applyFill="1" applyBorder="1" applyAlignment="1">
      <alignment horizontal="center" vertical="center" wrapText="1"/>
    </xf>
    <xf numFmtId="0" fontId="11" fillId="3" borderId="13" xfId="0" applyFont="1" applyFill="1" applyBorder="1" applyAlignment="1">
      <alignment horizontal="center" vertical="center" wrapText="1"/>
    </xf>
    <xf numFmtId="0" fontId="11" fillId="3" borderId="3" xfId="0" applyFont="1" applyFill="1" applyBorder="1" applyAlignment="1">
      <alignment horizontal="center" vertical="center" wrapText="1"/>
    </xf>
    <xf numFmtId="0" fontId="11" fillId="3" borderId="31" xfId="0" applyFont="1" applyFill="1" applyBorder="1" applyAlignment="1">
      <alignment horizontal="center" vertical="center" wrapText="1"/>
    </xf>
    <xf numFmtId="1" fontId="11" fillId="0" borderId="3" xfId="0" applyNumberFormat="1" applyFont="1" applyBorder="1" applyAlignment="1">
      <alignment horizontal="center" vertical="center" wrapText="1"/>
    </xf>
    <xf numFmtId="1" fontId="11" fillId="0" borderId="12" xfId="0" applyNumberFormat="1" applyFont="1" applyBorder="1" applyAlignment="1">
      <alignment horizontal="center" vertical="center" wrapText="1"/>
    </xf>
    <xf numFmtId="0" fontId="11" fillId="0" borderId="30" xfId="0" applyFont="1" applyFill="1" applyBorder="1" applyAlignment="1">
      <alignment horizontal="center" vertical="center" wrapText="1"/>
    </xf>
    <xf numFmtId="0" fontId="11" fillId="0" borderId="13" xfId="0" applyFont="1" applyFill="1" applyBorder="1" applyAlignment="1">
      <alignment horizontal="center" vertical="center" wrapText="1"/>
    </xf>
    <xf numFmtId="0" fontId="11" fillId="0" borderId="3" xfId="0" applyFont="1" applyFill="1" applyBorder="1" applyAlignment="1">
      <alignment horizontal="center" vertical="center" wrapText="1"/>
    </xf>
    <xf numFmtId="0" fontId="11" fillId="0" borderId="31" xfId="0" applyFont="1" applyFill="1" applyBorder="1" applyAlignment="1">
      <alignment horizontal="center" vertical="center" wrapText="1"/>
    </xf>
    <xf numFmtId="0" fontId="11" fillId="4" borderId="32" xfId="0" applyFont="1" applyFill="1" applyBorder="1" applyAlignment="1">
      <alignment horizontal="center" vertical="center" wrapText="1"/>
    </xf>
    <xf numFmtId="1" fontId="11" fillId="0" borderId="33" xfId="0" applyNumberFormat="1" applyFont="1" applyFill="1" applyBorder="1" applyAlignment="1">
      <alignment horizontal="center" vertical="center" wrapText="1"/>
    </xf>
    <xf numFmtId="1" fontId="11" fillId="0" borderId="34" xfId="0" applyNumberFormat="1" applyFont="1" applyBorder="1" applyAlignment="1">
      <alignment horizontal="center" vertical="center" wrapText="1"/>
    </xf>
    <xf numFmtId="1" fontId="11" fillId="0" borderId="35" xfId="0" applyNumberFormat="1" applyFont="1" applyBorder="1" applyAlignment="1">
      <alignment horizontal="center" vertical="center" wrapText="1"/>
    </xf>
    <xf numFmtId="1" fontId="11" fillId="0" borderId="36" xfId="0" applyNumberFormat="1" applyFont="1" applyFill="1" applyBorder="1" applyAlignment="1">
      <alignment horizontal="center" vertical="center" wrapText="1"/>
    </xf>
    <xf numFmtId="1" fontId="11" fillId="0" borderId="37" xfId="0" applyNumberFormat="1" applyFont="1" applyFill="1" applyBorder="1" applyAlignment="1">
      <alignment horizontal="center" vertical="center" wrapText="1"/>
    </xf>
    <xf numFmtId="1" fontId="11" fillId="0" borderId="38" xfId="0" applyNumberFormat="1" applyFont="1" applyFill="1" applyBorder="1" applyAlignment="1">
      <alignment horizontal="center" vertical="center" wrapText="1"/>
    </xf>
    <xf numFmtId="1" fontId="11" fillId="2" borderId="36" xfId="0" applyNumberFormat="1" applyFont="1" applyFill="1" applyBorder="1" applyAlignment="1">
      <alignment horizontal="center" vertical="center" wrapText="1"/>
    </xf>
    <xf numFmtId="1" fontId="11" fillId="2" borderId="37" xfId="0" applyNumberFormat="1" applyFont="1" applyFill="1" applyBorder="1" applyAlignment="1">
      <alignment horizontal="center" vertical="center" wrapText="1"/>
    </xf>
    <xf numFmtId="0" fontId="11" fillId="3" borderId="38" xfId="0" applyFont="1" applyFill="1" applyBorder="1" applyAlignment="1">
      <alignment horizontal="center" vertical="center" wrapText="1"/>
    </xf>
    <xf numFmtId="0" fontId="11" fillId="3" borderId="34" xfId="0" applyFont="1" applyFill="1" applyBorder="1" applyAlignment="1">
      <alignment horizontal="center" vertical="center" wrapText="1"/>
    </xf>
    <xf numFmtId="0" fontId="11" fillId="3" borderId="37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0" fontId="11" fillId="0" borderId="0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3" fillId="0" borderId="16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3" fillId="4" borderId="3" xfId="0" applyFont="1" applyFill="1" applyBorder="1" applyAlignment="1">
      <alignment horizontal="center" vertical="center" wrapText="1"/>
    </xf>
    <xf numFmtId="0" fontId="13" fillId="8" borderId="3" xfId="0" applyFont="1" applyFill="1" applyBorder="1" applyAlignment="1">
      <alignment horizontal="center" vertical="center" wrapText="1"/>
    </xf>
    <xf numFmtId="0" fontId="13" fillId="0" borderId="3" xfId="0" applyFont="1" applyFill="1" applyBorder="1" applyAlignment="1">
      <alignment horizontal="center" vertical="center" wrapText="1"/>
    </xf>
    <xf numFmtId="0" fontId="15" fillId="0" borderId="0" xfId="0" applyFont="1" applyAlignment="1">
      <alignment horizontal="center" vertical="center" wrapText="1"/>
    </xf>
    <xf numFmtId="0" fontId="15" fillId="0" borderId="3" xfId="0" applyFont="1" applyBorder="1" applyAlignment="1">
      <alignment horizontal="center" vertical="center" wrapText="1"/>
    </xf>
    <xf numFmtId="1" fontId="9" fillId="0" borderId="0" xfId="0" applyNumberFormat="1" applyFont="1" applyFill="1" applyBorder="1" applyAlignment="1">
      <alignment horizontal="center" vertical="center" wrapText="1"/>
    </xf>
    <xf numFmtId="3" fontId="11" fillId="0" borderId="0" xfId="0" applyNumberFormat="1" applyFont="1" applyFill="1" applyBorder="1" applyAlignment="1">
      <alignment horizontal="center" vertical="center" wrapText="1"/>
    </xf>
    <xf numFmtId="0" fontId="3" fillId="0" borderId="41" xfId="0" applyFont="1" applyFill="1" applyBorder="1" applyAlignment="1">
      <alignment horizontal="center" vertical="center" wrapText="1"/>
    </xf>
    <xf numFmtId="0" fontId="11" fillId="2" borderId="4" xfId="0" applyFont="1" applyFill="1" applyBorder="1" applyAlignment="1">
      <alignment horizontal="center" vertical="center" wrapText="1"/>
    </xf>
    <xf numFmtId="0" fontId="11" fillId="2" borderId="5" xfId="0" applyFont="1" applyFill="1" applyBorder="1" applyAlignment="1">
      <alignment horizontal="center" vertical="center" wrapText="1"/>
    </xf>
    <xf numFmtId="0" fontId="11" fillId="2" borderId="6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1" fillId="2" borderId="2" xfId="0" applyFont="1" applyFill="1" applyBorder="1" applyAlignment="1">
      <alignment horizontal="center" vertical="center" wrapText="1"/>
    </xf>
    <xf numFmtId="0" fontId="11" fillId="2" borderId="0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0" fontId="11" fillId="5" borderId="3" xfId="0" applyFont="1" applyFill="1" applyBorder="1" applyAlignment="1">
      <alignment horizontal="center" vertical="center" wrapText="1"/>
    </xf>
    <xf numFmtId="0" fontId="11" fillId="0" borderId="3" xfId="0" applyFont="1" applyBorder="1" applyAlignment="1">
      <alignment horizontal="center" vertical="center" wrapText="1"/>
    </xf>
    <xf numFmtId="0" fontId="11" fillId="2" borderId="40" xfId="0" applyFont="1" applyFill="1" applyBorder="1" applyAlignment="1">
      <alignment horizontal="center" vertical="center" wrapText="1"/>
    </xf>
    <xf numFmtId="0" fontId="11" fillId="2" borderId="41" xfId="0" applyFont="1" applyFill="1" applyBorder="1" applyAlignment="1">
      <alignment horizontal="center" vertical="center" wrapText="1"/>
    </xf>
    <xf numFmtId="0" fontId="11" fillId="2" borderId="42" xfId="0" applyFont="1" applyFill="1" applyBorder="1" applyAlignment="1">
      <alignment horizontal="center" vertical="center" wrapText="1"/>
    </xf>
    <xf numFmtId="0" fontId="11" fillId="0" borderId="41" xfId="0" applyFont="1" applyBorder="1" applyAlignment="1">
      <alignment horizontal="center" vertical="center" wrapText="1"/>
    </xf>
    <xf numFmtId="0" fontId="13" fillId="5" borderId="15" xfId="0" applyFont="1" applyFill="1" applyBorder="1" applyAlignment="1">
      <alignment horizontal="center" vertical="center" wrapText="1"/>
    </xf>
    <xf numFmtId="0" fontId="13" fillId="5" borderId="3" xfId="0" applyFont="1" applyFill="1" applyBorder="1" applyAlignment="1">
      <alignment horizontal="center" vertical="center" wrapText="1"/>
    </xf>
    <xf numFmtId="0" fontId="0" fillId="5" borderId="3" xfId="0" applyFont="1" applyFill="1" applyBorder="1" applyAlignment="1">
      <alignment horizontal="center" vertical="center" wrapText="1"/>
    </xf>
    <xf numFmtId="0" fontId="13" fillId="5" borderId="12" xfId="0" applyFont="1" applyFill="1" applyBorder="1" applyAlignment="1">
      <alignment horizontal="center" vertical="center" wrapText="1"/>
    </xf>
    <xf numFmtId="0" fontId="0" fillId="10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0" fontId="0" fillId="0" borderId="2" xfId="0" applyFont="1" applyFill="1" applyBorder="1" applyAlignment="1">
      <alignment horizontal="center" vertical="center" wrapText="1"/>
    </xf>
    <xf numFmtId="0" fontId="3" fillId="8" borderId="39" xfId="0" applyFont="1" applyFill="1" applyBorder="1" applyAlignment="1">
      <alignment horizontal="center" vertical="center" wrapText="1"/>
    </xf>
    <xf numFmtId="0" fontId="3" fillId="0" borderId="39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11" borderId="0" xfId="0" applyFont="1" applyFill="1" applyAlignment="1">
      <alignment horizontal="center" vertical="center" wrapText="1"/>
    </xf>
    <xf numFmtId="0" fontId="7" fillId="6" borderId="11" xfId="1" applyFont="1" applyFill="1" applyBorder="1" applyAlignment="1">
      <alignment horizontal="center" vertical="center" wrapText="1"/>
    </xf>
    <xf numFmtId="0" fontId="7" fillId="6" borderId="11" xfId="1" applyFont="1" applyFill="1" applyBorder="1" applyAlignment="1">
      <alignment horizontal="center" vertical="center"/>
    </xf>
    <xf numFmtId="0" fontId="3" fillId="4" borderId="45" xfId="0" applyFont="1" applyFill="1" applyBorder="1" applyAlignment="1">
      <alignment horizontal="center" vertical="center" wrapText="1"/>
    </xf>
    <xf numFmtId="0" fontId="3" fillId="5" borderId="46" xfId="0" applyFont="1" applyFill="1" applyBorder="1" applyAlignment="1">
      <alignment horizontal="center" vertical="center" wrapText="1"/>
    </xf>
    <xf numFmtId="0" fontId="3" fillId="4" borderId="19" xfId="0" applyFont="1" applyFill="1" applyBorder="1" applyAlignment="1">
      <alignment horizontal="center" vertical="center" wrapText="1"/>
    </xf>
    <xf numFmtId="0" fontId="3" fillId="4" borderId="47" xfId="0" applyFont="1" applyFill="1" applyBorder="1" applyAlignment="1">
      <alignment horizontal="center" vertical="center" wrapText="1"/>
    </xf>
    <xf numFmtId="0" fontId="3" fillId="0" borderId="48" xfId="0" applyFont="1" applyFill="1" applyBorder="1" applyAlignment="1">
      <alignment horizontal="center" vertical="center" wrapText="1"/>
    </xf>
    <xf numFmtId="0" fontId="10" fillId="0" borderId="48" xfId="0" applyFont="1" applyBorder="1" applyAlignment="1">
      <alignment horizontal="center" vertical="center" wrapText="1"/>
    </xf>
    <xf numFmtId="0" fontId="15" fillId="4" borderId="2" xfId="0" applyFont="1" applyFill="1" applyBorder="1" applyAlignment="1">
      <alignment horizontal="center" vertical="center" wrapText="1"/>
    </xf>
    <xf numFmtId="0" fontId="3" fillId="5" borderId="39" xfId="0" applyFont="1" applyFill="1" applyBorder="1" applyAlignment="1">
      <alignment horizontal="center" vertical="center" wrapText="1"/>
    </xf>
    <xf numFmtId="0" fontId="15" fillId="0" borderId="39" xfId="0" applyFont="1" applyBorder="1" applyAlignment="1">
      <alignment horizontal="center" vertical="center" wrapText="1"/>
    </xf>
    <xf numFmtId="0" fontId="3" fillId="8" borderId="49" xfId="0" applyFont="1" applyFill="1" applyBorder="1" applyAlignment="1">
      <alignment horizontal="center" vertical="center" wrapText="1"/>
    </xf>
    <xf numFmtId="0" fontId="15" fillId="0" borderId="34" xfId="0" applyFont="1" applyBorder="1" applyAlignment="1">
      <alignment horizontal="center" vertical="center" wrapText="1"/>
    </xf>
    <xf numFmtId="0" fontId="15" fillId="0" borderId="50" xfId="0" applyFont="1" applyBorder="1" applyAlignment="1">
      <alignment horizontal="center" vertical="center" wrapText="1"/>
    </xf>
    <xf numFmtId="0" fontId="3" fillId="4" borderId="16" xfId="0" applyFont="1" applyFill="1" applyBorder="1" applyAlignment="1">
      <alignment horizontal="center" vertical="center" wrapText="1"/>
    </xf>
    <xf numFmtId="0" fontId="3" fillId="4" borderId="49" xfId="0" applyFont="1" applyFill="1" applyBorder="1" applyAlignment="1">
      <alignment horizontal="center" vertical="center" wrapText="1"/>
    </xf>
    <xf numFmtId="0" fontId="3" fillId="0" borderId="34" xfId="0" applyFont="1" applyFill="1" applyBorder="1" applyAlignment="1">
      <alignment horizontal="center" vertical="center" wrapText="1"/>
    </xf>
    <xf numFmtId="0" fontId="10" fillId="0" borderId="34" xfId="0" applyFont="1" applyBorder="1" applyAlignment="1">
      <alignment horizontal="center" vertical="center" wrapText="1"/>
    </xf>
    <xf numFmtId="0" fontId="3" fillId="0" borderId="50" xfId="0" applyFont="1" applyFill="1" applyBorder="1" applyAlignment="1">
      <alignment horizontal="center" vertical="center" wrapText="1"/>
    </xf>
    <xf numFmtId="0" fontId="3" fillId="8" borderId="52" xfId="0" applyFont="1" applyFill="1" applyBorder="1" applyAlignment="1">
      <alignment horizontal="center" vertical="center" wrapText="1"/>
    </xf>
    <xf numFmtId="0" fontId="3" fillId="8" borderId="53" xfId="0" applyFont="1" applyFill="1" applyBorder="1" applyAlignment="1">
      <alignment horizontal="center" vertical="center" wrapText="1"/>
    </xf>
    <xf numFmtId="0" fontId="19" fillId="4" borderId="51" xfId="0" applyFont="1" applyFill="1" applyBorder="1" applyAlignment="1">
      <alignment horizontal="center" vertical="center" wrapText="1"/>
    </xf>
    <xf numFmtId="0" fontId="20" fillId="0" borderId="0" xfId="0" applyFont="1" applyAlignment="1">
      <alignment horizontal="center" vertical="center" wrapText="1"/>
    </xf>
    <xf numFmtId="0" fontId="0" fillId="10" borderId="56" xfId="0" applyFill="1" applyBorder="1" applyAlignment="1">
      <alignment horizontal="center" vertical="center" wrapText="1"/>
    </xf>
    <xf numFmtId="0" fontId="0" fillId="0" borderId="56" xfId="0" applyBorder="1" applyAlignment="1">
      <alignment horizontal="center" vertical="center" wrapText="1"/>
    </xf>
    <xf numFmtId="2" fontId="15" fillId="0" borderId="3" xfId="0" applyNumberFormat="1" applyFont="1" applyBorder="1" applyAlignment="1">
      <alignment horizontal="center" vertical="center" wrapText="1"/>
    </xf>
    <xf numFmtId="2" fontId="15" fillId="0" borderId="34" xfId="0" applyNumberFormat="1" applyFont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5" borderId="12" xfId="0" applyFont="1" applyFill="1" applyBorder="1" applyAlignment="1">
      <alignment horizontal="center" vertical="center" wrapText="1"/>
    </xf>
    <xf numFmtId="0" fontId="13" fillId="5" borderId="13" xfId="0" applyFont="1" applyFill="1" applyBorder="1" applyAlignment="1">
      <alignment horizontal="center" vertical="center" wrapText="1"/>
    </xf>
    <xf numFmtId="0" fontId="13" fillId="0" borderId="16" xfId="0" applyFont="1" applyFill="1" applyBorder="1" applyAlignment="1">
      <alignment horizontal="center" vertical="center" wrapText="1"/>
    </xf>
    <xf numFmtId="1" fontId="13" fillId="0" borderId="3" xfId="0" applyNumberFormat="1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1" fontId="11" fillId="0" borderId="0" xfId="0" applyNumberFormat="1" applyFont="1" applyAlignment="1">
      <alignment horizontal="center" vertical="center" wrapText="1"/>
    </xf>
    <xf numFmtId="0" fontId="0" fillId="0" borderId="57" xfId="0" applyBorder="1" applyAlignment="1">
      <alignment horizontal="center" vertical="center" wrapText="1"/>
    </xf>
    <xf numFmtId="0" fontId="0" fillId="0" borderId="0" xfId="0" applyFill="1" applyBorder="1"/>
    <xf numFmtId="0" fontId="3" fillId="0" borderId="0" xfId="0" applyFont="1" applyFill="1" applyBorder="1" applyAlignment="1">
      <alignment vertical="center" wrapText="1"/>
    </xf>
    <xf numFmtId="9" fontId="21" fillId="0" borderId="0" xfId="0" applyNumberFormat="1" applyFont="1" applyFill="1" applyBorder="1" applyAlignment="1">
      <alignment vertical="center"/>
    </xf>
    <xf numFmtId="0" fontId="21" fillId="0" borderId="0" xfId="0" applyFont="1" applyFill="1" applyBorder="1" applyAlignment="1">
      <alignment vertical="center"/>
    </xf>
    <xf numFmtId="0" fontId="11" fillId="12" borderId="3" xfId="0" applyFont="1" applyFill="1" applyBorder="1" applyAlignment="1">
      <alignment horizontal="center" vertical="center" wrapText="1"/>
    </xf>
    <xf numFmtId="0" fontId="3" fillId="8" borderId="63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vertical="center"/>
    </xf>
    <xf numFmtId="0" fontId="3" fillId="0" borderId="6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7" fillId="0" borderId="0" xfId="1" applyFont="1" applyFill="1" applyBorder="1" applyAlignment="1">
      <alignment horizontal="center" vertical="center"/>
    </xf>
    <xf numFmtId="0" fontId="26" fillId="0" borderId="0" xfId="1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center" vertical="center"/>
    </xf>
    <xf numFmtId="0" fontId="25" fillId="0" borderId="3" xfId="0" applyFont="1" applyFill="1" applyBorder="1" applyAlignment="1">
      <alignment horizontal="center" vertical="center"/>
    </xf>
    <xf numFmtId="0" fontId="25" fillId="0" borderId="19" xfId="0" applyFont="1" applyFill="1" applyBorder="1" applyAlignment="1">
      <alignment horizontal="center" vertical="center"/>
    </xf>
    <xf numFmtId="0" fontId="25" fillId="0" borderId="31" xfId="0" applyFont="1" applyFill="1" applyBorder="1" applyAlignment="1">
      <alignment horizontal="center" vertical="center"/>
    </xf>
    <xf numFmtId="0" fontId="25" fillId="0" borderId="47" xfId="0" applyFont="1" applyFill="1" applyBorder="1" applyAlignment="1">
      <alignment horizontal="center" vertical="center"/>
    </xf>
    <xf numFmtId="0" fontId="25" fillId="0" borderId="48" xfId="0" applyFont="1" applyFill="1" applyBorder="1" applyAlignment="1">
      <alignment horizontal="center" vertical="center"/>
    </xf>
    <xf numFmtId="0" fontId="25" fillId="0" borderId="10" xfId="0" applyFont="1" applyFill="1" applyBorder="1" applyAlignment="1">
      <alignment horizontal="center" vertical="center"/>
    </xf>
    <xf numFmtId="0" fontId="25" fillId="0" borderId="64" xfId="0" applyFont="1" applyFill="1" applyBorder="1" applyAlignment="1">
      <alignment horizontal="center" vertical="center"/>
    </xf>
    <xf numFmtId="164" fontId="25" fillId="0" borderId="3" xfId="0" applyNumberFormat="1" applyFont="1" applyFill="1" applyBorder="1" applyAlignment="1">
      <alignment horizontal="center" vertical="center"/>
    </xf>
    <xf numFmtId="164" fontId="25" fillId="0" borderId="31" xfId="0" applyNumberFormat="1" applyFont="1" applyFill="1" applyBorder="1" applyAlignment="1">
      <alignment horizontal="center" vertical="center"/>
    </xf>
    <xf numFmtId="0" fontId="23" fillId="12" borderId="61" xfId="0" applyFont="1" applyFill="1" applyBorder="1" applyAlignment="1">
      <alignment horizontal="center" vertical="center" wrapText="1"/>
    </xf>
    <xf numFmtId="0" fontId="23" fillId="12" borderId="62" xfId="0" applyFont="1" applyFill="1" applyBorder="1" applyAlignment="1">
      <alignment horizontal="center" vertical="center" wrapText="1"/>
    </xf>
    <xf numFmtId="0" fontId="23" fillId="12" borderId="59" xfId="0" applyFont="1" applyFill="1" applyBorder="1" applyAlignment="1">
      <alignment horizontal="center" vertical="center" wrapText="1"/>
    </xf>
    <xf numFmtId="1" fontId="11" fillId="0" borderId="61" xfId="0" applyNumberFormat="1" applyFont="1" applyBorder="1" applyAlignment="1">
      <alignment horizontal="center" vertical="center" wrapText="1"/>
    </xf>
    <xf numFmtId="0" fontId="11" fillId="0" borderId="62" xfId="0" applyFont="1" applyBorder="1" applyAlignment="1">
      <alignment horizontal="center" vertical="center" wrapText="1"/>
    </xf>
    <xf numFmtId="0" fontId="11" fillId="0" borderId="59" xfId="0" applyFont="1" applyBorder="1" applyAlignment="1">
      <alignment horizontal="center" vertical="center" wrapText="1"/>
    </xf>
    <xf numFmtId="0" fontId="11" fillId="0" borderId="61" xfId="0" applyFont="1" applyBorder="1" applyAlignment="1">
      <alignment horizontal="center" vertical="center" wrapText="1"/>
    </xf>
    <xf numFmtId="0" fontId="14" fillId="2" borderId="2" xfId="0" applyFont="1" applyFill="1" applyBorder="1" applyAlignment="1">
      <alignment horizontal="center" vertical="center" wrapText="1"/>
    </xf>
    <xf numFmtId="0" fontId="14" fillId="2" borderId="0" xfId="0" applyFont="1" applyFill="1" applyBorder="1" applyAlignment="1">
      <alignment horizontal="center" vertical="center" wrapText="1"/>
    </xf>
    <xf numFmtId="0" fontId="14" fillId="2" borderId="1" xfId="0" applyFont="1" applyFill="1" applyBorder="1" applyAlignment="1">
      <alignment horizontal="center" vertical="center" wrapText="1"/>
    </xf>
    <xf numFmtId="0" fontId="11" fillId="2" borderId="2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0" fontId="4" fillId="5" borderId="58" xfId="0" applyFont="1" applyFill="1" applyBorder="1" applyAlignment="1">
      <alignment horizontal="center" vertical="center" wrapText="1"/>
    </xf>
    <xf numFmtId="0" fontId="4" fillId="5" borderId="56" xfId="0" applyFont="1" applyFill="1" applyBorder="1" applyAlignment="1">
      <alignment horizontal="center" vertical="center" wrapText="1"/>
    </xf>
    <xf numFmtId="0" fontId="4" fillId="4" borderId="58" xfId="0" applyFont="1" applyFill="1" applyBorder="1" applyAlignment="1">
      <alignment horizontal="center" vertical="center" wrapText="1"/>
    </xf>
    <xf numFmtId="0" fontId="4" fillId="4" borderId="56" xfId="0" applyFont="1" applyFill="1" applyBorder="1" applyAlignment="1">
      <alignment horizontal="center" vertical="center" wrapText="1"/>
    </xf>
    <xf numFmtId="0" fontId="4" fillId="4" borderId="57" xfId="0" applyFont="1" applyFill="1" applyBorder="1" applyAlignment="1">
      <alignment horizontal="center" vertical="center" wrapText="1"/>
    </xf>
    <xf numFmtId="0" fontId="19" fillId="4" borderId="4" xfId="0" applyFont="1" applyFill="1" applyBorder="1" applyAlignment="1">
      <alignment horizontal="center" vertical="center" wrapText="1"/>
    </xf>
    <xf numFmtId="0" fontId="19" fillId="4" borderId="5" xfId="0" applyFont="1" applyFill="1" applyBorder="1" applyAlignment="1">
      <alignment horizontal="center" vertical="center" wrapText="1"/>
    </xf>
    <xf numFmtId="0" fontId="19" fillId="4" borderId="6" xfId="0" applyFont="1" applyFill="1" applyBorder="1" applyAlignment="1">
      <alignment horizontal="center" vertical="center" wrapText="1"/>
    </xf>
    <xf numFmtId="0" fontId="20" fillId="4" borderId="54" xfId="0" applyFont="1" applyFill="1" applyBorder="1" applyAlignment="1">
      <alignment horizontal="center" vertical="center" wrapText="1"/>
    </xf>
    <xf numFmtId="0" fontId="20" fillId="4" borderId="55" xfId="0" applyFont="1" applyFill="1" applyBorder="1" applyAlignment="1">
      <alignment horizontal="center" vertical="center" wrapText="1"/>
    </xf>
    <xf numFmtId="0" fontId="20" fillId="4" borderId="4" xfId="0" applyFont="1" applyFill="1" applyBorder="1" applyAlignment="1">
      <alignment horizontal="center" vertical="center" wrapText="1"/>
    </xf>
    <xf numFmtId="0" fontId="20" fillId="4" borderId="5" xfId="0" applyFont="1" applyFill="1" applyBorder="1" applyAlignment="1">
      <alignment horizontal="center" vertical="center" wrapText="1"/>
    </xf>
    <xf numFmtId="0" fontId="20" fillId="4" borderId="6" xfId="0" applyFont="1" applyFill="1" applyBorder="1" applyAlignment="1">
      <alignment horizontal="center" vertical="center" wrapText="1"/>
    </xf>
    <xf numFmtId="0" fontId="25" fillId="4" borderId="18" xfId="0" applyFont="1" applyFill="1" applyBorder="1" applyAlignment="1">
      <alignment horizontal="center" vertical="center"/>
    </xf>
    <xf numFmtId="0" fontId="25" fillId="4" borderId="29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center"/>
    </xf>
    <xf numFmtId="0" fontId="5" fillId="5" borderId="43" xfId="0" applyFont="1" applyFill="1" applyBorder="1" applyAlignment="1">
      <alignment horizontal="center" vertical="center"/>
    </xf>
    <xf numFmtId="0" fontId="5" fillId="5" borderId="9" xfId="0" applyFont="1" applyFill="1" applyBorder="1" applyAlignment="1">
      <alignment horizontal="center" vertical="center"/>
    </xf>
    <xf numFmtId="0" fontId="5" fillId="5" borderId="10" xfId="0" applyFont="1" applyFill="1" applyBorder="1" applyAlignment="1">
      <alignment horizontal="center" vertical="center"/>
    </xf>
    <xf numFmtId="0" fontId="5" fillId="5" borderId="44" xfId="0" applyFont="1" applyFill="1" applyBorder="1" applyAlignment="1">
      <alignment horizontal="center" vertical="center"/>
    </xf>
    <xf numFmtId="2" fontId="8" fillId="7" borderId="11" xfId="0" applyNumberFormat="1" applyFont="1" applyFill="1" applyBorder="1" applyAlignment="1">
      <alignment horizontal="center" vertical="center" wrapText="1"/>
    </xf>
    <xf numFmtId="0" fontId="8" fillId="3" borderId="11" xfId="0" applyFont="1" applyFill="1" applyBorder="1" applyAlignment="1">
      <alignment horizontal="center" vertical="center" wrapText="1"/>
    </xf>
    <xf numFmtId="0" fontId="25" fillId="4" borderId="65" xfId="0" applyFont="1" applyFill="1" applyBorder="1" applyAlignment="1">
      <alignment horizontal="center" vertical="center"/>
    </xf>
    <xf numFmtId="0" fontId="8" fillId="7" borderId="11" xfId="0" applyFont="1" applyFill="1" applyBorder="1" applyAlignment="1">
      <alignment horizontal="center" vertical="center" wrapText="1"/>
    </xf>
    <xf numFmtId="0" fontId="18" fillId="6" borderId="26" xfId="1" applyFont="1" applyFill="1" applyBorder="1" applyAlignment="1">
      <alignment horizontal="center" vertical="center"/>
    </xf>
    <xf numFmtId="0" fontId="18" fillId="6" borderId="28" xfId="1" applyFont="1" applyFill="1" applyBorder="1" applyAlignment="1">
      <alignment horizontal="center" vertical="center"/>
    </xf>
    <xf numFmtId="0" fontId="18" fillId="6" borderId="66" xfId="1" applyFont="1" applyFill="1" applyBorder="1" applyAlignment="1">
      <alignment horizontal="center" vertical="center"/>
    </xf>
    <xf numFmtId="0" fontId="8" fillId="7" borderId="11" xfId="0" applyFont="1" applyFill="1" applyBorder="1" applyAlignment="1">
      <alignment horizontal="center" vertical="center"/>
    </xf>
    <xf numFmtId="0" fontId="12" fillId="9" borderId="10" xfId="0" applyFont="1" applyFill="1" applyBorder="1" applyAlignment="1">
      <alignment horizontal="center"/>
    </xf>
    <xf numFmtId="0" fontId="22" fillId="0" borderId="60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FF00"/>
      <color rgb="FFFF3399"/>
      <color rgb="FF990033"/>
      <color rgb="FF009900"/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onnections" Target="connection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552450</xdr:colOff>
          <xdr:row>19</xdr:row>
          <xdr:rowOff>0</xdr:rowOff>
        </xdr:from>
        <xdr:to>
          <xdr:col>2</xdr:col>
          <xdr:colOff>904875</xdr:colOff>
          <xdr:row>20</xdr:row>
          <xdr:rowOff>190500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Incoterm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552450</xdr:colOff>
          <xdr:row>9</xdr:row>
          <xdr:rowOff>180975</xdr:rowOff>
        </xdr:from>
        <xdr:to>
          <xdr:col>2</xdr:col>
          <xdr:colOff>904875</xdr:colOff>
          <xdr:row>11</xdr:row>
          <xdr:rowOff>133350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Données Marchandises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590550</xdr:colOff>
          <xdr:row>0</xdr:row>
          <xdr:rowOff>171450</xdr:rowOff>
        </xdr:from>
        <xdr:to>
          <xdr:col>2</xdr:col>
          <xdr:colOff>942975</xdr:colOff>
          <xdr:row>3</xdr:row>
          <xdr:rowOff>161925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45720" rIns="54864" bIns="45720" anchor="ctr" upright="1"/>
            <a:lstStyle/>
            <a:p>
              <a:pPr algn="ctr" rtl="0">
                <a:defRPr sz="1000"/>
              </a:pPr>
              <a:r>
                <a:rPr lang="fr-FR" sz="2800" b="1" i="0" u="none" strike="noStrike" baseline="0">
                  <a:solidFill>
                    <a:srgbClr val="DD0806"/>
                  </a:solidFill>
                  <a:latin typeface="Times New Roman"/>
                  <a:cs typeface="Times New Roman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oneCellAnchor>
    <xdr:from>
      <xdr:col>2</xdr:col>
      <xdr:colOff>969819</xdr:colOff>
      <xdr:row>0</xdr:row>
      <xdr:rowOff>200707</xdr:rowOff>
    </xdr:from>
    <xdr:ext cx="878032" cy="8077384"/>
    <xdr:sp macro="" textlink="" fLocksText="0">
      <xdr:nvSpPr>
        <xdr:cNvPr id="8" name="Flèche vers le bas 7"/>
        <xdr:cNvSpPr/>
      </xdr:nvSpPr>
      <xdr:spPr>
        <a:xfrm>
          <a:off x="3048001" y="200707"/>
          <a:ext cx="878032" cy="8077384"/>
        </a:xfrm>
        <a:prstGeom prst="downArrow">
          <a:avLst>
            <a:gd name="adj1" fmla="val 51462"/>
            <a:gd name="adj2" fmla="val 196300"/>
          </a:avLst>
        </a:prstGeom>
        <a:gradFill>
          <a:gsLst>
            <a:gs pos="0">
              <a:schemeClr val="accent1">
                <a:tint val="100000"/>
                <a:shade val="100000"/>
                <a:satMod val="130000"/>
              </a:schemeClr>
            </a:gs>
            <a:gs pos="65000">
              <a:schemeClr val="accent1">
                <a:tint val="50000"/>
                <a:shade val="100000"/>
                <a:satMod val="350000"/>
              </a:schemeClr>
            </a:gs>
          </a:gsLst>
        </a:gradFill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noAutofit/>
        </a:bodyPr>
        <a:lstStyle/>
        <a:p>
          <a:pPr algn="ctr"/>
          <a:r>
            <a:rPr lang="fr-FR" sz="1800" b="1" i="1">
              <a:solidFill>
                <a:srgbClr val="FFFF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O</a:t>
          </a:r>
        </a:p>
        <a:p>
          <a:pPr algn="ctr"/>
          <a:r>
            <a:rPr lang="fr-FR" sz="1800" b="1" i="1">
              <a:solidFill>
                <a:srgbClr val="FFFF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</a:t>
          </a:r>
        </a:p>
        <a:p>
          <a:pPr algn="ctr"/>
          <a:r>
            <a:rPr lang="fr-FR" sz="1800" b="1" i="1">
              <a:solidFill>
                <a:srgbClr val="FFFF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D</a:t>
          </a:r>
        </a:p>
        <a:p>
          <a:pPr algn="ctr"/>
          <a:r>
            <a:rPr lang="fr-FR" sz="1800" b="1" i="1">
              <a:solidFill>
                <a:srgbClr val="FFFF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</a:t>
          </a:r>
        </a:p>
        <a:p>
          <a:pPr algn="ctr"/>
          <a:r>
            <a:rPr lang="fr-FR" sz="1800" b="1" i="1">
              <a:solidFill>
                <a:srgbClr val="FFFF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E </a:t>
          </a:r>
        </a:p>
        <a:p>
          <a:pPr algn="ctr"/>
          <a:endParaRPr lang="fr-FR" sz="1800" b="1" i="1">
            <a:solidFill>
              <a:srgbClr val="FFFF0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  <a:p>
          <a:pPr algn="ctr"/>
          <a:endParaRPr lang="fr-FR" sz="1800" b="1" i="1">
            <a:solidFill>
              <a:srgbClr val="FFFF0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  <a:p>
          <a:pPr algn="ctr"/>
          <a:r>
            <a:rPr lang="fr-FR" sz="1800" b="1" i="1">
              <a:solidFill>
                <a:srgbClr val="FFFF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D</a:t>
          </a:r>
        </a:p>
        <a:p>
          <a:pPr algn="ctr"/>
          <a:r>
            <a:rPr lang="fr-FR" sz="1800" b="1" i="1">
              <a:solidFill>
                <a:srgbClr val="FFFF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E</a:t>
          </a:r>
        </a:p>
        <a:p>
          <a:pPr algn="ctr"/>
          <a:r>
            <a:rPr lang="fr-FR" sz="1800" b="1" i="1">
              <a:solidFill>
                <a:srgbClr val="FFFF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S </a:t>
          </a:r>
        </a:p>
        <a:p>
          <a:pPr algn="ctr"/>
          <a:endParaRPr lang="fr-FR" sz="1800" b="1" i="1">
            <a:solidFill>
              <a:srgbClr val="FFFF0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  <a:p>
          <a:pPr algn="ctr"/>
          <a:endParaRPr lang="fr-FR" sz="1800" b="1" i="1">
            <a:solidFill>
              <a:srgbClr val="FFFF0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  <a:p>
          <a:pPr algn="ctr"/>
          <a:r>
            <a:rPr lang="fr-FR" sz="1800" b="1" i="1">
              <a:solidFill>
                <a:srgbClr val="FFFF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M</a:t>
          </a:r>
        </a:p>
        <a:p>
          <a:pPr algn="ctr"/>
          <a:r>
            <a:rPr lang="fr-FR" sz="1800" b="1" i="1">
              <a:solidFill>
                <a:srgbClr val="FFFF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O</a:t>
          </a:r>
        </a:p>
        <a:p>
          <a:pPr algn="ctr"/>
          <a:r>
            <a:rPr lang="fr-FR" sz="1800" b="1" i="1">
              <a:solidFill>
                <a:srgbClr val="FFFF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D</a:t>
          </a:r>
        </a:p>
        <a:p>
          <a:pPr algn="ctr"/>
          <a:r>
            <a:rPr lang="fr-FR" sz="1800" b="1" i="1">
              <a:solidFill>
                <a:srgbClr val="FFFF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I</a:t>
          </a:r>
        </a:p>
        <a:p>
          <a:pPr algn="ctr"/>
          <a:r>
            <a:rPr lang="fr-FR" sz="1800" b="1" i="1">
              <a:solidFill>
                <a:srgbClr val="FFFF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F</a:t>
          </a:r>
        </a:p>
        <a:p>
          <a:pPr algn="ctr"/>
          <a:r>
            <a:rPr lang="fr-FR" sz="1800" b="1" i="1">
              <a:solidFill>
                <a:srgbClr val="FFFF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I</a:t>
          </a:r>
        </a:p>
        <a:p>
          <a:pPr algn="ctr"/>
          <a:r>
            <a:rPr lang="fr-FR" sz="1800" b="1" i="1">
              <a:solidFill>
                <a:srgbClr val="FFFF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  <a:p>
          <a:pPr algn="ctr"/>
          <a:r>
            <a:rPr lang="fr-FR" sz="1800" b="1" i="1">
              <a:solidFill>
                <a:srgbClr val="FFFF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A</a:t>
          </a:r>
        </a:p>
        <a:p>
          <a:pPr algn="ctr"/>
          <a:r>
            <a:rPr lang="fr-FR" sz="1800" b="1" i="1">
              <a:solidFill>
                <a:srgbClr val="FFFF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T</a:t>
          </a:r>
        </a:p>
        <a:p>
          <a:pPr algn="ctr"/>
          <a:r>
            <a:rPr lang="fr-FR" sz="1800" b="1" i="1">
              <a:solidFill>
                <a:srgbClr val="FFFF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I</a:t>
          </a:r>
        </a:p>
        <a:p>
          <a:pPr algn="ctr"/>
          <a:r>
            <a:rPr lang="fr-FR" sz="1800" b="1" i="1">
              <a:solidFill>
                <a:srgbClr val="FFFF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O</a:t>
          </a:r>
        </a:p>
        <a:p>
          <a:pPr algn="ctr"/>
          <a:r>
            <a:rPr lang="fr-FR" sz="1800" b="1" i="1">
              <a:solidFill>
                <a:srgbClr val="FFFF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N</a:t>
          </a:r>
        </a:p>
        <a:p>
          <a:pPr algn="ctr"/>
          <a:r>
            <a:rPr lang="fr-FR" sz="1800" b="1" i="1">
              <a:solidFill>
                <a:srgbClr val="FFFF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S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552450</xdr:colOff>
          <xdr:row>24</xdr:row>
          <xdr:rowOff>19050</xdr:rowOff>
        </xdr:from>
        <xdr:to>
          <xdr:col>2</xdr:col>
          <xdr:colOff>904875</xdr:colOff>
          <xdr:row>25</xdr:row>
          <xdr:rowOff>228600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Envoie de l'Outillage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552450</xdr:colOff>
          <xdr:row>29</xdr:row>
          <xdr:rowOff>238125</xdr:rowOff>
        </xdr:from>
        <xdr:to>
          <xdr:col>2</xdr:col>
          <xdr:colOff>904875</xdr:colOff>
          <xdr:row>31</xdr:row>
          <xdr:rowOff>190500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Envoie du transformateur d'essaie  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ASC Guillaume" refreshedDate="42486.584355671293" createdVersion="4" refreshedVersion="4" minRefreshableVersion="3" recordCount="299">
  <cacheSource type="worksheet">
    <worksheetSource ref="A2:M301" sheet="Données bateau"/>
  </cacheSource>
  <cacheFields count="13">
    <cacheField name="Port de départ" numFmtId="0">
      <sharedItems count="5">
        <s v="Port d'Anvers"/>
        <s v="Port de Fos Sur Mer"/>
        <s v="Port de Rotterdam"/>
        <s v="Port du Havre"/>
        <s v="Port de Marseille"/>
      </sharedItems>
    </cacheField>
    <cacheField name="Coût 20' Standard (€)" numFmtId="1">
      <sharedItems containsString="0" containsBlank="1" containsNumber="1" minValue="0" maxValue="3347"/>
    </cacheField>
    <cacheField name="Coût 40' Standard (€)" numFmtId="1">
      <sharedItems containsString="0" containsBlank="1" containsNumber="1" minValue="0" maxValue="4430"/>
    </cacheField>
    <cacheField name="Coût 40' High Cube PalletWide (€)" numFmtId="1">
      <sharedItems containsString="0" containsBlank="1" containsNumber="1" minValue="0" maxValue="4430"/>
    </cacheField>
    <cacheField name="Cout 40' Open Top (€)" numFmtId="1">
      <sharedItems containsSemiMixedTypes="0" containsString="0" containsNumber="1" minValue="0" maxValue="3840"/>
    </cacheField>
    <cacheField name="Cout 20' Open Top (€)" numFmtId="1">
      <sharedItems containsSemiMixedTypes="0" containsString="0" containsNumber="1" minValue="0" maxValue="2678"/>
    </cacheField>
    <cacheField name="Coût 20' Flat Rack" numFmtId="1">
      <sharedItems containsSemiMixedTypes="0" containsString="0" containsNumber="1" minValue="0" maxValue="2792.79"/>
    </cacheField>
    <cacheField name="Coût 40' Flat Rack" numFmtId="1">
      <sharedItems containsSemiMixedTypes="0" containsString="0" containsNumber="1" minValue="0" maxValue="3516"/>
    </cacheField>
    <cacheField name="Frais additionnel (€)" numFmtId="1">
      <sharedItems containsString="0" containsBlank="1" containsNumber="1" minValue="0" maxValue="78.368000000000009"/>
    </cacheField>
    <cacheField name="Dont - Frais de manutention arrivé" numFmtId="1">
      <sharedItems containsString="0" containsBlank="1" containsNumber="1" minValue="0" maxValue="531.96"/>
    </cacheField>
    <cacheField name="Pays d'arrivé" numFmtId="0">
      <sharedItems/>
    </cacheField>
    <cacheField name="Indicatif du pays" numFmtId="0">
      <sharedItems/>
    </cacheField>
    <cacheField name="Port d'arrivé" numFmtId="0">
      <sharedItems count="86">
        <s v="Dammam"/>
        <s v="Jeddah"/>
        <s v="Buenos Aires"/>
        <s v="Zarate"/>
        <s v="Adelaide"/>
        <s v="Brisbane"/>
        <s v="Fremantle"/>
        <s v="Melbourne"/>
        <s v="Sydney"/>
        <s v="Salvador di bahia"/>
        <s v="Rio de Janeiro"/>
        <s v="Rio Grande"/>
        <s v="Valparaiso"/>
        <s v="Iquique"/>
        <s v="Hong Kong"/>
        <s v="Shanghai"/>
        <s v="Qingdao"/>
        <s v="Dalian"/>
        <s v="Buenaventura"/>
        <s v="Djibouti"/>
        <s v="Mombassa"/>
        <s v="Port Soudan"/>
        <s v="Abidjan"/>
        <s v="Alger"/>
        <s v="Luanda"/>
        <s v="Pointe Noire"/>
        <s v="Port Gentil"/>
        <s v="Tanger"/>
        <s v="Busan"/>
        <s v="Incheon"/>
        <s v="Alexandrie"/>
        <s v="Guayaquil"/>
        <s v="Barcelone"/>
        <s v="Valence"/>
        <s v="Helsinki"/>
        <s v="Kotka"/>
        <s v="Rauma"/>
        <s v="Puerto Cortes"/>
        <s v="Chennai-Ennore"/>
        <s v="Haldia"/>
        <s v="Vishakapatnam"/>
        <s v="Jakarta"/>
        <s v="Makassar"/>
        <s v="Surabaya"/>
        <s v="Bandar Shahid Rajaee"/>
        <s v="Kobe-Osaka"/>
        <s v="Moji / Kitakyushu "/>
        <s v="Nagoya"/>
        <s v="Tokyo"/>
        <s v="Tomakomai"/>
        <s v="Tripoli"/>
        <s v="Port Kelang"/>
        <s v="Fort de France"/>
        <s v="Manzanillo"/>
        <s v="Veracruz"/>
        <s v="Nacala"/>
        <s v="Brevik"/>
        <s v="Oslo"/>
        <s v="Auckland"/>
        <s v="Salalah"/>
        <s v="Karachi"/>
        <s v="Port Qasim"/>
        <s v="Manzanillo, Pa"/>
        <s v="Paita"/>
        <s v="Callao"/>
        <s v="Nakhodka"/>
        <s v="Manille"/>
        <s v="San Juan"/>
        <s v="Kaliningrad"/>
        <s v="Saint-Pétersbourg"/>
        <s v="UST'-Luga"/>
        <s v="Vladivostock"/>
        <s v="Vostochny"/>
        <s v="Singapour"/>
        <s v="Taichung"/>
        <s v="Zanzibar"/>
        <s v="Bangkok"/>
        <s v="Houston"/>
        <s v="Miami"/>
        <s v="New York"/>
        <s v="Nouvelle Orleans"/>
        <s v="Savannah"/>
        <s v="Puerto Cabello"/>
        <s v="Haiphong"/>
        <s v="Ho Chi Minh"/>
        <s v="Ade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9">
  <r>
    <x v="0"/>
    <n v="846.70300000000009"/>
    <n v="1207.5492000000002"/>
    <n v="1207.5492000000002"/>
    <n v="0"/>
    <n v="0"/>
    <n v="0"/>
    <n v="0"/>
    <n v="0"/>
    <n v="0"/>
    <s v="Arabie Saudite"/>
    <s v="SA"/>
    <x v="0"/>
  </r>
  <r>
    <x v="1"/>
    <n v="1084.3118000000002"/>
    <n v="1368.0238000000002"/>
    <n v="1368.0238000000002"/>
    <n v="0"/>
    <n v="0"/>
    <n v="0"/>
    <n v="0"/>
    <n v="0"/>
    <n v="0"/>
    <s v="Arabie Saudite"/>
    <s v="SA"/>
    <x v="0"/>
  </r>
  <r>
    <x v="2"/>
    <n v="861.77520000000004"/>
    <n v="1222.6214"/>
    <n v="1222.6214"/>
    <n v="0"/>
    <n v="0"/>
    <n v="0"/>
    <n v="0"/>
    <n v="0"/>
    <n v="0"/>
    <s v="Arabie Saudite"/>
    <s v="SA"/>
    <x v="0"/>
  </r>
  <r>
    <x v="3"/>
    <n v="851.13600000000008"/>
    <n v="1212.8688"/>
    <n v="1212.8688"/>
    <n v="0"/>
    <n v="0"/>
    <n v="0"/>
    <n v="0"/>
    <n v="0"/>
    <n v="0"/>
    <s v="Arabie Saudite"/>
    <s v="SA"/>
    <x v="0"/>
  </r>
  <r>
    <x v="0"/>
    <n v="708.39340000000004"/>
    <n v="931.81660000000011"/>
    <n v="931.81660000000011"/>
    <n v="0"/>
    <n v="0"/>
    <n v="0"/>
    <n v="0"/>
    <n v="0"/>
    <n v="0"/>
    <s v="Arabie Saudite"/>
    <s v="SA"/>
    <x v="1"/>
  </r>
  <r>
    <x v="1"/>
    <n v="853.7958000000001"/>
    <n v="933.58980000000008"/>
    <n v="933.58980000000008"/>
    <n v="0"/>
    <n v="0"/>
    <n v="0"/>
    <n v="0"/>
    <n v="0"/>
    <n v="0"/>
    <s v="Arabie Saudite"/>
    <s v="SA"/>
    <x v="1"/>
  </r>
  <r>
    <x v="2"/>
    <n v="723.46559999999999"/>
    <n v="947.7754000000001"/>
    <n v="947.7754000000001"/>
    <n v="0"/>
    <n v="0"/>
    <n v="0"/>
    <n v="0"/>
    <n v="0"/>
    <n v="0"/>
    <s v="Arabie Saudite"/>
    <s v="SA"/>
    <x v="1"/>
  </r>
  <r>
    <x v="3"/>
    <n v="713.71300000000008"/>
    <n v="937.13620000000003"/>
    <n v="937.13620000000003"/>
    <n v="0"/>
    <n v="0"/>
    <n v="0"/>
    <n v="0"/>
    <n v="0"/>
    <n v="0"/>
    <s v="Arabie Saudite"/>
    <s v="SA"/>
    <x v="1"/>
  </r>
  <r>
    <x v="0"/>
    <n v="877.73400000000004"/>
    <n v="1214.6420000000001"/>
    <n v="1214.6420000000001"/>
    <n v="0"/>
    <n v="0"/>
    <n v="0"/>
    <n v="0"/>
    <n v="0"/>
    <n v="190.619"/>
    <s v="Argentine"/>
    <s v="AR"/>
    <x v="2"/>
  </r>
  <r>
    <x v="1"/>
    <n v="1094.0644"/>
    <n v="1730.6432000000002"/>
    <n v="1730.6432000000002"/>
    <n v="0"/>
    <n v="0"/>
    <n v="0"/>
    <n v="0"/>
    <n v="0"/>
    <n v="190.619"/>
    <s v="Argentine"/>
    <s v="AR"/>
    <x v="2"/>
  </r>
  <r>
    <x v="2"/>
    <n v="891.03300000000002"/>
    <n v="1227.941"/>
    <n v="1227.941"/>
    <n v="0"/>
    <n v="0"/>
    <n v="0"/>
    <n v="0"/>
    <n v="0"/>
    <n v="190.619"/>
    <s v="Argentine"/>
    <s v="AR"/>
    <x v="2"/>
  </r>
  <r>
    <x v="3"/>
    <n v="815.67200000000003"/>
    <n v="1174.7450000000001"/>
    <n v="1174.7450000000001"/>
    <n v="0"/>
    <n v="0"/>
    <n v="0"/>
    <n v="0"/>
    <n v="0"/>
    <n v="190.619"/>
    <s v="Argentine"/>
    <s v="AR"/>
    <x v="2"/>
  </r>
  <r>
    <x v="0"/>
    <n v="1143.7140000000002"/>
    <n v="1746.6020000000001"/>
    <n v="1746.6020000000001"/>
    <n v="0"/>
    <n v="0"/>
    <n v="0"/>
    <n v="0"/>
    <n v="0"/>
    <n v="190.619"/>
    <s v="Argentine"/>
    <s v="AR"/>
    <x v="3"/>
  </r>
  <r>
    <x v="1"/>
    <n v="1360.0444"/>
    <n v="2262.6032"/>
    <n v="2262.6032"/>
    <n v="0"/>
    <n v="0"/>
    <n v="0"/>
    <n v="0"/>
    <n v="0"/>
    <n v="190.619"/>
    <s v="Argentine"/>
    <s v="AR"/>
    <x v="3"/>
  </r>
  <r>
    <x v="2"/>
    <n v="1157.0130000000001"/>
    <n v="1759.9010000000001"/>
    <n v="1759.9010000000001"/>
    <n v="0"/>
    <n v="0"/>
    <n v="0"/>
    <n v="0"/>
    <n v="0"/>
    <n v="190.619"/>
    <s v="Argentine"/>
    <s v="AR"/>
    <x v="3"/>
  </r>
  <r>
    <x v="3"/>
    <n v="1170.3120000000001"/>
    <n v="1795.365"/>
    <n v="1795.365"/>
    <n v="0"/>
    <n v="0"/>
    <n v="0"/>
    <n v="0"/>
    <n v="0"/>
    <n v="190.619"/>
    <s v="Argentine"/>
    <s v="AR"/>
    <x v="3"/>
  </r>
  <r>
    <x v="0"/>
    <n v="1642.8698000000002"/>
    <n v="2775.9446000000003"/>
    <n v="2864.6046000000001"/>
    <n v="0"/>
    <n v="0"/>
    <n v="0"/>
    <n v="0"/>
    <n v="53.6"/>
    <n v="288.10000000000002"/>
    <s v="Australie"/>
    <s v="AU"/>
    <x v="4"/>
  </r>
  <r>
    <x v="1"/>
    <n v="1531.1582000000001"/>
    <n v="2640.2948000000001"/>
    <n v="2640.2948000000001"/>
    <n v="0"/>
    <n v="0"/>
    <n v="0"/>
    <n v="0"/>
    <n v="53.6"/>
    <n v="288.10000000000002"/>
    <s v="Australie"/>
    <s v="AU"/>
    <x v="4"/>
  </r>
  <r>
    <x v="2"/>
    <n v="1569.2820000000002"/>
    <n v="2702.3568"/>
    <n v="2791.0168000000003"/>
    <n v="0"/>
    <n v="0"/>
    <n v="0"/>
    <n v="0"/>
    <n v="53.6"/>
    <n v="288.10000000000002"/>
    <s v="Australie"/>
    <s v="AU"/>
    <x v="4"/>
  </r>
  <r>
    <x v="3"/>
    <n v="1648.1894000000002"/>
    <n v="2781.2642000000001"/>
    <n v="2869.9242000000004"/>
    <n v="0"/>
    <n v="0"/>
    <n v="0"/>
    <n v="0"/>
    <n v="53.6"/>
    <n v="288.10000000000002"/>
    <s v="Australie"/>
    <s v="AU"/>
    <x v="4"/>
  </r>
  <r>
    <x v="0"/>
    <n v="1738.6226000000001"/>
    <n v="3055.2236000000003"/>
    <n v="3055.2236000000003"/>
    <n v="0"/>
    <n v="0"/>
    <n v="0"/>
    <n v="0"/>
    <n v="53.6"/>
    <n v="288.10000000000002"/>
    <s v="Australie"/>
    <s v="AU"/>
    <x v="5"/>
  </r>
  <r>
    <x v="1"/>
    <n v="1715.5710000000001"/>
    <n v="3008.2338"/>
    <n v="3008.2338"/>
    <n v="0"/>
    <n v="0"/>
    <n v="0"/>
    <n v="0"/>
    <n v="53.6"/>
    <n v="288.10000000000002"/>
    <s v="Australie"/>
    <s v="AU"/>
    <x v="5"/>
  </r>
  <r>
    <x v="2"/>
    <n v="1665.0348000000001"/>
    <n v="2804.3158000000003"/>
    <n v="2804.3158000000003"/>
    <n v="0"/>
    <n v="0"/>
    <n v="0"/>
    <n v="0"/>
    <n v="53.6"/>
    <n v="288.10000000000002"/>
    <s v="Australie"/>
    <s v="AU"/>
    <x v="5"/>
  </r>
  <r>
    <x v="3"/>
    <n v="1654.3956000000001"/>
    <n v="2794.5632000000001"/>
    <n v="2794.5632000000001"/>
    <n v="0"/>
    <n v="0"/>
    <n v="0"/>
    <n v="0"/>
    <n v="53.6"/>
    <n v="288.10000000000002"/>
    <s v="Australie"/>
    <s v="AU"/>
    <x v="5"/>
  </r>
  <r>
    <x v="0"/>
    <n v="1642.8698000000002"/>
    <n v="2775.9446000000003"/>
    <n v="2864.6046000000001"/>
    <n v="0"/>
    <n v="0"/>
    <n v="0"/>
    <n v="0"/>
    <n v="53.6"/>
    <n v="288.10000000000002"/>
    <s v="Australie"/>
    <s v="AU"/>
    <x v="6"/>
  </r>
  <r>
    <x v="1"/>
    <n v="1727"/>
    <n v="2978"/>
    <n v="2978"/>
    <n v="3615.5548000000003"/>
    <n v="2151.7782000000002"/>
    <n v="0"/>
    <n v="0"/>
    <n v="53.6"/>
    <n v="288.10000000000002"/>
    <s v="Australie"/>
    <s v="AU"/>
    <x v="6"/>
  </r>
  <r>
    <x v="2"/>
    <n v="1657.942"/>
    <n v="2791.0168000000003"/>
    <n v="2879.6768000000002"/>
    <n v="0"/>
    <n v="0"/>
    <n v="0"/>
    <n v="0"/>
    <n v="53.6"/>
    <n v="288.10000000000002"/>
    <s v="Australie"/>
    <s v="AU"/>
    <x v="6"/>
  </r>
  <r>
    <x v="3"/>
    <n v="1649.076"/>
    <n v="2781.2642000000001"/>
    <n v="2869.9242000000004"/>
    <n v="0"/>
    <n v="0"/>
    <n v="0"/>
    <n v="0"/>
    <n v="53.6"/>
    <n v="288.10000000000002"/>
    <s v="Australie"/>
    <s v="AU"/>
    <x v="6"/>
  </r>
  <r>
    <x v="0"/>
    <n v="1667.6946"/>
    <n v="2826.4808000000003"/>
    <n v="2915.1408000000001"/>
    <n v="0"/>
    <n v="0"/>
    <n v="0"/>
    <n v="0"/>
    <n v="53.6"/>
    <n v="288.10000000000002"/>
    <s v="Australie"/>
    <s v="AU"/>
    <x v="7"/>
  </r>
  <r>
    <x v="1"/>
    <n v="1555.9830000000002"/>
    <n v="2689.9444000000003"/>
    <n v="2689.9444000000003"/>
    <n v="3665.2044000000001"/>
    <n v="2176.6030000000001"/>
    <n v="0"/>
    <n v="0"/>
    <n v="53.6"/>
    <n v="288.10000000000002"/>
    <s v="Australie"/>
    <s v="AU"/>
    <x v="7"/>
  </r>
  <r>
    <x v="2"/>
    <n v="1682.7668000000001"/>
    <n v="2841.5530000000003"/>
    <n v="2930.2130000000002"/>
    <n v="0"/>
    <n v="0"/>
    <n v="0"/>
    <n v="0"/>
    <n v="53.6"/>
    <n v="288.10000000000002"/>
    <s v="Australie"/>
    <s v="AU"/>
    <x v="7"/>
  </r>
  <r>
    <x v="3"/>
    <n v="1673.0142000000001"/>
    <n v="2830.9138000000003"/>
    <n v="2919.5738000000001"/>
    <n v="0"/>
    <n v="0"/>
    <n v="0"/>
    <n v="0"/>
    <n v="53.6"/>
    <n v="288.10000000000002"/>
    <s v="Australie"/>
    <s v="AU"/>
    <x v="7"/>
  </r>
  <r>
    <x v="0"/>
    <n v="1645.5296000000001"/>
    <n v="2781.2642000000001"/>
    <n v="2869.9242000000004"/>
    <n v="0"/>
    <n v="0"/>
    <n v="0"/>
    <n v="0"/>
    <n v="53.6"/>
    <n v="288.10000000000002"/>
    <s v="Australie"/>
    <s v="AU"/>
    <x v="8"/>
  </r>
  <r>
    <x v="1"/>
    <n v="1533.818"/>
    <n v="2645.6144000000004"/>
    <n v="2645.6144000000004"/>
    <n v="3620.8744000000002"/>
    <n v="2154.4380000000001"/>
    <n v="0"/>
    <n v="0"/>
    <n v="53.6"/>
    <n v="288.10000000000002"/>
    <s v="Australie"/>
    <s v="AU"/>
    <x v="8"/>
  </r>
  <r>
    <x v="2"/>
    <n v="1660.6018000000001"/>
    <n v="2796.3364000000001"/>
    <n v="2884.9964"/>
    <n v="0"/>
    <n v="0"/>
    <n v="0"/>
    <n v="0"/>
    <n v="53.6"/>
    <n v="288.10000000000002"/>
    <s v="Australie"/>
    <s v="AU"/>
    <x v="8"/>
  </r>
  <r>
    <x v="3"/>
    <n v="1650.8492000000001"/>
    <n v="2786.5838000000003"/>
    <n v="2875.2438000000002"/>
    <n v="0"/>
    <n v="0"/>
    <n v="0"/>
    <n v="0"/>
    <n v="53.6"/>
    <n v="288.10000000000002"/>
    <s v="Australie"/>
    <s v="AU"/>
    <x v="8"/>
  </r>
  <r>
    <x v="0"/>
    <n v="847"/>
    <n v="1209"/>
    <n v="1209"/>
    <n v="0"/>
    <n v="0"/>
    <n v="0"/>
    <n v="0"/>
    <n v="78.368000000000009"/>
    <n v="188.33600000000001"/>
    <s v="Brezil (centre)"/>
    <s v="BR"/>
    <x v="9"/>
  </r>
  <r>
    <x v="2"/>
    <n v="862"/>
    <n v="1224"/>
    <n v="1224"/>
    <n v="0"/>
    <n v="0"/>
    <n v="0"/>
    <n v="0"/>
    <n v="78.368000000000009"/>
    <n v="188.33600000000001"/>
    <s v="Brezil (centre)"/>
    <s v="BR"/>
    <x v="9"/>
  </r>
  <r>
    <x v="3"/>
    <n v="877"/>
    <n v="1264"/>
    <n v="1264"/>
    <n v="0"/>
    <n v="0"/>
    <n v="0"/>
    <n v="0"/>
    <n v="78.368000000000009"/>
    <n v="188.33600000000001"/>
    <s v="Brezil (centre)"/>
    <s v="BR"/>
    <x v="9"/>
  </r>
  <r>
    <x v="0"/>
    <n v="781"/>
    <n v="1143"/>
    <n v="1143"/>
    <n v="0"/>
    <n v="2678"/>
    <n v="0"/>
    <n v="0"/>
    <n v="78.368000000000009"/>
    <n v="188.33600000000001"/>
    <s v="Brezil (sud)"/>
    <s v="BR"/>
    <x v="10"/>
  </r>
  <r>
    <x v="1"/>
    <n v="1020"/>
    <n v="1720"/>
    <n v="1720"/>
    <n v="0"/>
    <n v="0"/>
    <n v="0"/>
    <n v="0"/>
    <n v="78.368000000000009"/>
    <n v="188.33600000000001"/>
    <s v="Brezil (sud)"/>
    <s v="BR"/>
    <x v="10"/>
  </r>
  <r>
    <x v="2"/>
    <n v="796"/>
    <n v="1158"/>
    <n v="1158"/>
    <n v="0"/>
    <n v="0"/>
    <n v="0"/>
    <n v="0"/>
    <n v="78.368000000000009"/>
    <n v="188.33600000000001"/>
    <s v="Brezil (sud)"/>
    <s v="BR"/>
    <x v="10"/>
  </r>
  <r>
    <x v="3"/>
    <n v="811"/>
    <n v="1198"/>
    <n v="1198"/>
    <n v="0"/>
    <n v="0"/>
    <n v="0"/>
    <n v="0"/>
    <n v="78.368000000000009"/>
    <n v="188.33600000000001"/>
    <s v="Brezil (sud)"/>
    <s v="BR"/>
    <x v="10"/>
  </r>
  <r>
    <x v="0"/>
    <n v="845"/>
    <n v="1207"/>
    <n v="1207"/>
    <n v="0"/>
    <n v="0"/>
    <n v="0"/>
    <n v="0"/>
    <n v="78.368000000000009"/>
    <n v="188.33600000000001"/>
    <s v="Brezil (sud)"/>
    <s v="BR"/>
    <x v="11"/>
  </r>
  <r>
    <x v="1"/>
    <n v="1082"/>
    <n v="1782"/>
    <n v="1782"/>
    <n v="0"/>
    <n v="0"/>
    <n v="0"/>
    <n v="0"/>
    <n v="78.368000000000009"/>
    <n v="188.33600000000001"/>
    <s v="Brezil (sud)"/>
    <s v="BR"/>
    <x v="11"/>
  </r>
  <r>
    <x v="2"/>
    <n v="860"/>
    <n v="1222"/>
    <n v="1222"/>
    <n v="0"/>
    <n v="0"/>
    <n v="0"/>
    <n v="0"/>
    <n v="78.368000000000009"/>
    <n v="188.33600000000001"/>
    <s v="Brezil (sud)"/>
    <s v="BR"/>
    <x v="11"/>
  </r>
  <r>
    <x v="3"/>
    <n v="875"/>
    <n v="1262"/>
    <n v="1262"/>
    <n v="0"/>
    <n v="0"/>
    <n v="0"/>
    <n v="0"/>
    <n v="78.368000000000009"/>
    <n v="188.33600000000001"/>
    <s v="Brezil (sud)"/>
    <s v="BR"/>
    <x v="11"/>
  </r>
  <r>
    <x v="0"/>
    <n v="1060"/>
    <n v="1751"/>
    <n v="1751"/>
    <n v="0"/>
    <n v="0"/>
    <n v="0"/>
    <n v="0"/>
    <n v="0"/>
    <n v="75.361000000000004"/>
    <s v="Chili (centre)"/>
    <s v="CL"/>
    <x v="12"/>
  </r>
  <r>
    <x v="1"/>
    <n v="1472"/>
    <n v="2531"/>
    <n v="2531"/>
    <n v="0"/>
    <n v="0"/>
    <n v="0"/>
    <n v="0"/>
    <n v="0"/>
    <n v="75.361000000000004"/>
    <s v="Chili (centre)"/>
    <s v="CL"/>
    <x v="12"/>
  </r>
  <r>
    <x v="2"/>
    <n v="1075"/>
    <n v="1766"/>
    <n v="1766"/>
    <n v="0"/>
    <n v="0"/>
    <n v="0"/>
    <n v="0"/>
    <n v="0"/>
    <n v="75.361000000000004"/>
    <s v="Chili (centre)"/>
    <s v="CL"/>
    <x v="12"/>
  </r>
  <r>
    <x v="3"/>
    <n v="1212"/>
    <n v="1951"/>
    <n v="1951"/>
    <n v="0"/>
    <n v="0"/>
    <n v="0"/>
    <n v="0"/>
    <n v="0"/>
    <n v="75.361000000000004"/>
    <s v="Chili (centre)"/>
    <s v="CL"/>
    <x v="12"/>
  </r>
  <r>
    <x v="0"/>
    <n v="1499"/>
    <n v="2434"/>
    <n v="2434"/>
    <n v="0"/>
    <n v="0"/>
    <n v="0"/>
    <n v="0"/>
    <n v="0"/>
    <n v="75.361000000000004"/>
    <s v="Chili (nord)"/>
    <s v="CL"/>
    <x v="13"/>
  </r>
  <r>
    <x v="1"/>
    <n v="3347"/>
    <n v="4430"/>
    <n v="4430"/>
    <n v="3516"/>
    <n v="2333"/>
    <n v="2333"/>
    <n v="3516"/>
    <n v="0"/>
    <n v="75.361000000000004"/>
    <s v="Chili (nord)"/>
    <s v="CL"/>
    <x v="13"/>
  </r>
  <r>
    <x v="2"/>
    <n v="1514"/>
    <n v="2449"/>
    <n v="2449"/>
    <n v="0"/>
    <n v="0"/>
    <n v="0"/>
    <n v="0"/>
    <n v="0"/>
    <n v="75.361000000000004"/>
    <s v="Chili (nord)"/>
    <s v="CL"/>
    <x v="13"/>
  </r>
  <r>
    <x v="3"/>
    <n v="1504"/>
    <n v="2439"/>
    <n v="2439"/>
    <n v="0"/>
    <n v="0"/>
    <n v="0"/>
    <n v="0"/>
    <n v="0"/>
    <n v="75.361000000000004"/>
    <s v="Chili (nord)"/>
    <s v="CL"/>
    <x v="13"/>
  </r>
  <r>
    <x v="0"/>
    <n v="861.52"/>
    <n v="1094.72"/>
    <n v="1754.72"/>
    <n v="0"/>
    <n v="0"/>
    <n v="0"/>
    <n v="0"/>
    <n v="0"/>
    <n v="307.8"/>
    <s v="Chine"/>
    <s v="HK"/>
    <x v="14"/>
  </r>
  <r>
    <x v="1"/>
    <n v="724.35220000000004"/>
    <n v="832.51740000000007"/>
    <n v="832.51740000000007"/>
    <n v="0"/>
    <n v="0"/>
    <n v="0"/>
    <n v="0"/>
    <n v="0"/>
    <n v="307.8"/>
    <s v="Chine"/>
    <s v="HK"/>
    <x v="14"/>
  </r>
  <r>
    <x v="2"/>
    <n v="877.36"/>
    <n v="1109.68"/>
    <n v="1109.68"/>
    <n v="0"/>
    <n v="0"/>
    <n v="0"/>
    <n v="0"/>
    <n v="0"/>
    <n v="307.8"/>
    <s v="Chine"/>
    <s v="HK"/>
    <x v="14"/>
  </r>
  <r>
    <x v="3"/>
    <n v="866.8"/>
    <n v="1100"/>
    <n v="1100"/>
    <n v="0"/>
    <n v="0"/>
    <n v="0"/>
    <n v="0"/>
    <n v="0"/>
    <n v="307.8"/>
    <s v="Chine"/>
    <s v="HK"/>
    <x v="14"/>
  </r>
  <r>
    <x v="0"/>
    <n v="636.5788"/>
    <n v="836.06380000000001"/>
    <n v="1501.0138000000002"/>
    <n v="0"/>
    <n v="0"/>
    <n v="0"/>
    <n v="0"/>
    <n v="61.514999999999993"/>
    <n v="136.69999999999999"/>
    <s v="Chine"/>
    <s v="CN"/>
    <x v="15"/>
  </r>
  <r>
    <x v="1"/>
    <n v="580.72300000000007"/>
    <n v="652.5376"/>
    <n v="652.5376"/>
    <n v="0"/>
    <n v="0"/>
    <n v="0"/>
    <n v="0"/>
    <n v="61.514999999999993"/>
    <n v="136.69999999999999"/>
    <s v="Chine"/>
    <s v="CN"/>
    <x v="15"/>
  </r>
  <r>
    <x v="2"/>
    <n v="740.31100000000004"/>
    <n v="939.79600000000005"/>
    <n v="939.79600000000005"/>
    <n v="0"/>
    <n v="0"/>
    <n v="0"/>
    <n v="0"/>
    <n v="61.514999999999993"/>
    <n v="136.69999999999999"/>
    <s v="Chine"/>
    <s v="CN"/>
    <x v="15"/>
  </r>
  <r>
    <x v="3"/>
    <n v="730.55840000000001"/>
    <n v="929.15680000000009"/>
    <n v="929.15680000000009"/>
    <n v="0"/>
    <n v="0"/>
    <n v="0"/>
    <n v="0"/>
    <n v="61.514999999999993"/>
    <n v="136.69999999999999"/>
    <s v="Chine"/>
    <s v="CN"/>
    <x v="15"/>
  </r>
  <r>
    <x v="0"/>
    <n v="728.78520000000003"/>
    <n v="929.15680000000009"/>
    <n v="1594.1068"/>
    <n v="0"/>
    <n v="0"/>
    <n v="0"/>
    <n v="0"/>
    <n v="61.514999999999993"/>
    <n v="136.69999999999999"/>
    <s v="Chine"/>
    <s v="CN"/>
    <x v="16"/>
  </r>
  <r>
    <x v="1"/>
    <n v="584.26940000000002"/>
    <n v="657.85720000000003"/>
    <n v="657.85720000000003"/>
    <n v="0"/>
    <n v="0"/>
    <n v="0"/>
    <n v="0"/>
    <n v="61.514999999999993"/>
    <n v="136.69999999999999"/>
    <s v="Chine"/>
    <s v="CN"/>
    <x v="16"/>
  </r>
  <r>
    <x v="2"/>
    <n v="743.8574000000001"/>
    <n v="944.22900000000004"/>
    <n v="944.22900000000004"/>
    <n v="0"/>
    <n v="0"/>
    <n v="0"/>
    <n v="0"/>
    <n v="61.514999999999993"/>
    <n v="136.69999999999999"/>
    <s v="Chine"/>
    <s v="CN"/>
    <x v="16"/>
  </r>
  <r>
    <x v="3"/>
    <n v="731.44500000000005"/>
    <n v="934.47640000000001"/>
    <n v="934.47640000000001"/>
    <n v="0"/>
    <n v="0"/>
    <n v="0"/>
    <n v="0"/>
    <n v="61.514999999999993"/>
    <n v="136.69999999999999"/>
    <s v="Chine"/>
    <s v="CN"/>
    <x v="16"/>
  </r>
  <r>
    <x v="0"/>
    <n v="723.46559999999999"/>
    <n v="921.17740000000003"/>
    <n v="1586.1274000000001"/>
    <n v="0"/>
    <n v="0"/>
    <n v="0"/>
    <n v="0"/>
    <n v="61.514999999999993"/>
    <n v="136.69999999999999"/>
    <s v="Chine"/>
    <s v="CN"/>
    <x v="17"/>
  </r>
  <r>
    <x v="1"/>
    <n v="578.94979999999998"/>
    <n v="649.87780000000009"/>
    <n v="649.87780000000009"/>
    <n v="0"/>
    <n v="0"/>
    <n v="0"/>
    <n v="0"/>
    <n v="61.514999999999993"/>
    <n v="136.69999999999999"/>
    <s v="Chine"/>
    <s v="CN"/>
    <x v="17"/>
  </r>
  <r>
    <x v="2"/>
    <n v="738.53780000000006"/>
    <n v="936.2496000000001"/>
    <n v="936.2496000000001"/>
    <n v="0"/>
    <n v="0"/>
    <n v="0"/>
    <n v="0"/>
    <n v="61.514999999999993"/>
    <n v="136.69999999999999"/>
    <s v="Chine"/>
    <s v="CN"/>
    <x v="17"/>
  </r>
  <r>
    <x v="3"/>
    <n v="728.78520000000003"/>
    <n v="926.49700000000007"/>
    <n v="926.49700000000007"/>
    <n v="0"/>
    <n v="0"/>
    <n v="0"/>
    <n v="0"/>
    <n v="61.514999999999993"/>
    <n v="136.69999999999999"/>
    <s v="Chine"/>
    <s v="CN"/>
    <x v="17"/>
  </r>
  <r>
    <x v="0"/>
    <n v="1511"/>
    <n v="2445"/>
    <n v="2445"/>
    <n v="0"/>
    <n v="0"/>
    <n v="0"/>
    <n v="0"/>
    <n v="0"/>
    <n v="86.886800000000008"/>
    <s v="Colombie"/>
    <s v="CO"/>
    <x v="18"/>
  </r>
  <r>
    <x v="1"/>
    <n v="1483"/>
    <n v="2542"/>
    <n v="2542"/>
    <n v="2942"/>
    <n v="1783"/>
    <n v="1783"/>
    <n v="2942"/>
    <n v="0"/>
    <n v="86.886800000000008"/>
    <s v="Colombie"/>
    <s v="CO"/>
    <x v="18"/>
  </r>
  <r>
    <x v="2"/>
    <n v="1526"/>
    <n v="2460"/>
    <n v="2460"/>
    <n v="0"/>
    <n v="0"/>
    <n v="0"/>
    <n v="0"/>
    <n v="0"/>
    <n v="86.886800000000008"/>
    <s v="Colombie"/>
    <s v="CO"/>
    <x v="18"/>
  </r>
  <r>
    <x v="3"/>
    <n v="1516"/>
    <n v="2450"/>
    <n v="2450"/>
    <n v="0"/>
    <n v="0"/>
    <n v="0"/>
    <n v="0"/>
    <n v="0"/>
    <n v="86.886800000000008"/>
    <s v="Colombie"/>
    <s v="CO"/>
    <x v="18"/>
  </r>
  <r>
    <x v="0"/>
    <n v="1086.9716000000001"/>
    <n v="1724.4370000000001"/>
    <n v="1724.4370000000001"/>
    <n v="0"/>
    <n v="0"/>
    <n v="0"/>
    <n v="0"/>
    <n v="0"/>
    <n v="0"/>
    <s v="Continant Africain (est)"/>
    <s v="DJ"/>
    <x v="19"/>
  </r>
  <r>
    <x v="1"/>
    <n v="1004.5178000000001"/>
    <n v="1536.4778000000001"/>
    <n v="1536.4778000000001"/>
    <n v="0"/>
    <n v="0"/>
    <n v="0"/>
    <n v="0"/>
    <n v="0"/>
    <n v="0"/>
    <s v="Continant Africain (est)"/>
    <s v="DJ"/>
    <x v="19"/>
  </r>
  <r>
    <x v="2"/>
    <n v="1102.0438000000001"/>
    <n v="1739.5092000000002"/>
    <n v="1739.5092000000002"/>
    <n v="0"/>
    <n v="0"/>
    <n v="0"/>
    <n v="0"/>
    <n v="0"/>
    <n v="0"/>
    <s v="Continant Africain (est)"/>
    <s v="DJ"/>
    <x v="19"/>
  </r>
  <r>
    <x v="3"/>
    <n v="1092.2912000000001"/>
    <n v="1728.8700000000001"/>
    <n v="1728.8700000000001"/>
    <n v="0"/>
    <n v="0"/>
    <n v="0"/>
    <n v="0"/>
    <n v="0"/>
    <n v="0"/>
    <s v="Continant Africain (est)"/>
    <s v="DJ"/>
    <x v="19"/>
  </r>
  <r>
    <x v="0"/>
    <n v="1306.8484000000001"/>
    <n v="2259.0568000000003"/>
    <n v="2259.0568000000003"/>
    <n v="0"/>
    <n v="0"/>
    <n v="0"/>
    <n v="0"/>
    <n v="0"/>
    <n v="106.39200000000001"/>
    <s v="Continant Africain (est)"/>
    <s v="KE"/>
    <x v="20"/>
  </r>
  <r>
    <x v="1"/>
    <n v="1107.3634"/>
    <n v="1948.7468000000001"/>
    <n v="1948.7468000000001"/>
    <n v="0"/>
    <n v="0"/>
    <n v="0"/>
    <n v="0"/>
    <n v="0"/>
    <n v="106.39200000000001"/>
    <s v="Continant Africain (est)"/>
    <s v="KE"/>
    <x v="20"/>
  </r>
  <r>
    <x v="2"/>
    <n v="1306.8484000000001"/>
    <n v="2259.0568000000003"/>
    <n v="2259.0568000000003"/>
    <n v="0"/>
    <n v="0"/>
    <n v="0"/>
    <n v="0"/>
    <n v="0"/>
    <n v="106.39200000000001"/>
    <s v="Continant Africain (est)"/>
    <s v="KE"/>
    <x v="20"/>
  </r>
  <r>
    <x v="3"/>
    <n v="1196.0234"/>
    <n v="1948.7468000000001"/>
    <n v="1948.7468000000001"/>
    <n v="0"/>
    <n v="0"/>
    <n v="0"/>
    <n v="0"/>
    <n v="0"/>
    <n v="106.39200000000001"/>
    <s v="Continant Africain (est)"/>
    <s v="KE"/>
    <x v="20"/>
  </r>
  <r>
    <x v="0"/>
    <n v="1154.3532"/>
    <n v="1746.6020000000001"/>
    <n v="1746.6020000000001"/>
    <n v="0"/>
    <n v="0"/>
    <n v="0"/>
    <n v="0"/>
    <n v="0"/>
    <n v="0"/>
    <s v="Continant Africain (est)"/>
    <s v="SD"/>
    <x v="21"/>
  </r>
  <r>
    <x v="1"/>
    <n v="1093.1778000000002"/>
    <n v="1625.1378000000002"/>
    <n v="1625.1378000000002"/>
    <n v="0"/>
    <n v="0"/>
    <n v="0"/>
    <n v="0"/>
    <n v="0"/>
    <n v="0"/>
    <s v="Continant Africain (est)"/>
    <s v="SD"/>
    <x v="21"/>
  </r>
  <r>
    <x v="2"/>
    <n v="1169.4254000000001"/>
    <n v="1761.6742000000002"/>
    <n v="1761.6742000000002"/>
    <n v="0"/>
    <n v="0"/>
    <n v="0"/>
    <n v="0"/>
    <n v="0"/>
    <n v="0"/>
    <s v="Continant Africain (est)"/>
    <s v="SD"/>
    <x v="21"/>
  </r>
  <r>
    <x v="3"/>
    <n v="1159.6728000000001"/>
    <n v="1751.9216000000001"/>
    <n v="1751.9216000000001"/>
    <n v="0"/>
    <n v="0"/>
    <n v="0"/>
    <n v="0"/>
    <n v="0"/>
    <n v="0"/>
    <s v="Continant Africain (est)"/>
    <s v="SD"/>
    <x v="21"/>
  </r>
  <r>
    <x v="0"/>
    <n v="1122"/>
    <n v="1575"/>
    <n v="1575"/>
    <n v="0"/>
    <n v="0"/>
    <n v="0"/>
    <n v="0"/>
    <n v="0"/>
    <n v="140"/>
    <s v="Continant Africain (ouest)"/>
    <s v="CI"/>
    <x v="22"/>
  </r>
  <r>
    <x v="1"/>
    <n v="1164"/>
    <n v="1712"/>
    <n v="1712"/>
    <n v="0"/>
    <n v="0"/>
    <n v="0"/>
    <n v="0"/>
    <n v="0"/>
    <n v="140"/>
    <s v="Continant Africain (ouest)"/>
    <s v="CI"/>
    <x v="22"/>
  </r>
  <r>
    <x v="1"/>
    <n v="1164"/>
    <n v="1712"/>
    <n v="1712"/>
    <n v="0"/>
    <n v="0"/>
    <n v="0"/>
    <n v="0"/>
    <n v="0"/>
    <n v="140"/>
    <s v="Continant Africain (ouest)"/>
    <s v="CI"/>
    <x v="22"/>
  </r>
  <r>
    <x v="4"/>
    <n v="1186"/>
    <n v="1696"/>
    <n v="1696"/>
    <n v="0"/>
    <n v="0"/>
    <n v="0"/>
    <n v="0"/>
    <n v="0"/>
    <n v="140"/>
    <s v="Continant Africain (ouest)"/>
    <s v="CI"/>
    <x v="22"/>
  </r>
  <r>
    <x v="3"/>
    <n v="1199"/>
    <n v="1782"/>
    <n v="1782"/>
    <n v="0"/>
    <n v="0"/>
    <n v="0"/>
    <n v="0"/>
    <n v="0"/>
    <n v="140"/>
    <s v="Continant Africain (ouest)"/>
    <s v="CI"/>
    <x v="22"/>
  </r>
  <r>
    <x v="0"/>
    <n v="1200"/>
    <n v="2384"/>
    <n v="2384"/>
    <n v="0"/>
    <n v="0"/>
    <n v="0"/>
    <n v="0"/>
    <n v="0"/>
    <n v="0"/>
    <s v="Continant Africain (ouest)"/>
    <s v="DZ"/>
    <x v="23"/>
  </r>
  <r>
    <x v="4"/>
    <n v="1384"/>
    <n v="2124"/>
    <n v="2207"/>
    <n v="0"/>
    <n v="0"/>
    <n v="0"/>
    <n v="0"/>
    <n v="0"/>
    <n v="0"/>
    <s v="Continant Africain (ouest)"/>
    <s v="DZ"/>
    <x v="23"/>
  </r>
  <r>
    <x v="2"/>
    <n v="1216"/>
    <n v="2398"/>
    <n v="2398"/>
    <n v="0"/>
    <n v="0"/>
    <n v="0"/>
    <n v="0"/>
    <n v="0"/>
    <n v="0"/>
    <s v="Continant Africain (ouest)"/>
    <s v="DZ"/>
    <x v="23"/>
  </r>
  <r>
    <x v="3"/>
    <n v="1206"/>
    <n v="2388"/>
    <n v="2388"/>
    <n v="0"/>
    <n v="0"/>
    <n v="0"/>
    <n v="0"/>
    <n v="0"/>
    <n v="0"/>
    <s v="Continant Africain (ouest)"/>
    <s v="DZ"/>
    <x v="23"/>
  </r>
  <r>
    <x v="0"/>
    <n v="1735"/>
    <n v="2787"/>
    <n v="2789"/>
    <n v="0"/>
    <n v="0"/>
    <n v="0"/>
    <n v="0"/>
    <n v="0"/>
    <n v="0"/>
    <s v="Continant Africain (ouest)"/>
    <s v="AO"/>
    <x v="24"/>
  </r>
  <r>
    <x v="1"/>
    <n v="2120"/>
    <n v="3103"/>
    <n v="3103"/>
    <n v="0"/>
    <n v="0"/>
    <n v="0"/>
    <n v="0"/>
    <n v="0"/>
    <n v="0"/>
    <s v="Continant Africain (ouest)"/>
    <s v="AO"/>
    <x v="24"/>
  </r>
  <r>
    <x v="4"/>
    <n v="2013"/>
    <n v="3087"/>
    <n v="3087"/>
    <n v="0"/>
    <n v="0"/>
    <n v="0"/>
    <n v="0"/>
    <n v="0"/>
    <n v="0"/>
    <s v="Continant Africain (ouest)"/>
    <s v="AO"/>
    <x v="24"/>
  </r>
  <r>
    <x v="3"/>
    <n v="2155"/>
    <n v="3173"/>
    <n v="3173"/>
    <n v="0"/>
    <n v="0"/>
    <n v="0"/>
    <n v="0"/>
    <n v="0"/>
    <n v="0"/>
    <s v="Continant Africain (ouest)"/>
    <s v="AO"/>
    <x v="24"/>
  </r>
  <r>
    <x v="0"/>
    <n v="1581"/>
    <n v="2363"/>
    <n v="2363"/>
    <n v="0"/>
    <n v="0"/>
    <n v="0"/>
    <n v="0"/>
    <n v="0"/>
    <n v="0"/>
    <s v="Continant Africain (ouest)"/>
    <s v="CG"/>
    <x v="25"/>
  </r>
  <r>
    <x v="4"/>
    <n v="1478"/>
    <n v="2186"/>
    <n v="2186"/>
    <n v="0"/>
    <n v="0"/>
    <n v="0"/>
    <n v="0"/>
    <n v="0"/>
    <n v="0"/>
    <s v="Continant Africain (ouest)"/>
    <s v="CG"/>
    <x v="25"/>
  </r>
  <r>
    <x v="1"/>
    <n v="1388"/>
    <n v="2237"/>
    <n v="2237"/>
    <n v="0"/>
    <n v="0"/>
    <n v="0"/>
    <n v="0"/>
    <n v="0"/>
    <n v="0"/>
    <s v="Continant Africain (ouest)"/>
    <s v="CG"/>
    <x v="25"/>
  </r>
  <r>
    <x v="3"/>
    <n v="1423"/>
    <n v="2307"/>
    <n v="2307"/>
    <n v="0"/>
    <n v="0"/>
    <n v="0"/>
    <n v="0"/>
    <n v="0"/>
    <n v="0"/>
    <s v="Continant Africain (ouest)"/>
    <s v="CG"/>
    <x v="25"/>
  </r>
  <r>
    <x v="0"/>
    <n v="2070"/>
    <n v="3619"/>
    <n v="3622"/>
    <n v="0"/>
    <n v="0"/>
    <n v="0"/>
    <n v="0"/>
    <n v="0"/>
    <n v="0"/>
    <s v="Continant Africain (ouest)"/>
    <s v="GA"/>
    <x v="26"/>
  </r>
  <r>
    <x v="1"/>
    <n v="1940"/>
    <n v="3393"/>
    <n v="3393"/>
    <n v="0"/>
    <n v="0"/>
    <n v="0"/>
    <n v="0"/>
    <n v="0"/>
    <n v="0"/>
    <s v="Continant Africain (ouest)"/>
    <s v="GA"/>
    <x v="26"/>
  </r>
  <r>
    <x v="4"/>
    <n v="1967"/>
    <n v="3448"/>
    <n v="3448"/>
    <n v="0"/>
    <n v="0"/>
    <n v="0"/>
    <n v="0"/>
    <n v="0"/>
    <n v="0"/>
    <s v="Continant Africain (ouest)"/>
    <s v="GA"/>
    <x v="26"/>
  </r>
  <r>
    <x v="3"/>
    <n v="1975"/>
    <n v="3463"/>
    <n v="3463"/>
    <n v="0"/>
    <n v="0"/>
    <n v="0"/>
    <n v="0"/>
    <n v="0"/>
    <n v="0"/>
    <s v="Continant Africain (ouest)"/>
    <s v="GA"/>
    <x v="26"/>
  </r>
  <r>
    <x v="0"/>
    <n v="981"/>
    <n v="1591"/>
    <n v="1591"/>
    <n v="0"/>
    <n v="0"/>
    <n v="0"/>
    <n v="0"/>
    <n v="0"/>
    <n v="0"/>
    <s v="Continant Africain (Sud-Ouest)"/>
    <s v="MA"/>
    <x v="27"/>
  </r>
  <r>
    <x v="2"/>
    <n v="996"/>
    <n v="1606"/>
    <n v="1606"/>
    <n v="0"/>
    <n v="1446"/>
    <n v="0"/>
    <n v="0"/>
    <n v="0"/>
    <n v="0"/>
    <s v="Continant Africain (Sud-Ouest)"/>
    <s v="MA"/>
    <x v="27"/>
  </r>
  <r>
    <x v="3"/>
    <n v="986"/>
    <n v="1596"/>
    <n v="1596"/>
    <n v="0"/>
    <n v="0"/>
    <n v="0"/>
    <n v="0"/>
    <n v="0"/>
    <n v="0"/>
    <s v="Continant Africain (Sud-Ouest)"/>
    <s v="MA"/>
    <x v="27"/>
  </r>
  <r>
    <x v="0"/>
    <n v="741.19760000000008"/>
    <n v="944.22900000000004"/>
    <n v="1609.1790000000001"/>
    <n v="0"/>
    <n v="0"/>
    <n v="0"/>
    <n v="0"/>
    <n v="0"/>
    <n v="130.9"/>
    <s v="Corée du sud"/>
    <s v="KR"/>
    <x v="28"/>
  </r>
  <r>
    <x v="1"/>
    <n v="594.90860000000009"/>
    <n v="671.15620000000001"/>
    <n v="671.15620000000001"/>
    <n v="0"/>
    <n v="0"/>
    <n v="0"/>
    <n v="0"/>
    <n v="0"/>
    <n v="130.9"/>
    <s v="Corée du sud"/>
    <s v="KR"/>
    <x v="28"/>
  </r>
  <r>
    <x v="2"/>
    <n v="911.4248"/>
    <n v="1203.1162000000002"/>
    <n v="1203.1162000000002"/>
    <n v="0"/>
    <n v="0"/>
    <n v="0"/>
    <n v="0"/>
    <n v="0"/>
    <n v="130.9"/>
    <s v="Corée du sud"/>
    <s v="KR"/>
    <x v="28"/>
  </r>
  <r>
    <x v="3"/>
    <n v="750.9502"/>
    <n v="948.66200000000003"/>
    <n v="948.66200000000003"/>
    <n v="0"/>
    <n v="0"/>
    <n v="0"/>
    <n v="0"/>
    <n v="0"/>
    <n v="130.9"/>
    <s v="Corée du sud"/>
    <s v="KR"/>
    <x v="28"/>
  </r>
  <r>
    <x v="0"/>
    <n v="896.35260000000005"/>
    <n v="1188.0440000000001"/>
    <n v="1852.9940000000001"/>
    <n v="0"/>
    <n v="0"/>
    <n v="0"/>
    <n v="0"/>
    <n v="0"/>
    <n v="103.94999999999999"/>
    <s v="Corée du sud"/>
    <s v="KR"/>
    <x v="29"/>
  </r>
  <r>
    <x v="1"/>
    <n v="845.81640000000004"/>
    <n v="887.48660000000007"/>
    <n v="887.48660000000007"/>
    <n v="0"/>
    <n v="0"/>
    <n v="0"/>
    <n v="0"/>
    <n v="0"/>
    <n v="103.94999999999999"/>
    <s v="Corée du sud"/>
    <s v="KR"/>
    <x v="29"/>
  </r>
  <r>
    <x v="2"/>
    <n v="911.4248"/>
    <n v="1203.1162000000002"/>
    <n v="1203.1162000000002"/>
    <n v="0"/>
    <n v="0"/>
    <n v="0"/>
    <n v="0"/>
    <n v="0"/>
    <n v="103.94999999999999"/>
    <s v="Corée du sud"/>
    <s v="KR"/>
    <x v="29"/>
  </r>
  <r>
    <x v="3"/>
    <n v="900.78560000000004"/>
    <n v="1192.4770000000001"/>
    <n v="1192.4770000000001"/>
    <n v="0"/>
    <n v="0"/>
    <n v="0"/>
    <n v="0"/>
    <n v="0"/>
    <n v="103.94999999999999"/>
    <s v="Corée du sud"/>
    <s v="KR"/>
    <x v="29"/>
  </r>
  <r>
    <x v="1"/>
    <n v="656"/>
    <n v="959"/>
    <n v="959"/>
    <n v="0"/>
    <n v="0"/>
    <n v="0"/>
    <n v="0"/>
    <n v="0"/>
    <n v="0"/>
    <s v="Egypte"/>
    <s v="EG"/>
    <x v="30"/>
  </r>
  <r>
    <x v="4"/>
    <n v="716"/>
    <n v="988"/>
    <n v="988"/>
    <n v="0"/>
    <n v="0"/>
    <n v="0"/>
    <n v="0"/>
    <n v="0"/>
    <n v="0"/>
    <s v="Egypte"/>
    <s v="EG"/>
    <x v="30"/>
  </r>
  <r>
    <x v="0"/>
    <n v="1131"/>
    <n v="1821"/>
    <n v="1821"/>
    <n v="0"/>
    <n v="0"/>
    <n v="0"/>
    <n v="0"/>
    <n v="0"/>
    <n v="270"/>
    <s v="Equateur"/>
    <s v="EC"/>
    <x v="31"/>
  </r>
  <r>
    <x v="1"/>
    <n v="1372"/>
    <n v="2065"/>
    <n v="2065"/>
    <n v="2465"/>
    <n v="1672"/>
    <n v="1672"/>
    <n v="2465"/>
    <n v="0"/>
    <n v="270"/>
    <s v="Equateur"/>
    <s v="EC"/>
    <x v="31"/>
  </r>
  <r>
    <x v="2"/>
    <n v="1146"/>
    <n v="1836"/>
    <n v="1836"/>
    <n v="0"/>
    <n v="0"/>
    <n v="0"/>
    <n v="0"/>
    <n v="0"/>
    <n v="270"/>
    <s v="Equateur"/>
    <s v="EC"/>
    <x v="31"/>
  </r>
  <r>
    <x v="3"/>
    <n v="1136"/>
    <n v="1826"/>
    <n v="1826"/>
    <n v="0"/>
    <n v="0"/>
    <n v="0"/>
    <n v="0"/>
    <n v="0"/>
    <n v="270"/>
    <s v="Equateur"/>
    <s v="EC"/>
    <x v="31"/>
  </r>
  <r>
    <x v="0"/>
    <n v="1256"/>
    <n v="1814"/>
    <n v="1814"/>
    <n v="0"/>
    <n v="0"/>
    <n v="0"/>
    <n v="0"/>
    <n v="0"/>
    <n v="180"/>
    <s v="Espagne"/>
    <s v="ES"/>
    <x v="32"/>
  </r>
  <r>
    <x v="2"/>
    <n v="1270"/>
    <n v="1828"/>
    <n v="1828"/>
    <n v="0"/>
    <n v="0"/>
    <n v="0"/>
    <n v="0"/>
    <n v="0"/>
    <n v="180"/>
    <s v="Espagne"/>
    <s v="ES"/>
    <x v="32"/>
  </r>
  <r>
    <x v="3"/>
    <n v="1260"/>
    <n v="1818"/>
    <n v="1818"/>
    <n v="0"/>
    <n v="0"/>
    <n v="0"/>
    <n v="0"/>
    <n v="0"/>
    <n v="180"/>
    <s v="Espagne"/>
    <s v="ES"/>
    <x v="32"/>
  </r>
  <r>
    <x v="0"/>
    <n v="1256"/>
    <n v="1814"/>
    <n v="1814"/>
    <n v="0"/>
    <n v="0"/>
    <n v="0"/>
    <n v="0"/>
    <n v="0"/>
    <n v="180"/>
    <s v="Espagne"/>
    <s v="ES"/>
    <x v="33"/>
  </r>
  <r>
    <x v="2"/>
    <n v="1270"/>
    <n v="1828"/>
    <n v="1828"/>
    <n v="0"/>
    <n v="0"/>
    <n v="0"/>
    <n v="0"/>
    <n v="0"/>
    <n v="180"/>
    <s v="Espagne"/>
    <s v="ES"/>
    <x v="33"/>
  </r>
  <r>
    <x v="3"/>
    <n v="1260"/>
    <n v="1818"/>
    <n v="1818"/>
    <n v="0"/>
    <n v="0"/>
    <n v="0"/>
    <n v="0"/>
    <n v="0"/>
    <n v="180"/>
    <s v="Espagne"/>
    <s v="ES"/>
    <x v="33"/>
  </r>
  <r>
    <x v="1"/>
    <n v="1202"/>
    <n v="1502"/>
    <n v="1502"/>
    <n v="0"/>
    <n v="0"/>
    <n v="0"/>
    <n v="0"/>
    <n v="0"/>
    <n v="130"/>
    <s v="Finlande"/>
    <s v="FI"/>
    <x v="34"/>
  </r>
  <r>
    <x v="1"/>
    <n v="1202"/>
    <n v="1502"/>
    <n v="1502"/>
    <n v="0"/>
    <n v="0"/>
    <n v="0"/>
    <n v="0"/>
    <n v="0"/>
    <n v="130"/>
    <s v="Finlande"/>
    <s v="FI"/>
    <x v="35"/>
  </r>
  <r>
    <x v="1"/>
    <n v="1202"/>
    <n v="1502"/>
    <n v="1502"/>
    <n v="0"/>
    <n v="0"/>
    <n v="0"/>
    <n v="0"/>
    <n v="0"/>
    <n v="130"/>
    <s v="Finlande"/>
    <s v="FI"/>
    <x v="36"/>
  </r>
  <r>
    <x v="1"/>
    <n v="1359"/>
    <n v="2058"/>
    <n v="2058"/>
    <n v="2458"/>
    <n v="1659"/>
    <n v="1672"/>
    <n v="2458"/>
    <n v="0"/>
    <n v="128.55700000000002"/>
    <s v="Honduras"/>
    <s v="HN"/>
    <x v="37"/>
  </r>
  <r>
    <x v="2"/>
    <n v="1244"/>
    <n v="1972"/>
    <n v="1972"/>
    <n v="0"/>
    <n v="0"/>
    <n v="0"/>
    <n v="0"/>
    <n v="0"/>
    <n v="128.55700000000002"/>
    <s v="Honduras"/>
    <s v="HN"/>
    <x v="37"/>
  </r>
  <r>
    <x v="3"/>
    <n v="1234"/>
    <n v="1962"/>
    <n v="1962"/>
    <n v="0"/>
    <n v="0"/>
    <n v="0"/>
    <n v="0"/>
    <n v="0"/>
    <n v="128.55700000000002"/>
    <s v="Honduras"/>
    <s v="HN"/>
    <x v="37"/>
  </r>
  <r>
    <x v="1"/>
    <n v="894.57940000000008"/>
    <n v="1010.724"/>
    <n v="1010.724"/>
    <n v="0"/>
    <n v="0"/>
    <n v="0"/>
    <n v="0"/>
    <n v="0"/>
    <n v="78"/>
    <s v="Inde"/>
    <s v="IN"/>
    <x v="38"/>
  </r>
  <r>
    <x v="1"/>
    <n v="1368.9104"/>
    <n v="1958.4994000000002"/>
    <n v="1910.623"/>
    <n v="0"/>
    <n v="0"/>
    <n v="0"/>
    <n v="0"/>
    <n v="0"/>
    <n v="130"/>
    <s v="Inde"/>
    <s v="IN"/>
    <x v="39"/>
  </r>
  <r>
    <x v="1"/>
    <n v="1388.4156"/>
    <n v="1863.6332000000002"/>
    <n v="1907.9632000000001"/>
    <n v="0"/>
    <n v="0"/>
    <n v="0"/>
    <n v="0"/>
    <n v="0"/>
    <n v="120"/>
    <s v="Inde"/>
    <s v="IN"/>
    <x v="40"/>
  </r>
  <r>
    <x v="0"/>
    <n v="1078.1056000000001"/>
    <n v="1537.3644000000002"/>
    <n v="2202.3144000000002"/>
    <n v="0"/>
    <n v="0"/>
    <n v="0"/>
    <n v="0"/>
    <n v="0"/>
    <n v="115.25800000000001"/>
    <s v="Indonesie"/>
    <s v="ID"/>
    <x v="41"/>
  </r>
  <r>
    <x v="1"/>
    <n v="734.10480000000007"/>
    <n v="867.09480000000008"/>
    <n v="867.09480000000008"/>
    <n v="0"/>
    <n v="0"/>
    <n v="0"/>
    <n v="0"/>
    <n v="0"/>
    <n v="115.25800000000001"/>
    <s v="Indonesie"/>
    <s v="ID"/>
    <x v="41"/>
  </r>
  <r>
    <x v="2"/>
    <n v="1094.0644"/>
    <n v="1553.3232"/>
    <n v="1553.3232"/>
    <n v="0"/>
    <n v="0"/>
    <n v="0"/>
    <n v="0"/>
    <n v="0"/>
    <n v="115.25800000000001"/>
    <s v="Indonesie"/>
    <s v="ID"/>
    <x v="41"/>
  </r>
  <r>
    <x v="3"/>
    <n v="1083.4252000000001"/>
    <n v="1542.6840000000002"/>
    <n v="1542.6840000000002"/>
    <n v="0"/>
    <n v="0"/>
    <n v="0"/>
    <n v="0"/>
    <n v="0"/>
    <n v="115.25800000000001"/>
    <s v="Indonesie"/>
    <s v="ID"/>
    <x v="41"/>
  </r>
  <r>
    <x v="0"/>
    <n v="1432.7456000000002"/>
    <n v="2446.1294000000003"/>
    <n v="2822.9344000000001"/>
    <n v="0"/>
    <n v="0"/>
    <n v="0"/>
    <n v="0"/>
    <n v="0"/>
    <n v="115.25800000000001"/>
    <s v="Indonesie"/>
    <s v="ID"/>
    <x v="42"/>
  </r>
  <r>
    <x v="2"/>
    <n v="1448.7044000000001"/>
    <n v="2462.0882000000001"/>
    <n v="2173.9432000000002"/>
    <n v="0"/>
    <n v="0"/>
    <n v="0"/>
    <n v="0"/>
    <n v="0"/>
    <n v="115.25800000000001"/>
    <s v="Indonesie"/>
    <s v="ID"/>
    <x v="42"/>
  </r>
  <r>
    <x v="3"/>
    <n v="1438.0652"/>
    <n v="2451.4490000000001"/>
    <n v="2163.3040000000001"/>
    <n v="0"/>
    <n v="0"/>
    <n v="0"/>
    <n v="0"/>
    <n v="0"/>
    <n v="115.25800000000001"/>
    <s v="Indonesie"/>
    <s v="ID"/>
    <x v="42"/>
  </r>
  <r>
    <x v="0"/>
    <n v="878.62060000000008"/>
    <n v="1470.8694"/>
    <n v="2135.8194000000003"/>
    <n v="0"/>
    <n v="0"/>
    <n v="0"/>
    <n v="0"/>
    <n v="0"/>
    <n v="115.25800000000001"/>
    <s v="Indonesie"/>
    <s v="ID"/>
    <x v="43"/>
  </r>
  <r>
    <x v="1"/>
    <n v="734.10480000000007"/>
    <n v="867.09480000000008"/>
    <n v="867.09480000000008"/>
    <n v="0"/>
    <n v="0"/>
    <n v="0"/>
    <n v="0"/>
    <n v="0"/>
    <n v="115.25800000000001"/>
    <s v="Indonesie"/>
    <s v="ID"/>
    <x v="43"/>
  </r>
  <r>
    <x v="2"/>
    <n v="894.57940000000008"/>
    <n v="1486.8282000000002"/>
    <n v="1486.8282000000002"/>
    <n v="0"/>
    <n v="0"/>
    <n v="0"/>
    <n v="0"/>
    <n v="0"/>
    <n v="115.25800000000001"/>
    <s v="Indonesie"/>
    <s v="ID"/>
    <x v="43"/>
  </r>
  <r>
    <x v="3"/>
    <n v="883.9402"/>
    <n v="1476.1890000000001"/>
    <n v="1476.1890000000001"/>
    <n v="0"/>
    <n v="0"/>
    <n v="0"/>
    <n v="0"/>
    <n v="0"/>
    <n v="115.25800000000001"/>
    <s v="Indonesie"/>
    <s v="ID"/>
    <x v="43"/>
  </r>
  <r>
    <x v="0"/>
    <n v="1255"/>
    <n v="2234"/>
    <n v="2234"/>
    <n v="0"/>
    <n v="0"/>
    <n v="0"/>
    <n v="0"/>
    <n v="0"/>
    <n v="212.78400000000002"/>
    <s v="Iran"/>
    <s v="IR"/>
    <x v="44"/>
  </r>
  <r>
    <x v="1"/>
    <n v="2001"/>
    <n v="2918"/>
    <n v="2918"/>
    <n v="0"/>
    <n v="0"/>
    <n v="0"/>
    <n v="0"/>
    <n v="0"/>
    <n v="265.98"/>
    <s v="Iran"/>
    <s v="IR"/>
    <x v="44"/>
  </r>
  <r>
    <x v="2"/>
    <n v="1255"/>
    <n v="2234"/>
    <n v="2234"/>
    <n v="0"/>
    <n v="0"/>
    <n v="0"/>
    <n v="0"/>
    <n v="0"/>
    <n v="265.98"/>
    <s v="Iran"/>
    <s v="IR"/>
    <x v="44"/>
  </r>
  <r>
    <x v="3"/>
    <n v="1255"/>
    <n v="2234"/>
    <n v="2234"/>
    <n v="0"/>
    <n v="0"/>
    <n v="0"/>
    <n v="0"/>
    <n v="0"/>
    <n v="265.98"/>
    <s v="Iran"/>
    <s v="IR"/>
    <x v="44"/>
  </r>
  <r>
    <x v="0"/>
    <n v="1093.1778000000002"/>
    <n v="1457.5704000000001"/>
    <n v="2122.5204000000003"/>
    <n v="0"/>
    <n v="0"/>
    <n v="0"/>
    <n v="0"/>
    <n v="26.598000000000003"/>
    <n v="320"/>
    <s v="Japon"/>
    <s v="JP"/>
    <x v="45"/>
  </r>
  <r>
    <x v="1"/>
    <n v="818.33180000000004"/>
    <n v="1013.3838000000001"/>
    <n v="1013.3838000000001"/>
    <n v="0"/>
    <n v="0"/>
    <n v="0"/>
    <n v="0"/>
    <n v="26.4"/>
    <n v="320"/>
    <s v="Japon"/>
    <s v="JP"/>
    <x v="45"/>
  </r>
  <r>
    <x v="2"/>
    <n v="1108.25"/>
    <n v="1472.6426000000001"/>
    <n v="1472.6426000000001"/>
    <n v="0"/>
    <n v="0"/>
    <n v="0"/>
    <n v="0"/>
    <n v="26.598000000000003"/>
    <n v="320"/>
    <s v="Japon"/>
    <s v="JP"/>
    <x v="45"/>
  </r>
  <r>
    <x v="3"/>
    <n v="1098.4974"/>
    <n v="1462.89"/>
    <n v="1462.89"/>
    <n v="0"/>
    <n v="0"/>
    <n v="0"/>
    <n v="0"/>
    <n v="26.598000000000003"/>
    <n v="320"/>
    <s v="Japon"/>
    <s v="JP"/>
    <x v="45"/>
  </r>
  <r>
    <x v="0"/>
    <n v="1181.8378"/>
    <n v="1546.2304000000001"/>
    <n v="2211.1804000000002"/>
    <n v="0"/>
    <n v="0"/>
    <n v="0"/>
    <n v="0"/>
    <n v="26.598000000000003"/>
    <n v="320"/>
    <s v="Japon"/>
    <s v="JP"/>
    <x v="46"/>
  </r>
  <r>
    <x v="2"/>
    <n v="1196.9100000000001"/>
    <n v="1561.3026"/>
    <n v="1561.3026"/>
    <n v="0"/>
    <n v="0"/>
    <n v="0"/>
    <n v="0"/>
    <n v="26.598000000000003"/>
    <n v="320"/>
    <s v="Japon"/>
    <s v="JP"/>
    <x v="46"/>
  </r>
  <r>
    <x v="3"/>
    <n v="1187.1574000000001"/>
    <n v="1551.5500000000002"/>
    <n v="1551.5500000000002"/>
    <n v="0"/>
    <n v="0"/>
    <n v="0"/>
    <n v="0"/>
    <n v="26.598000000000003"/>
    <n v="320"/>
    <s v="Japon"/>
    <s v="JP"/>
    <x v="46"/>
  </r>
  <r>
    <x v="0"/>
    <n v="1093.1778000000002"/>
    <n v="1701.3854000000001"/>
    <n v="2366.3353999999999"/>
    <n v="0"/>
    <n v="0"/>
    <n v="0"/>
    <n v="0"/>
    <n v="26.598000000000003"/>
    <n v="320"/>
    <s v="Japon"/>
    <s v="JP"/>
    <x v="47"/>
  </r>
  <r>
    <x v="1"/>
    <n v="818.33180000000004"/>
    <n v="1013.3838000000001"/>
    <n v="1013.3838000000001"/>
    <n v="0"/>
    <n v="0"/>
    <n v="0"/>
    <n v="0"/>
    <n v="26.4"/>
    <n v="320"/>
    <s v="Japon"/>
    <s v="JP"/>
    <x v="47"/>
  </r>
  <r>
    <x v="2"/>
    <n v="1108.25"/>
    <n v="1716.4576000000002"/>
    <n v="1716.4576000000002"/>
    <n v="0"/>
    <n v="0"/>
    <n v="0"/>
    <n v="0"/>
    <n v="26.598000000000003"/>
    <n v="320"/>
    <s v="Japon"/>
    <s v="JP"/>
    <x v="47"/>
  </r>
  <r>
    <x v="3"/>
    <n v="1098.4974"/>
    <n v="1706.7050000000002"/>
    <n v="1706.7050000000002"/>
    <n v="0"/>
    <n v="0"/>
    <n v="0"/>
    <n v="0"/>
    <n v="26.598000000000003"/>
    <n v="320"/>
    <s v="Japon"/>
    <s v="JP"/>
    <x v="47"/>
  </r>
  <r>
    <x v="0"/>
    <n v="1071.0128"/>
    <n v="1501.9004"/>
    <n v="2166.8504000000003"/>
    <n v="0"/>
    <n v="0"/>
    <n v="0"/>
    <n v="0"/>
    <n v="26.598000000000003"/>
    <n v="320"/>
    <s v="Japon"/>
    <s v="JP"/>
    <x v="48"/>
  </r>
  <r>
    <x v="1"/>
    <n v="818.33180000000004"/>
    <n v="1013.3838000000001"/>
    <n v="1013.3838000000001"/>
    <n v="0"/>
    <n v="0"/>
    <n v="0"/>
    <n v="0"/>
    <n v="26.4"/>
    <n v="320"/>
    <s v="Japon"/>
    <s v="JP"/>
    <x v="48"/>
  </r>
  <r>
    <x v="2"/>
    <n v="1086.085"/>
    <n v="1516.9726000000001"/>
    <n v="1516.9726000000001"/>
    <n v="0"/>
    <n v="0"/>
    <n v="0"/>
    <n v="0"/>
    <n v="26.598000000000003"/>
    <n v="320"/>
    <s v="Japon"/>
    <s v="JP"/>
    <x v="48"/>
  </r>
  <r>
    <x v="3"/>
    <n v="1076.3324"/>
    <n v="1507.22"/>
    <n v="1507.22"/>
    <n v="0"/>
    <n v="0"/>
    <n v="0"/>
    <n v="0"/>
    <n v="26.598000000000003"/>
    <n v="320"/>
    <s v="Japon"/>
    <s v="JP"/>
    <x v="48"/>
  </r>
  <r>
    <x v="0"/>
    <n v="1580.8078"/>
    <n v="2277.6754000000001"/>
    <n v="2942.6254000000004"/>
    <n v="0"/>
    <n v="0"/>
    <n v="0"/>
    <n v="0"/>
    <n v="26.598000000000003"/>
    <n v="320"/>
    <s v="Japon"/>
    <s v="JP"/>
    <x v="49"/>
  </r>
  <r>
    <x v="2"/>
    <n v="1595.88"/>
    <n v="2292.7476000000001"/>
    <n v="2292.7476000000001"/>
    <n v="0"/>
    <n v="0"/>
    <n v="0"/>
    <n v="0"/>
    <n v="26.598000000000003"/>
    <n v="320"/>
    <s v="Japon"/>
    <s v="JP"/>
    <x v="49"/>
  </r>
  <r>
    <x v="3"/>
    <n v="1586.1274000000001"/>
    <n v="2282.9950000000003"/>
    <n v="2282.9950000000003"/>
    <n v="0"/>
    <n v="0"/>
    <n v="0"/>
    <n v="0"/>
    <n v="26.598000000000003"/>
    <n v="320"/>
    <s v="Japon"/>
    <s v="JP"/>
    <x v="49"/>
  </r>
  <r>
    <x v="0"/>
    <n v="1250"/>
    <n v="2384"/>
    <n v="2384"/>
    <n v="0"/>
    <n v="0"/>
    <n v="0"/>
    <n v="0"/>
    <n v="0"/>
    <n v="0"/>
    <s v="Libye"/>
    <s v="LY"/>
    <x v="50"/>
  </r>
  <r>
    <x v="2"/>
    <n v="1266"/>
    <n v="2398"/>
    <n v="2398"/>
    <n v="0"/>
    <n v="0"/>
    <n v="0"/>
    <n v="0"/>
    <n v="0"/>
    <n v="0"/>
    <s v="Libye"/>
    <s v="LY"/>
    <x v="50"/>
  </r>
  <r>
    <x v="3"/>
    <n v="1256"/>
    <n v="2388"/>
    <n v="2388"/>
    <n v="0"/>
    <n v="0"/>
    <n v="0"/>
    <n v="0"/>
    <n v="0"/>
    <n v="0"/>
    <s v="Libye"/>
    <s v="LY"/>
    <x v="50"/>
  </r>
  <r>
    <x v="0"/>
    <n v="710.16660000000002"/>
    <n v="907.87840000000006"/>
    <n v="1572.8284000000001"/>
    <n v="0"/>
    <n v="0"/>
    <n v="0"/>
    <n v="0"/>
    <n v="0"/>
    <n v="114.4"/>
    <s v="Malaysie"/>
    <s v="MY"/>
    <x v="51"/>
  </r>
  <r>
    <x v="1"/>
    <n v="565.6508"/>
    <n v="635.69220000000007"/>
    <n v="635.69220000000007"/>
    <n v="0"/>
    <n v="0"/>
    <n v="0"/>
    <n v="0"/>
    <n v="0"/>
    <n v="114.4"/>
    <s v="Malaysie"/>
    <s v="MY"/>
    <x v="51"/>
  </r>
  <r>
    <x v="2"/>
    <n v="726.12540000000001"/>
    <n v="922.95060000000001"/>
    <n v="922.95060000000001"/>
    <n v="0"/>
    <n v="0"/>
    <n v="0"/>
    <n v="0"/>
    <n v="0"/>
    <n v="114.4"/>
    <s v="Malaysie"/>
    <s v="MY"/>
    <x v="51"/>
  </r>
  <r>
    <x v="3"/>
    <n v="715.48620000000005"/>
    <n v="913.19800000000009"/>
    <n v="913.19800000000009"/>
    <n v="0"/>
    <n v="0"/>
    <n v="0"/>
    <n v="0"/>
    <n v="0"/>
    <n v="114.4"/>
    <s v="Malaysie"/>
    <s v="MY"/>
    <x v="51"/>
  </r>
  <r>
    <x v="0"/>
    <n v="1934"/>
    <n v="2855"/>
    <n v="2855"/>
    <n v="0"/>
    <n v="0"/>
    <n v="0"/>
    <n v="0"/>
    <n v="0"/>
    <n v="330"/>
    <s v="Martinique"/>
    <s v="MQ"/>
    <x v="52"/>
  </r>
  <r>
    <x v="1"/>
    <n v="1806"/>
    <n v="3000"/>
    <n v="3000"/>
    <n v="0"/>
    <n v="2171"/>
    <n v="0"/>
    <n v="0"/>
    <n v="0"/>
    <n v="330"/>
    <s v="Martinique"/>
    <s v="MQ"/>
    <x v="52"/>
  </r>
  <r>
    <x v="2"/>
    <n v="1949"/>
    <n v="2870"/>
    <n v="2870"/>
    <n v="0"/>
    <n v="0"/>
    <n v="0"/>
    <n v="0"/>
    <n v="0"/>
    <n v="330"/>
    <s v="Martinique"/>
    <s v="MQ"/>
    <x v="52"/>
  </r>
  <r>
    <x v="3"/>
    <n v="1924"/>
    <n v="2845"/>
    <n v="2845"/>
    <n v="0"/>
    <n v="0"/>
    <n v="0"/>
    <n v="0"/>
    <n v="0"/>
    <n v="330"/>
    <s v="Martinique"/>
    <s v="MQ"/>
    <x v="52"/>
  </r>
  <r>
    <x v="0"/>
    <n v="1717.3442"/>
    <n v="2634.9752000000003"/>
    <n v="2634.9752000000003"/>
    <n v="0"/>
    <n v="0"/>
    <n v="0"/>
    <n v="0"/>
    <n v="28.371200000000002"/>
    <n v="0"/>
    <s v="Mexique"/>
    <s v="MX"/>
    <x v="53"/>
  </r>
  <r>
    <x v="1"/>
    <n v="1649.9626000000001"/>
    <n v="2525.9234000000001"/>
    <n v="2525.9234000000001"/>
    <n v="0"/>
    <n v="0"/>
    <n v="0"/>
    <n v="0"/>
    <n v="28.16"/>
    <n v="0"/>
    <s v="Mexique"/>
    <s v="MX"/>
    <x v="53"/>
  </r>
  <r>
    <x v="2"/>
    <n v="1717.3442"/>
    <n v="2634.9752000000003"/>
    <n v="2634.9752000000003"/>
    <n v="0"/>
    <n v="0"/>
    <n v="0"/>
    <n v="0"/>
    <n v="28.371200000000002"/>
    <n v="0"/>
    <s v="Mexique"/>
    <s v="MX"/>
    <x v="53"/>
  </r>
  <r>
    <x v="3"/>
    <n v="1717.3442"/>
    <n v="2634.9752000000003"/>
    <n v="2634.9752000000003"/>
    <n v="0"/>
    <n v="0"/>
    <n v="0"/>
    <n v="0"/>
    <n v="28.371200000000002"/>
    <n v="0"/>
    <s v="Mexique"/>
    <s v="MX"/>
    <x v="53"/>
  </r>
  <r>
    <x v="0"/>
    <n v="1197.7966000000001"/>
    <n v="1304.1886000000002"/>
    <n v="1304.1886000000002"/>
    <n v="0"/>
    <n v="0"/>
    <n v="0"/>
    <n v="0"/>
    <n v="28.371200000000002"/>
    <n v="0"/>
    <s v="Mexique"/>
    <s v="MX"/>
    <x v="54"/>
  </r>
  <r>
    <x v="1"/>
    <n v="1197.7966000000001"/>
    <n v="1831.7156000000002"/>
    <n v="1831.7156000000002"/>
    <n v="0"/>
    <n v="0"/>
    <n v="0"/>
    <n v="0"/>
    <n v="28.16"/>
    <n v="0"/>
    <s v="Mexique"/>
    <s v="MX"/>
    <x v="54"/>
  </r>
  <r>
    <x v="2"/>
    <n v="1212.8688"/>
    <n v="1319.2608"/>
    <n v="1319.2608"/>
    <n v="0"/>
    <n v="0"/>
    <n v="0"/>
    <n v="0"/>
    <n v="28.371200000000002"/>
    <n v="0"/>
    <s v="Mexique"/>
    <s v="MX"/>
    <x v="54"/>
  </r>
  <r>
    <x v="3"/>
    <n v="1203.1162000000002"/>
    <n v="1309.5082"/>
    <n v="1309.5082"/>
    <n v="0"/>
    <n v="0"/>
    <n v="0"/>
    <n v="0"/>
    <n v="28.371200000000002"/>
    <n v="0"/>
    <s v="Mexique"/>
    <s v="MX"/>
    <x v="54"/>
  </r>
  <r>
    <x v="0"/>
    <n v="1383.096"/>
    <n v="2637.6350000000002"/>
    <n v="2637.6350000000002"/>
    <n v="0"/>
    <n v="0"/>
    <n v="0"/>
    <n v="0"/>
    <n v="0"/>
    <n v="128.55700000000002"/>
    <s v="Mozanbique"/>
    <s v="MZ"/>
    <x v="55"/>
  </r>
  <r>
    <x v="1"/>
    <n v="1538.2510000000002"/>
    <n v="2770.625"/>
    <n v="2770.625"/>
    <n v="0"/>
    <n v="0"/>
    <n v="0"/>
    <n v="0"/>
    <n v="0"/>
    <n v="128.55700000000002"/>
    <s v="Mozanbique"/>
    <s v="MZ"/>
    <x v="55"/>
  </r>
  <r>
    <x v="2"/>
    <n v="1383.096"/>
    <n v="2637.6350000000002"/>
    <n v="2637.6350000000002"/>
    <n v="0"/>
    <n v="0"/>
    <n v="0"/>
    <n v="0"/>
    <n v="0"/>
    <n v="128.55700000000002"/>
    <s v="Mozanbique"/>
    <s v="MZ"/>
    <x v="55"/>
  </r>
  <r>
    <x v="3"/>
    <n v="1383.096"/>
    <n v="2460.3150000000001"/>
    <n v="2460.3150000000001"/>
    <n v="0"/>
    <n v="0"/>
    <n v="0"/>
    <n v="0"/>
    <n v="0"/>
    <n v="128.55700000000002"/>
    <s v="Mozanbique"/>
    <s v="MZ"/>
    <x v="55"/>
  </r>
  <r>
    <x v="1"/>
    <n v="1245"/>
    <n v="1620"/>
    <n v="1620"/>
    <n v="0"/>
    <n v="0"/>
    <n v="0"/>
    <n v="0"/>
    <n v="0"/>
    <n v="105.6"/>
    <s v="Norvege"/>
    <s v="NO"/>
    <x v="56"/>
  </r>
  <r>
    <x v="1"/>
    <n v="1244"/>
    <n v="1619"/>
    <n v="1619"/>
    <n v="0"/>
    <n v="0"/>
    <n v="0"/>
    <n v="0"/>
    <n v="0"/>
    <n v="105.6"/>
    <s v="Norvege"/>
    <s v="NO"/>
    <x v="57"/>
  </r>
  <r>
    <x v="1"/>
    <n v="1118.0026"/>
    <n v="1888.4580000000001"/>
    <n v="1888.4580000000001"/>
    <n v="0"/>
    <n v="0"/>
    <n v="0"/>
    <n v="0"/>
    <n v="42"/>
    <n v="300"/>
    <s v="Nouvelle-Zellande"/>
    <s v="NZ"/>
    <x v="58"/>
  </r>
  <r>
    <x v="0"/>
    <n v="943.34240000000011"/>
    <n v="1267.838"/>
    <n v="1267.838"/>
    <n v="0"/>
    <n v="0"/>
    <n v="0"/>
    <n v="0"/>
    <n v="0"/>
    <n v="125.39999999999999"/>
    <s v="Oman"/>
    <s v="OM"/>
    <x v="59"/>
  </r>
  <r>
    <x v="1"/>
    <n v="954.86820000000012"/>
    <n v="1355.6114"/>
    <n v="1355.6114"/>
    <n v="0"/>
    <n v="0"/>
    <n v="0"/>
    <n v="0"/>
    <n v="0"/>
    <n v="125.39999999999999"/>
    <s v="Oman"/>
    <s v="OM"/>
    <x v="59"/>
  </r>
  <r>
    <x v="2"/>
    <n v="1071.0128"/>
    <n v="1395.5084000000002"/>
    <n v="1395.5084000000002"/>
    <n v="0"/>
    <n v="0"/>
    <n v="0"/>
    <n v="0"/>
    <n v="0"/>
    <n v="125.39999999999999"/>
    <s v="Oman"/>
    <s v="OM"/>
    <x v="59"/>
  </r>
  <r>
    <x v="3"/>
    <n v="948.66200000000003"/>
    <n v="1273.1576"/>
    <n v="1273.1576"/>
    <n v="0"/>
    <n v="0"/>
    <n v="0"/>
    <n v="0"/>
    <n v="0"/>
    <n v="125.39999999999999"/>
    <s v="Oman"/>
    <s v="OM"/>
    <x v="59"/>
  </r>
  <r>
    <x v="1"/>
    <n v="743.8574000000001"/>
    <n v="916.74440000000004"/>
    <n v="916.74440000000004"/>
    <n v="0"/>
    <n v="0"/>
    <n v="0"/>
    <n v="0"/>
    <n v="0"/>
    <n v="115.25800000000001"/>
    <s v="Pakistant"/>
    <s v="PK"/>
    <x v="60"/>
  </r>
  <r>
    <x v="1"/>
    <n v="743.8574000000001"/>
    <n v="916.74440000000004"/>
    <n v="916.74440000000004"/>
    <n v="0"/>
    <n v="0"/>
    <n v="0"/>
    <n v="0"/>
    <n v="0"/>
    <n v="115.25800000000001"/>
    <s v="Pakistant"/>
    <s v="PK"/>
    <x v="61"/>
  </r>
  <r>
    <x v="0"/>
    <n v="1302"/>
    <n v="2038"/>
    <n v="2038"/>
    <n v="0"/>
    <n v="0"/>
    <n v="0"/>
    <n v="0"/>
    <n v="0"/>
    <n v="186.18600000000001"/>
    <s v="Panama"/>
    <s v="PA"/>
    <x v="62"/>
  </r>
  <r>
    <x v="1"/>
    <n v="1580"/>
    <n v="2018"/>
    <n v="2018"/>
    <n v="2000"/>
    <n v="1509"/>
    <n v="1509"/>
    <n v="2000"/>
    <n v="0"/>
    <n v="186.18600000000001"/>
    <s v="Panama"/>
    <s v="PA"/>
    <x v="62"/>
  </r>
  <r>
    <x v="2"/>
    <n v="1317"/>
    <n v="2053"/>
    <n v="2053"/>
    <n v="0"/>
    <n v="0"/>
    <n v="0"/>
    <n v="0"/>
    <n v="0"/>
    <n v="186.18600000000001"/>
    <s v="Panama"/>
    <s v="PA"/>
    <x v="62"/>
  </r>
  <r>
    <x v="3"/>
    <n v="1307"/>
    <n v="2043"/>
    <n v="2043"/>
    <n v="0"/>
    <n v="0"/>
    <n v="0"/>
    <n v="0"/>
    <n v="0"/>
    <n v="186.18600000000001"/>
    <s v="Panama"/>
    <s v="PA"/>
    <x v="62"/>
  </r>
  <r>
    <x v="0"/>
    <n v="1074"/>
    <n v="1764"/>
    <n v="1764"/>
    <n v="0"/>
    <n v="0"/>
    <n v="0"/>
    <n v="0"/>
    <n v="0"/>
    <n v="88.660000000000011"/>
    <s v="Pérou"/>
    <s v="PE"/>
    <x v="63"/>
  </r>
  <r>
    <x v="1"/>
    <n v="1485"/>
    <n v="2349"/>
    <n v="2349"/>
    <n v="2749"/>
    <n v="1785"/>
    <n v="1785"/>
    <n v="2749"/>
    <n v="0"/>
    <n v="88.660000000000011"/>
    <s v="Pérou"/>
    <s v="PE"/>
    <x v="63"/>
  </r>
  <r>
    <x v="2"/>
    <n v="1089"/>
    <n v="1779"/>
    <n v="1779"/>
    <n v="0"/>
    <n v="0"/>
    <n v="0"/>
    <n v="0"/>
    <n v="0"/>
    <n v="88.660000000000011"/>
    <s v="Pérou"/>
    <s v="PE"/>
    <x v="63"/>
  </r>
  <r>
    <x v="3"/>
    <n v="1079"/>
    <n v="1769"/>
    <n v="1769"/>
    <n v="0"/>
    <n v="0"/>
    <n v="0"/>
    <n v="0"/>
    <n v="0"/>
    <n v="88.660000000000011"/>
    <s v="Pérou"/>
    <s v="PE"/>
    <x v="63"/>
  </r>
  <r>
    <x v="0"/>
    <n v="1052"/>
    <n v="1760"/>
    <n v="1760"/>
    <n v="0"/>
    <n v="0"/>
    <n v="0"/>
    <n v="0"/>
    <n v="0"/>
    <n v="70.927999999999997"/>
    <s v="Pérou"/>
    <s v="PE"/>
    <x v="64"/>
  </r>
  <r>
    <x v="1"/>
    <n v="1463"/>
    <n v="2344"/>
    <n v="2344"/>
    <n v="2744"/>
    <n v="1723"/>
    <n v="1763"/>
    <n v="2744"/>
    <n v="0"/>
    <n v="70.927999999999997"/>
    <s v="Pérou"/>
    <s v="PE"/>
    <x v="64"/>
  </r>
  <r>
    <x v="2"/>
    <n v="1067"/>
    <n v="1775"/>
    <n v="1775"/>
    <n v="0"/>
    <n v="0"/>
    <n v="0"/>
    <n v="0"/>
    <n v="0"/>
    <n v="70.927999999999997"/>
    <s v="Pérou"/>
    <s v="PE"/>
    <x v="64"/>
  </r>
  <r>
    <x v="3"/>
    <n v="1057"/>
    <n v="1765"/>
    <n v="1765"/>
    <n v="0"/>
    <n v="0"/>
    <n v="0"/>
    <n v="0"/>
    <n v="0"/>
    <n v="70.927999999999997"/>
    <s v="Pérou"/>
    <s v="PE"/>
    <x v="64"/>
  </r>
  <r>
    <x v="2"/>
    <m/>
    <m/>
    <m/>
    <n v="0"/>
    <n v="0"/>
    <n v="0"/>
    <n v="0"/>
    <m/>
    <m/>
    <s v="Russie"/>
    <s v="RU"/>
    <x v="65"/>
  </r>
  <r>
    <x v="3"/>
    <m/>
    <m/>
    <m/>
    <n v="0"/>
    <n v="0"/>
    <n v="0"/>
    <n v="0"/>
    <m/>
    <m/>
    <s v="Russie"/>
    <s v="RU"/>
    <x v="65"/>
  </r>
  <r>
    <x v="0"/>
    <n v="1389.3022000000001"/>
    <n v="2001.0562000000002"/>
    <n v="2688.1712000000002"/>
    <n v="0"/>
    <n v="0"/>
    <n v="0"/>
    <n v="0"/>
    <n v="0"/>
    <n v="177.32000000000002"/>
    <s v="Philippines"/>
    <s v="PH"/>
    <x v="66"/>
  </r>
  <r>
    <x v="1"/>
    <n v="1068.3530000000001"/>
    <n v="1419.4466"/>
    <n v="1626"/>
    <n v="0"/>
    <n v="0"/>
    <n v="0"/>
    <n v="0"/>
    <n v="0"/>
    <n v="177.32000000000002"/>
    <s v="Philippines"/>
    <s v="PH"/>
    <x v="66"/>
  </r>
  <r>
    <x v="2"/>
    <n v="1404.3744000000002"/>
    <n v="2016.1284000000001"/>
    <n v="2038.2934"/>
    <n v="0"/>
    <n v="0"/>
    <n v="0"/>
    <n v="0"/>
    <n v="0"/>
    <n v="177.32000000000002"/>
    <s v="Philippines"/>
    <s v="PH"/>
    <x v="66"/>
  </r>
  <r>
    <x v="3"/>
    <n v="1394.6218000000001"/>
    <n v="2005.4892000000002"/>
    <n v="2027.6542000000002"/>
    <n v="0"/>
    <n v="0"/>
    <n v="0"/>
    <n v="0"/>
    <n v="0"/>
    <n v="177.32000000000002"/>
    <s v="Philippines"/>
    <s v="PH"/>
    <x v="66"/>
  </r>
  <r>
    <x v="0"/>
    <n v="1626"/>
    <n v="2569"/>
    <n v="2569"/>
    <n v="0"/>
    <n v="0"/>
    <n v="0"/>
    <n v="0"/>
    <n v="28.371200000000002"/>
    <n v="141.85599999999999"/>
    <s v="Puerto Rico"/>
    <s v="PR"/>
    <x v="67"/>
  </r>
  <r>
    <x v="1"/>
    <n v="1440"/>
    <n v="1768"/>
    <n v="1670"/>
    <n v="2168"/>
    <n v="1740"/>
    <n v="1740"/>
    <n v="2168"/>
    <n v="28.371200000000002"/>
    <n v="141.85599999999999"/>
    <s v="Puerto Rico"/>
    <s v="PR"/>
    <x v="67"/>
  </r>
  <r>
    <x v="2"/>
    <n v="1641"/>
    <n v="2584"/>
    <n v="2584"/>
    <n v="0"/>
    <n v="0"/>
    <n v="0"/>
    <n v="0"/>
    <n v="28.371200000000002"/>
    <n v="141.85599999999999"/>
    <s v="Puerto Rico"/>
    <s v="PR"/>
    <x v="67"/>
  </r>
  <r>
    <x v="3"/>
    <n v="1631"/>
    <n v="2574"/>
    <n v="2574"/>
    <n v="0"/>
    <n v="0"/>
    <n v="0"/>
    <n v="0"/>
    <n v="28.371200000000002"/>
    <n v="141.85599999999999"/>
    <s v="Puerto Rico"/>
    <s v="PR"/>
    <x v="67"/>
  </r>
  <r>
    <x v="0"/>
    <n v="1172"/>
    <n v="1607"/>
    <n v="1607"/>
    <n v="0"/>
    <n v="0"/>
    <n v="0"/>
    <n v="0"/>
    <n v="0"/>
    <n v="150.72200000000001"/>
    <s v="Russie"/>
    <s v="RU"/>
    <x v="68"/>
  </r>
  <r>
    <x v="1"/>
    <n v="1327"/>
    <n v="1912"/>
    <n v="1912"/>
    <n v="0"/>
    <n v="0"/>
    <n v="0"/>
    <n v="0"/>
    <n v="0"/>
    <n v="150.72200000000001"/>
    <s v="Russie"/>
    <s v="RU"/>
    <x v="68"/>
  </r>
  <r>
    <x v="2"/>
    <n v="1087"/>
    <n v="1472"/>
    <n v="1472"/>
    <n v="0"/>
    <n v="0"/>
    <n v="0"/>
    <n v="0"/>
    <n v="0"/>
    <n v="150.72200000000001"/>
    <s v="Russie"/>
    <s v="RU"/>
    <x v="68"/>
  </r>
  <r>
    <x v="3"/>
    <n v="1177"/>
    <n v="1612"/>
    <n v="1612"/>
    <n v="0"/>
    <n v="0"/>
    <n v="0"/>
    <n v="0"/>
    <n v="0"/>
    <n v="150.72200000000001"/>
    <s v="Russie"/>
    <s v="RU"/>
    <x v="68"/>
  </r>
  <r>
    <x v="0"/>
    <n v="872"/>
    <n v="997"/>
    <n v="997"/>
    <n v="0"/>
    <n v="0"/>
    <n v="0"/>
    <n v="0"/>
    <n v="0"/>
    <n v="385.67100000000005"/>
    <s v="Russie"/>
    <s v="RU"/>
    <x v="69"/>
  </r>
  <r>
    <x v="1"/>
    <n v="1327"/>
    <n v="1777"/>
    <n v="1777"/>
    <n v="0"/>
    <n v="0"/>
    <n v="0"/>
    <n v="0"/>
    <n v="0"/>
    <n v="385.67100000000005"/>
    <s v="Russie"/>
    <s v="RU"/>
    <x v="69"/>
  </r>
  <r>
    <x v="2"/>
    <n v="888"/>
    <n v="1013"/>
    <n v="1013"/>
    <n v="0"/>
    <n v="0"/>
    <n v="0"/>
    <n v="0"/>
    <n v="0"/>
    <n v="385.67100000000005"/>
    <s v="Russie"/>
    <s v="RU"/>
    <x v="69"/>
  </r>
  <r>
    <x v="3"/>
    <n v="1003"/>
    <n v="1150"/>
    <n v="1150"/>
    <n v="0"/>
    <n v="0"/>
    <n v="0"/>
    <n v="0"/>
    <n v="0"/>
    <n v="385.67100000000005"/>
    <s v="Russie"/>
    <s v="RU"/>
    <x v="69"/>
  </r>
  <r>
    <x v="0"/>
    <n v="994"/>
    <n v="1119"/>
    <n v="1119"/>
    <n v="0"/>
    <n v="0"/>
    <n v="0"/>
    <n v="0"/>
    <n v="0"/>
    <n v="305.87700000000001"/>
    <s v="Russie"/>
    <s v="RU"/>
    <x v="70"/>
  </r>
  <r>
    <x v="1"/>
    <n v="1248"/>
    <n v="1698"/>
    <n v="1698"/>
    <n v="0"/>
    <n v="0"/>
    <n v="0"/>
    <n v="0"/>
    <n v="0"/>
    <n v="305.87700000000001"/>
    <s v="Russie"/>
    <s v="RU"/>
    <x v="70"/>
  </r>
  <r>
    <x v="2"/>
    <n v="809"/>
    <n v="934"/>
    <n v="934"/>
    <n v="0"/>
    <n v="0"/>
    <n v="0"/>
    <n v="0"/>
    <n v="0"/>
    <n v="305.87700000000001"/>
    <s v="Russie"/>
    <s v="RU"/>
    <x v="70"/>
  </r>
  <r>
    <x v="3"/>
    <n v="924"/>
    <n v="1074"/>
    <n v="1074"/>
    <n v="0"/>
    <n v="0"/>
    <n v="0"/>
    <n v="0"/>
    <n v="0"/>
    <n v="305.87700000000001"/>
    <s v="Russie"/>
    <s v="RU"/>
    <x v="70"/>
  </r>
  <r>
    <x v="0"/>
    <n v="1538.2510000000002"/>
    <n v="2428.3974000000003"/>
    <n v="2428.3974000000003"/>
    <n v="0"/>
    <n v="0"/>
    <n v="0"/>
    <n v="0"/>
    <n v="0"/>
    <n v="243.81500000000003"/>
    <s v="Russie"/>
    <s v="RU"/>
    <x v="71"/>
  </r>
  <r>
    <x v="1"/>
    <n v="1323.6938"/>
    <n v="2173.9432000000002"/>
    <n v="2173.9432000000002"/>
    <n v="0"/>
    <n v="0"/>
    <n v="0"/>
    <n v="0"/>
    <n v="0"/>
    <n v="243.81500000000003"/>
    <s v="Russie"/>
    <s v="RU"/>
    <x v="71"/>
  </r>
  <r>
    <x v="2"/>
    <n v="1553.3232"/>
    <n v="2443.4696000000004"/>
    <n v="2443.4696000000004"/>
    <n v="0"/>
    <n v="0"/>
    <n v="0"/>
    <n v="0"/>
    <n v="0"/>
    <n v="243.81500000000003"/>
    <s v="Russie"/>
    <s v="RU"/>
    <x v="71"/>
  </r>
  <r>
    <x v="3"/>
    <n v="1543.5706"/>
    <n v="2432.8304000000003"/>
    <n v="2432.8304000000003"/>
    <n v="0"/>
    <n v="0"/>
    <n v="0"/>
    <n v="0"/>
    <n v="0"/>
    <n v="243.81500000000003"/>
    <s v="Russie"/>
    <s v="RU"/>
    <x v="71"/>
  </r>
  <r>
    <x v="0"/>
    <n v="1538.2510000000002"/>
    <n v="2428.3974000000003"/>
    <n v="2428.3974000000003"/>
    <n v="0"/>
    <n v="0"/>
    <n v="0"/>
    <n v="0"/>
    <n v="0"/>
    <n v="239.38200000000001"/>
    <s v="Russie"/>
    <s v="RU"/>
    <x v="72"/>
  </r>
  <r>
    <x v="1"/>
    <n v="1323.6938"/>
    <n v="2173.9432000000002"/>
    <n v="2173.9432000000002"/>
    <n v="0"/>
    <n v="0"/>
    <n v="0"/>
    <n v="0"/>
    <n v="0"/>
    <n v="239.38200000000001"/>
    <s v="Russie"/>
    <s v="RU"/>
    <x v="72"/>
  </r>
  <r>
    <x v="2"/>
    <n v="1553.3232"/>
    <n v="2443.4696000000004"/>
    <n v="2443.4696000000004"/>
    <n v="0"/>
    <n v="0"/>
    <n v="0"/>
    <n v="0"/>
    <n v="0"/>
    <n v="239.38200000000001"/>
    <s v="Russie"/>
    <s v="RU"/>
    <x v="72"/>
  </r>
  <r>
    <x v="3"/>
    <n v="1543.5706"/>
    <n v="2432.8304000000003"/>
    <n v="2432.8304000000003"/>
    <n v="0"/>
    <n v="0"/>
    <n v="0"/>
    <n v="0"/>
    <n v="0"/>
    <n v="239.38200000000001"/>
    <s v="Russie"/>
    <s v="RU"/>
    <x v="72"/>
  </r>
  <r>
    <x v="0"/>
    <n v="758.92960000000005"/>
    <n v="979.6930000000001"/>
    <n v="1644.643"/>
    <n v="0"/>
    <n v="0"/>
    <n v="0"/>
    <n v="0"/>
    <n v="0"/>
    <n v="188.5"/>
    <s v="Singapour"/>
    <s v="SG"/>
    <x v="73"/>
  </r>
  <r>
    <x v="1"/>
    <n v="680.90880000000004"/>
    <n v="842.2700000000001"/>
    <n v="842.2700000000001"/>
    <n v="0"/>
    <n v="0"/>
    <n v="0"/>
    <n v="0"/>
    <n v="0"/>
    <n v="188.5"/>
    <s v="Singapour"/>
    <s v="SG"/>
    <x v="73"/>
  </r>
  <r>
    <x v="2"/>
    <n v="774.0018"/>
    <n v="994.76520000000005"/>
    <n v="994.76520000000005"/>
    <n v="0"/>
    <n v="0"/>
    <n v="0"/>
    <n v="0"/>
    <n v="0"/>
    <n v="188.5"/>
    <s v="Singapour"/>
    <s v="SG"/>
    <x v="73"/>
  </r>
  <r>
    <x v="3"/>
    <n v="763.36260000000004"/>
    <n v="985.01260000000002"/>
    <n v="985.01260000000002"/>
    <n v="0"/>
    <n v="0"/>
    <n v="0"/>
    <n v="0"/>
    <n v="0"/>
    <n v="188.5"/>
    <s v="Singapour"/>
    <s v="SG"/>
    <x v="73"/>
  </r>
  <r>
    <x v="0"/>
    <n v="992.10540000000003"/>
    <n v="1378.663"/>
    <n v="2043.6130000000001"/>
    <n v="0"/>
    <n v="0"/>
    <n v="0"/>
    <n v="0"/>
    <n v="0"/>
    <n v="189"/>
    <s v="Taiwan"/>
    <s v="TW"/>
    <x v="74"/>
  </r>
  <r>
    <x v="1"/>
    <n v="758.92960000000005"/>
    <n v="885.71340000000009"/>
    <n v="909.65160000000003"/>
    <n v="0"/>
    <n v="0"/>
    <n v="0"/>
    <n v="0"/>
    <n v="0"/>
    <n v="189"/>
    <s v="Taiwan"/>
    <s v="TW"/>
    <x v="74"/>
  </r>
  <r>
    <x v="2"/>
    <n v="1007.1776000000001"/>
    <n v="1393.7352000000001"/>
    <n v="1393.7352000000001"/>
    <n v="0"/>
    <n v="0"/>
    <n v="0"/>
    <n v="0"/>
    <n v="0"/>
    <n v="189"/>
    <s v="Taiwan"/>
    <s v="TW"/>
    <x v="74"/>
  </r>
  <r>
    <x v="3"/>
    <n v="997.42500000000007"/>
    <n v="1383.9826"/>
    <n v="1383.9826"/>
    <n v="0"/>
    <n v="0"/>
    <n v="0"/>
    <n v="0"/>
    <n v="0"/>
    <n v="189"/>
    <s v="Taiwan"/>
    <s v="TW"/>
    <x v="74"/>
  </r>
  <r>
    <x v="0"/>
    <n v="1462.89"/>
    <n v="2615.4700000000003"/>
    <n v="2615.4700000000003"/>
    <n v="0"/>
    <n v="0"/>
    <n v="0"/>
    <n v="0"/>
    <n v="0"/>
    <n v="0"/>
    <s v="Tanzanie"/>
    <s v="TZ"/>
    <x v="75"/>
  </r>
  <r>
    <x v="1"/>
    <n v="1241.24"/>
    <n v="2216.5"/>
    <n v="2216.5"/>
    <n v="0"/>
    <n v="0"/>
    <n v="0"/>
    <n v="0"/>
    <n v="0"/>
    <n v="0"/>
    <s v="Tanzanie"/>
    <s v="TZ"/>
    <x v="75"/>
  </r>
  <r>
    <x v="2"/>
    <n v="1485.0550000000001"/>
    <n v="2659.8"/>
    <n v="2659.8"/>
    <n v="0"/>
    <n v="0"/>
    <n v="0"/>
    <n v="0"/>
    <n v="0"/>
    <n v="0"/>
    <s v="Tanzanie"/>
    <s v="TZ"/>
    <x v="75"/>
  </r>
  <r>
    <x v="3"/>
    <n v="1263.405"/>
    <n v="2260.83"/>
    <n v="2260.83"/>
    <n v="0"/>
    <n v="0"/>
    <n v="0"/>
    <n v="0"/>
    <n v="0"/>
    <n v="0"/>
    <s v="Tanzanie"/>
    <s v="TZ"/>
    <x v="75"/>
  </r>
  <r>
    <x v="0"/>
    <n v="793.50700000000006"/>
    <n v="1196.9100000000001"/>
    <n v="1874.2724000000001"/>
    <n v="0"/>
    <n v="0"/>
    <n v="0"/>
    <n v="0"/>
    <n v="0"/>
    <n v="100"/>
    <s v="Thailande"/>
    <s v="TH"/>
    <x v="76"/>
  </r>
  <r>
    <x v="1"/>
    <n v="627.71280000000002"/>
    <n v="660.51700000000005"/>
    <n v="672.92939999999999"/>
    <n v="0"/>
    <n v="0"/>
    <n v="0"/>
    <n v="0"/>
    <n v="0"/>
    <n v="100"/>
    <s v="Thailande"/>
    <s v="TH"/>
    <x v="76"/>
  </r>
  <r>
    <x v="2"/>
    <n v="808.57920000000001"/>
    <n v="1211.9822000000001"/>
    <n v="1224.3946000000001"/>
    <n v="0"/>
    <n v="0"/>
    <n v="0"/>
    <n v="0"/>
    <n v="0"/>
    <n v="100"/>
    <s v="Thailande"/>
    <s v="TH"/>
    <x v="76"/>
  </r>
  <r>
    <x v="3"/>
    <n v="798.8266000000001"/>
    <n v="1202.2296000000001"/>
    <n v="1214.6420000000001"/>
    <n v="0"/>
    <n v="0"/>
    <n v="0"/>
    <n v="0"/>
    <n v="0"/>
    <n v="100"/>
    <s v="Thailande"/>
    <s v="TH"/>
    <x v="76"/>
  </r>
  <r>
    <x v="0"/>
    <n v="0"/>
    <n v="0"/>
    <n v="0"/>
    <n v="2172.17"/>
    <n v="1431.8590000000002"/>
    <n v="1431.8590000000002"/>
    <n v="2287.4280000000003"/>
    <n v="28.371200000000002"/>
    <n v="487.63000000000005"/>
    <s v="USA (est)"/>
    <s v="US"/>
    <x v="77"/>
  </r>
  <r>
    <x v="1"/>
    <n v="1628.6842000000001"/>
    <n v="2098.5822000000003"/>
    <n v="2098.5822000000003"/>
    <n v="0"/>
    <n v="0"/>
    <n v="0"/>
    <n v="0"/>
    <n v="28.371200000000002"/>
    <n v="487.63000000000005"/>
    <s v="USA (est)"/>
    <s v="US"/>
    <x v="77"/>
  </r>
  <r>
    <x v="2"/>
    <n v="0"/>
    <n v="0"/>
    <n v="0"/>
    <n v="3262.6880000000001"/>
    <n v="2495.779"/>
    <n v="2438.15"/>
    <n v="3262.6880000000001"/>
    <n v="28.371200000000002"/>
    <n v="487.63000000000005"/>
    <s v="USA (est)"/>
    <s v="US"/>
    <x v="77"/>
  </r>
  <r>
    <x v="3"/>
    <n v="0"/>
    <n v="0"/>
    <n v="0"/>
    <n v="3262.6880000000001"/>
    <n v="2495.779"/>
    <n v="2495.779"/>
    <n v="3262.6880000000001"/>
    <n v="28.371200000000002"/>
    <n v="487.63000000000005"/>
    <s v="USA (est)"/>
    <s v="US"/>
    <x v="77"/>
  </r>
  <r>
    <x v="0"/>
    <n v="0"/>
    <n v="0"/>
    <n v="0"/>
    <n v="3262.6880000000001"/>
    <n v="2495.779"/>
    <n v="2495.779"/>
    <n v="3262.6880000000001"/>
    <n v="28.371200000000002"/>
    <n v="531.96"/>
    <s v="USA (est)"/>
    <s v="US"/>
    <x v="78"/>
  </r>
  <r>
    <x v="1"/>
    <n v="1619.8182000000002"/>
    <n v="2080.8502000000003"/>
    <n v="2080.8502000000003"/>
    <n v="0"/>
    <n v="0"/>
    <n v="0"/>
    <n v="0"/>
    <n v="28.371200000000002"/>
    <n v="531.96"/>
    <s v="USA (est)"/>
    <s v="US"/>
    <x v="78"/>
  </r>
  <r>
    <x v="2"/>
    <n v="0"/>
    <n v="0"/>
    <n v="0"/>
    <n v="3262.6880000000001"/>
    <n v="2495.779"/>
    <n v="2495.779"/>
    <n v="3262.6880000000001"/>
    <n v="28.371200000000002"/>
    <n v="531.96"/>
    <s v="USA (est)"/>
    <s v="US"/>
    <x v="78"/>
  </r>
  <r>
    <x v="3"/>
    <n v="0"/>
    <n v="0"/>
    <n v="0"/>
    <n v="3262.6880000000001"/>
    <n v="2495.779"/>
    <n v="2495.779"/>
    <n v="3262.6880000000001"/>
    <n v="28.371200000000002"/>
    <n v="531.96"/>
    <s v="USA (est)"/>
    <s v="US"/>
    <x v="78"/>
  </r>
  <r>
    <x v="0"/>
    <n v="0"/>
    <n v="0"/>
    <n v="0"/>
    <n v="3059.6566000000003"/>
    <n v="2393.8200000000002"/>
    <n v="2792.79"/>
    <n v="3059.6566000000003"/>
    <n v="28.371200000000002"/>
    <n v="531.96"/>
    <s v="USA (est)"/>
    <s v="US"/>
    <x v="79"/>
  </r>
  <r>
    <x v="1"/>
    <n v="1477.9622000000002"/>
    <n v="1943.4272000000001"/>
    <n v="1943.4272000000001"/>
    <n v="0"/>
    <n v="0"/>
    <n v="0"/>
    <n v="0"/>
    <n v="28.371200000000002"/>
    <n v="531.96"/>
    <s v="USA (est)"/>
    <s v="US"/>
    <x v="79"/>
  </r>
  <r>
    <x v="2"/>
    <n v="0"/>
    <n v="0"/>
    <n v="0"/>
    <n v="3059.6566000000003"/>
    <n v="2393.8200000000002"/>
    <n v="2393.8200000000002"/>
    <n v="3059.6566000000003"/>
    <n v="28.371200000000002"/>
    <n v="531.96"/>
    <s v="USA (est)"/>
    <s v="US"/>
    <x v="79"/>
  </r>
  <r>
    <x v="3"/>
    <n v="0"/>
    <n v="0"/>
    <n v="0"/>
    <n v="3059.6566000000003"/>
    <n v="2393.8200000000002"/>
    <n v="2393.8200000000002"/>
    <n v="3059.6566000000003"/>
    <n v="28.371200000000002"/>
    <n v="531.96"/>
    <s v="USA (est)"/>
    <s v="US"/>
    <x v="79"/>
  </r>
  <r>
    <x v="0"/>
    <n v="0"/>
    <n v="0"/>
    <n v="0"/>
    <n v="3322.9768000000004"/>
    <n v="2556.0678000000003"/>
    <n v="2556.0678000000003"/>
    <n v="3322.9768000000004"/>
    <n v="28.371200000000002"/>
    <n v="531.96"/>
    <s v="USA (est)"/>
    <s v="US"/>
    <x v="80"/>
  </r>
  <r>
    <x v="1"/>
    <n v="1631.3440000000001"/>
    <n v="2101.2420000000002"/>
    <n v="2101.2420000000002"/>
    <n v="0"/>
    <n v="0"/>
    <n v="0"/>
    <n v="0"/>
    <n v="28.371200000000002"/>
    <n v="531.96"/>
    <s v="USA (est)"/>
    <s v="US"/>
    <x v="80"/>
  </r>
  <r>
    <x v="2"/>
    <n v="0"/>
    <n v="0"/>
    <n v="0"/>
    <n v="3322.9768000000004"/>
    <n v="2556.0678000000003"/>
    <n v="2556.0678000000003"/>
    <n v="3322.9768000000004"/>
    <n v="28.371200000000002"/>
    <n v="531.96"/>
    <s v="USA (est)"/>
    <s v="US"/>
    <x v="80"/>
  </r>
  <r>
    <x v="3"/>
    <n v="0"/>
    <n v="0"/>
    <n v="0"/>
    <n v="3322.9768000000004"/>
    <n v="2556.0678000000003"/>
    <n v="2556.0678000000003"/>
    <n v="3322.9768000000004"/>
    <n v="28.371200000000002"/>
    <n v="531.96"/>
    <s v="USA (est)"/>
    <s v="US"/>
    <x v="80"/>
  </r>
  <r>
    <x v="0"/>
    <n v="0"/>
    <n v="0"/>
    <n v="0"/>
    <n v="3262.6880000000001"/>
    <n v="2495.779"/>
    <n v="2495.779"/>
    <n v="3262.6880000000001"/>
    <n v="28.371200000000002"/>
    <n v="531.96"/>
    <s v="USA (est)"/>
    <s v="US"/>
    <x v="81"/>
  </r>
  <r>
    <x v="1"/>
    <n v="1473.5292000000002"/>
    <n v="1934.5612000000001"/>
    <n v="1934.5612000000001"/>
    <n v="0"/>
    <n v="0"/>
    <n v="0"/>
    <n v="0"/>
    <n v="28.371200000000002"/>
    <n v="531.96"/>
    <s v="USA (est)"/>
    <s v="US"/>
    <x v="81"/>
  </r>
  <r>
    <x v="2"/>
    <n v="0"/>
    <n v="0"/>
    <n v="0"/>
    <n v="3262.6880000000001"/>
    <n v="2495.779"/>
    <n v="2495.779"/>
    <n v="3262.6880000000001"/>
    <n v="28.371200000000002"/>
    <n v="531.96"/>
    <s v="USA (est)"/>
    <s v="US"/>
    <x v="81"/>
  </r>
  <r>
    <x v="3"/>
    <n v="0"/>
    <n v="0"/>
    <n v="0"/>
    <n v="3262.6880000000001"/>
    <n v="2495.779"/>
    <n v="2495.779"/>
    <n v="3262.6880000000001"/>
    <n v="28.371200000000002"/>
    <n v="531.96"/>
    <s v="USA (est)"/>
    <s v="US"/>
    <x v="81"/>
  </r>
  <r>
    <x v="0"/>
    <n v="1789"/>
    <n v="2733"/>
    <n v="2733"/>
    <n v="0"/>
    <n v="0"/>
    <n v="0"/>
    <n v="0"/>
    <n v="0"/>
    <n v="283.71199999999999"/>
    <s v="Venezuela"/>
    <s v="VE"/>
    <x v="82"/>
  </r>
  <r>
    <x v="1"/>
    <n v="1749"/>
    <n v="2440"/>
    <n v="2440"/>
    <n v="3840"/>
    <n v="2449"/>
    <n v="2149"/>
    <n v="3040"/>
    <n v="0"/>
    <n v="283.71199999999999"/>
    <s v="Venezuela"/>
    <s v="VE"/>
    <x v="82"/>
  </r>
  <r>
    <x v="2"/>
    <n v="1904"/>
    <n v="2848"/>
    <n v="2848"/>
    <n v="0"/>
    <n v="0"/>
    <n v="0"/>
    <n v="0"/>
    <n v="0"/>
    <n v="283.71199999999999"/>
    <s v="Venezuela"/>
    <s v="VE"/>
    <x v="82"/>
  </r>
  <r>
    <x v="3"/>
    <n v="1894"/>
    <n v="2838"/>
    <n v="2838"/>
    <n v="0"/>
    <n v="0"/>
    <n v="0"/>
    <n v="0"/>
    <n v="0"/>
    <n v="283.71199999999999"/>
    <s v="Venezuela"/>
    <s v="VE"/>
    <x v="82"/>
  </r>
  <r>
    <x v="0"/>
    <n v="912.31140000000005"/>
    <n v="1388.4156"/>
    <n v="2053.3656000000001"/>
    <n v="0"/>
    <n v="0"/>
    <n v="0"/>
    <n v="0"/>
    <n v="0"/>
    <n v="110.682"/>
    <s v="Vietnam"/>
    <s v="VN"/>
    <x v="83"/>
  </r>
  <r>
    <x v="1"/>
    <n v="724.35220000000004"/>
    <n v="940.68260000000009"/>
    <n v="940.68260000000009"/>
    <n v="0"/>
    <n v="0"/>
    <n v="0"/>
    <n v="0"/>
    <n v="0"/>
    <n v="110.682"/>
    <s v="Vietnam"/>
    <s v="VN"/>
    <x v="83"/>
  </r>
  <r>
    <x v="2"/>
    <n v="927.3836"/>
    <n v="1403.4878000000001"/>
    <n v="1403.4878000000001"/>
    <n v="0"/>
    <n v="0"/>
    <n v="0"/>
    <n v="0"/>
    <n v="0"/>
    <n v="110.682"/>
    <s v="Vietnam"/>
    <s v="VN"/>
    <x v="83"/>
  </r>
  <r>
    <x v="3"/>
    <n v="917.63100000000009"/>
    <n v="1393.7352000000001"/>
    <n v="1393.7352000000001"/>
    <n v="0"/>
    <n v="0"/>
    <n v="0"/>
    <n v="0"/>
    <n v="0"/>
    <n v="110.682"/>
    <s v="Vietnam"/>
    <s v="VN"/>
    <x v="83"/>
  </r>
  <r>
    <x v="0"/>
    <n v="823.65140000000008"/>
    <n v="1233.2606000000001"/>
    <n v="1898.2106000000001"/>
    <n v="0"/>
    <n v="0"/>
    <n v="0"/>
    <n v="0"/>
    <n v="0"/>
    <n v="110.682"/>
    <s v="Vietnam"/>
    <s v="VN"/>
    <x v="84"/>
  </r>
  <r>
    <x v="1"/>
    <n v="635.69220000000007"/>
    <n v="674.70260000000007"/>
    <n v="674.70260000000007"/>
    <n v="0"/>
    <n v="0"/>
    <n v="0"/>
    <n v="0"/>
    <n v="0"/>
    <n v="110.682"/>
    <s v="Vietnam"/>
    <s v="VN"/>
    <x v="84"/>
  </r>
  <r>
    <x v="2"/>
    <n v="838.72360000000003"/>
    <n v="1248.3328000000001"/>
    <n v="1248.3328000000001"/>
    <n v="0"/>
    <n v="0"/>
    <n v="0"/>
    <n v="0"/>
    <n v="0"/>
    <n v="110.682"/>
    <s v="Vietnam"/>
    <s v="VN"/>
    <x v="84"/>
  </r>
  <r>
    <x v="3"/>
    <n v="828.971"/>
    <n v="1238.5802000000001"/>
    <n v="1238.5802000000001"/>
    <n v="0"/>
    <n v="0"/>
    <n v="0"/>
    <n v="0"/>
    <n v="0"/>
    <n v="110.682"/>
    <s v="Vietnam"/>
    <s v="VN"/>
    <x v="84"/>
  </r>
  <r>
    <x v="0"/>
    <n v="2414.2118"/>
    <n v="4132.4426000000003"/>
    <n v="4132.4426000000003"/>
    <n v="0"/>
    <n v="0"/>
    <n v="0"/>
    <n v="0"/>
    <n v="0"/>
    <n v="0"/>
    <s v="Yemen"/>
    <s v="YE"/>
    <x v="85"/>
  </r>
  <r>
    <x v="1"/>
    <n v="2024.9944"/>
    <n v="3487.8844000000004"/>
    <n v="3487.8844000000004"/>
    <n v="0"/>
    <n v="0"/>
    <n v="0"/>
    <n v="0"/>
    <n v="0"/>
    <n v="0"/>
    <s v="Yemen"/>
    <s v="YE"/>
    <x v="85"/>
  </r>
  <r>
    <x v="2"/>
    <n v="2429.2840000000001"/>
    <n v="4147.5147999999999"/>
    <n v="4147.5147999999999"/>
    <n v="0"/>
    <n v="0"/>
    <n v="0"/>
    <n v="0"/>
    <n v="0"/>
    <n v="0"/>
    <s v="Yemen"/>
    <s v="YE"/>
    <x v="85"/>
  </r>
  <r>
    <x v="3"/>
    <n v="2419.5314000000003"/>
    <n v="4137.7622000000001"/>
    <n v="4137.7622000000001"/>
    <n v="0"/>
    <n v="0"/>
    <n v="0"/>
    <n v="0"/>
    <n v="0"/>
    <n v="0"/>
    <s v="Yemen"/>
    <s v="YE"/>
    <x v="8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:B13" firstHeaderRow="1" firstDataRow="1" firstDataCol="1" rowPageCount="2" colPageCount="1"/>
  <pivotFields count="13">
    <pivotField axis="axisPage" showAll="0">
      <items count="6">
        <item x="0"/>
        <item x="1"/>
        <item x="4"/>
        <item x="2"/>
        <item x="3"/>
        <item t="default"/>
      </items>
    </pivotField>
    <pivotField dataField="1" showAll="0"/>
    <pivotField dataField="1" showAll="0"/>
    <pivotField dataField="1" showAll="0"/>
    <pivotField dataField="1" numFmtId="1" showAll="0"/>
    <pivotField dataField="1" numFmtId="1" showAll="0"/>
    <pivotField dataField="1" numFmtId="1" showAll="0"/>
    <pivotField dataField="1" numFmtId="1" showAll="0"/>
    <pivotField dataField="1" showAll="0"/>
    <pivotField dataField="1" showAll="0"/>
    <pivotField showAll="0"/>
    <pivotField showAll="0"/>
    <pivotField axis="axisPage" showAll="0">
      <items count="87">
        <item x="22"/>
        <item x="4"/>
        <item x="85"/>
        <item x="30"/>
        <item x="23"/>
        <item x="58"/>
        <item x="44"/>
        <item x="76"/>
        <item x="32"/>
        <item x="56"/>
        <item x="5"/>
        <item x="18"/>
        <item x="2"/>
        <item x="28"/>
        <item x="64"/>
        <item x="38"/>
        <item x="17"/>
        <item x="0"/>
        <item x="19"/>
        <item x="52"/>
        <item x="6"/>
        <item x="31"/>
        <item x="83"/>
        <item x="39"/>
        <item x="34"/>
        <item x="84"/>
        <item x="14"/>
        <item x="77"/>
        <item x="29"/>
        <item x="13"/>
        <item x="41"/>
        <item x="1"/>
        <item x="68"/>
        <item x="60"/>
        <item x="45"/>
        <item x="35"/>
        <item x="24"/>
        <item x="42"/>
        <item x="66"/>
        <item x="53"/>
        <item x="62"/>
        <item x="7"/>
        <item x="78"/>
        <item x="46"/>
        <item x="20"/>
        <item x="55"/>
        <item x="47"/>
        <item x="65"/>
        <item x="79"/>
        <item x="80"/>
        <item x="57"/>
        <item x="63"/>
        <item x="25"/>
        <item x="26"/>
        <item x="51"/>
        <item x="61"/>
        <item x="21"/>
        <item x="82"/>
        <item x="37"/>
        <item x="16"/>
        <item x="36"/>
        <item x="10"/>
        <item x="11"/>
        <item x="69"/>
        <item x="59"/>
        <item x="9"/>
        <item x="67"/>
        <item x="81"/>
        <item x="15"/>
        <item x="73"/>
        <item x="43"/>
        <item x="8"/>
        <item x="74"/>
        <item x="27"/>
        <item x="48"/>
        <item x="49"/>
        <item x="50"/>
        <item x="70"/>
        <item x="33"/>
        <item x="12"/>
        <item x="54"/>
        <item x="40"/>
        <item x="71"/>
        <item x="72"/>
        <item x="75"/>
        <item x="3"/>
        <item t="default"/>
      </items>
    </pivotField>
  </pivotFields>
  <rowFields count="1">
    <field x="-2"/>
  </rowFields>
  <row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rowItems>
  <colItems count="1">
    <i/>
  </colItems>
  <pageFields count="2">
    <pageField fld="0" item="0" hier="-1"/>
    <pageField fld="12" item="42" hier="-1"/>
  </pageFields>
  <dataFields count="9">
    <dataField name="Somme de Coût 20' Standard (€)" fld="1" baseField="0" baseItem="34597984"/>
    <dataField name="Somme de Coût 40' Standard (€)" fld="2" baseField="0" baseItem="34597984"/>
    <dataField name="Somme de Cout 20' Open Top (€)" fld="5" baseField="0" baseItem="0"/>
    <dataField name="Somme de Cout 40' Open Top (€)" fld="4" baseField="0" baseItem="0"/>
    <dataField name="Somme de Coût 20' Flat Rack" fld="6" baseField="0" baseItem="0"/>
    <dataField name="Somme de Coût 40' Flat Rack" fld="7" baseField="0" baseItem="0"/>
    <dataField name="Somme de Coût 40' High Cube PalletWide (€)" fld="3" baseField="0" baseItem="34597984"/>
    <dataField name="Somme de Frais additionnel (€)" fld="8" baseField="0" baseItem="34597984"/>
    <dataField name="Somme de Dont - Frais de manutention arrivé" fld="9" baseField="0" baseItem="3459798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:B13" firstHeaderRow="1" firstDataRow="1" firstDataCol="1" rowPageCount="2" colPageCount="1"/>
  <pivotFields count="13">
    <pivotField axis="axisPage" showAll="0">
      <items count="6">
        <item x="0"/>
        <item x="1"/>
        <item x="4"/>
        <item x="2"/>
        <item x="3"/>
        <item t="default"/>
      </items>
    </pivotField>
    <pivotField dataField="1" showAll="0"/>
    <pivotField dataField="1" showAll="0"/>
    <pivotField dataField="1" showAll="0"/>
    <pivotField dataField="1" numFmtId="1" showAll="0"/>
    <pivotField dataField="1" numFmtId="1" showAll="0"/>
    <pivotField dataField="1" numFmtId="1" showAll="0"/>
    <pivotField dataField="1" numFmtId="1" showAll="0"/>
    <pivotField dataField="1" showAll="0"/>
    <pivotField dataField="1" showAll="0"/>
    <pivotField showAll="0"/>
    <pivotField showAll="0"/>
    <pivotField axis="axisPage" showAll="0">
      <items count="87">
        <item x="22"/>
        <item x="4"/>
        <item x="85"/>
        <item x="30"/>
        <item x="23"/>
        <item x="58"/>
        <item x="44"/>
        <item x="76"/>
        <item x="32"/>
        <item x="56"/>
        <item x="5"/>
        <item x="18"/>
        <item x="2"/>
        <item x="28"/>
        <item x="64"/>
        <item x="38"/>
        <item x="17"/>
        <item x="0"/>
        <item x="19"/>
        <item x="52"/>
        <item x="6"/>
        <item x="31"/>
        <item x="83"/>
        <item x="39"/>
        <item x="34"/>
        <item x="84"/>
        <item x="14"/>
        <item x="77"/>
        <item x="29"/>
        <item x="13"/>
        <item x="41"/>
        <item x="1"/>
        <item x="68"/>
        <item x="60"/>
        <item x="45"/>
        <item x="35"/>
        <item x="24"/>
        <item x="42"/>
        <item x="66"/>
        <item x="53"/>
        <item x="62"/>
        <item x="7"/>
        <item x="78"/>
        <item x="46"/>
        <item x="20"/>
        <item x="55"/>
        <item x="47"/>
        <item x="65"/>
        <item x="79"/>
        <item x="80"/>
        <item x="57"/>
        <item x="63"/>
        <item x="25"/>
        <item x="26"/>
        <item x="51"/>
        <item x="61"/>
        <item x="21"/>
        <item x="82"/>
        <item x="37"/>
        <item x="16"/>
        <item x="36"/>
        <item x="10"/>
        <item x="11"/>
        <item x="69"/>
        <item x="59"/>
        <item x="9"/>
        <item x="67"/>
        <item x="81"/>
        <item x="15"/>
        <item x="73"/>
        <item x="43"/>
        <item x="8"/>
        <item x="74"/>
        <item x="27"/>
        <item x="48"/>
        <item x="49"/>
        <item x="50"/>
        <item x="70"/>
        <item x="33"/>
        <item x="12"/>
        <item x="54"/>
        <item x="40"/>
        <item x="71"/>
        <item x="72"/>
        <item x="75"/>
        <item x="3"/>
        <item t="default"/>
      </items>
    </pivotField>
  </pivotFields>
  <rowFields count="1">
    <field x="-2"/>
  </rowFields>
  <row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rowItems>
  <colItems count="1">
    <i/>
  </colItems>
  <pageFields count="2">
    <pageField fld="0" item="0" hier="-1"/>
    <pageField fld="12" item="42" hier="-1"/>
  </pageFields>
  <dataFields count="9">
    <dataField name="Somme de Coût 20' Standard (€)" fld="1" baseField="0" baseItem="1568792"/>
    <dataField name="Somme de Coût 40' Standard (€)" fld="2" baseField="0" baseItem="1568792"/>
    <dataField name="Somme de Cout 20' Open Top (€)" fld="5" baseField="0" baseItem="0"/>
    <dataField name="Somme de Cout 40' Open Top (€)" fld="4" baseField="0" baseItem="0"/>
    <dataField name="Somme de Coût 20' Flat Rack" fld="6" baseField="0" baseItem="0"/>
    <dataField name="Somme de Coût 40' Flat Rack" fld="7" baseField="0" baseItem="0"/>
    <dataField name="Somme de Coût 40' High Cube PalletWide (€)" fld="3" baseField="0" baseItem="1568792"/>
    <dataField name="Somme de Frais additionnel (€)" fld="8" baseField="0" baseItem="1568792"/>
    <dataField name="Somme de Dont - Frais de manutention arrivé" fld="9" baseField="0" baseItem="156879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1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:B13" firstHeaderRow="1" firstDataRow="1" firstDataCol="1" rowPageCount="2" colPageCount="1"/>
  <pivotFields count="13">
    <pivotField axis="axisPage" showAll="0">
      <items count="6">
        <item x="0"/>
        <item x="1"/>
        <item x="4"/>
        <item x="2"/>
        <item x="3"/>
        <item t="default"/>
      </items>
    </pivotField>
    <pivotField dataField="1" showAll="0"/>
    <pivotField dataField="1" showAll="0"/>
    <pivotField dataField="1" showAll="0"/>
    <pivotField dataField="1" numFmtId="1" showAll="0"/>
    <pivotField dataField="1" numFmtId="1" showAll="0"/>
    <pivotField dataField="1" numFmtId="1" showAll="0"/>
    <pivotField dataField="1" numFmtId="1" showAll="0"/>
    <pivotField dataField="1" showAll="0"/>
    <pivotField dataField="1" showAll="0"/>
    <pivotField showAll="0"/>
    <pivotField showAll="0"/>
    <pivotField axis="axisPage" showAll="0">
      <items count="87">
        <item x="22"/>
        <item x="4"/>
        <item x="85"/>
        <item x="30"/>
        <item x="23"/>
        <item x="58"/>
        <item x="44"/>
        <item x="76"/>
        <item x="32"/>
        <item x="56"/>
        <item x="5"/>
        <item x="18"/>
        <item x="2"/>
        <item x="28"/>
        <item x="64"/>
        <item x="38"/>
        <item x="17"/>
        <item x="0"/>
        <item x="19"/>
        <item x="52"/>
        <item x="6"/>
        <item x="31"/>
        <item x="83"/>
        <item x="39"/>
        <item x="34"/>
        <item x="84"/>
        <item x="14"/>
        <item x="77"/>
        <item x="29"/>
        <item x="13"/>
        <item x="41"/>
        <item x="1"/>
        <item x="68"/>
        <item x="60"/>
        <item x="45"/>
        <item x="35"/>
        <item x="24"/>
        <item x="42"/>
        <item x="66"/>
        <item x="53"/>
        <item x="62"/>
        <item x="7"/>
        <item x="78"/>
        <item x="46"/>
        <item x="20"/>
        <item x="55"/>
        <item x="47"/>
        <item x="65"/>
        <item x="79"/>
        <item x="80"/>
        <item x="57"/>
        <item x="63"/>
        <item x="25"/>
        <item x="26"/>
        <item x="51"/>
        <item x="61"/>
        <item x="21"/>
        <item x="82"/>
        <item x="37"/>
        <item x="16"/>
        <item x="36"/>
        <item x="10"/>
        <item x="11"/>
        <item x="69"/>
        <item x="59"/>
        <item x="9"/>
        <item x="67"/>
        <item x="81"/>
        <item x="15"/>
        <item x="73"/>
        <item x="43"/>
        <item x="8"/>
        <item x="74"/>
        <item x="27"/>
        <item x="48"/>
        <item x="49"/>
        <item x="50"/>
        <item x="70"/>
        <item x="33"/>
        <item x="12"/>
        <item x="54"/>
        <item x="40"/>
        <item x="71"/>
        <item x="72"/>
        <item x="75"/>
        <item x="3"/>
        <item t="default"/>
      </items>
    </pivotField>
  </pivotFields>
  <rowFields count="1">
    <field x="-2"/>
  </rowFields>
  <row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rowItems>
  <colItems count="1">
    <i/>
  </colItems>
  <pageFields count="2">
    <pageField fld="0" item="1" hier="-1"/>
    <pageField fld="12" item="17" hier="-1"/>
  </pageFields>
  <dataFields count="9">
    <dataField name="Somme de Coût 20' Standard (€)" fld="1" baseField="0" baseItem="1568792"/>
    <dataField name="Somme de Coût 40' Standard (€)" fld="2" baseField="0" baseItem="1568792"/>
    <dataField name="Somme de Cout 20' Open Top (€)" fld="5" baseField="0" baseItem="0"/>
    <dataField name="Somme de Cout 40' Open Top (€)" fld="4" baseField="0" baseItem="0"/>
    <dataField name="Somme de Coût 20' Flat Rack" fld="6" baseField="0" baseItem="0"/>
    <dataField name="Somme de Coût 40' Flat Rack" fld="7" baseField="0" baseItem="0"/>
    <dataField name="Somme de Coût 40' High Cube PalletWide (€)" fld="3" baseField="0" baseItem="1568792"/>
    <dataField name="Somme de Frais additionnel (€)" fld="8" baseField="0" baseItem="1568792"/>
    <dataField name="Somme de Dont - Frais de manutention arrivé" fld="9" baseField="0" baseItem="156879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Referentiel-de-prix-de-revient" connectionId="1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Referentiel-prix-de-revient" connectionId="2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http://www.x-rates.com/calculator/?from=THB&amp;to=EUR&amp;amount=1" TargetMode="External"/><Relationship Id="rId13" Type="http://schemas.openxmlformats.org/officeDocument/2006/relationships/hyperlink" Target="http://www.x-rates.com/calculator/?from=TWD&amp;to=EUR&amp;amount=1" TargetMode="External"/><Relationship Id="rId18" Type="http://schemas.openxmlformats.org/officeDocument/2006/relationships/queryTable" Target="../queryTables/queryTable1.xml"/><Relationship Id="rId3" Type="http://schemas.openxmlformats.org/officeDocument/2006/relationships/hyperlink" Target="http://www.x-rates.com/calculator/?from=BRL&amp;to=EUR&amp;amount=1" TargetMode="External"/><Relationship Id="rId7" Type="http://schemas.openxmlformats.org/officeDocument/2006/relationships/hyperlink" Target="http://www.xe.com/fr/currencyconverter/convert/?Amount=1&amp;From=VND&amp;To=EUR" TargetMode="External"/><Relationship Id="rId12" Type="http://schemas.openxmlformats.org/officeDocument/2006/relationships/hyperlink" Target="http://www.x-rates.com/calculator/?from=HKD&amp;to=EUR&amp;amount=1" TargetMode="External"/><Relationship Id="rId17" Type="http://schemas.openxmlformats.org/officeDocument/2006/relationships/hyperlink" Target="http://www.autoroutes.fr/fr/itineraires.htm" TargetMode="External"/><Relationship Id="rId2" Type="http://schemas.openxmlformats.org/officeDocument/2006/relationships/hyperlink" Target="http://www.x-rates.com/calculator/?from=AUD&amp;to=EUR&amp;amount=1" TargetMode="External"/><Relationship Id="rId16" Type="http://schemas.openxmlformats.org/officeDocument/2006/relationships/hyperlink" Target="http://www.x-rates.com/calculator/?from=NZD&amp;to=EUR&amp;amount=1" TargetMode="External"/><Relationship Id="rId1" Type="http://schemas.openxmlformats.org/officeDocument/2006/relationships/hyperlink" Target="http://www.x-rates.com/calculator/?from=USD&amp;to=EUR&amp;amount=1" TargetMode="External"/><Relationship Id="rId6" Type="http://schemas.openxmlformats.org/officeDocument/2006/relationships/hyperlink" Target="http://www.x-rates.com/calculator/?from=JPY&amp;to=EUR&amp;amount=1" TargetMode="External"/><Relationship Id="rId11" Type="http://schemas.openxmlformats.org/officeDocument/2006/relationships/hyperlink" Target="http://www.x-rates.com/calculator/?from=OMR&amp;to=EUR&amp;amount=1" TargetMode="External"/><Relationship Id="rId5" Type="http://schemas.openxmlformats.org/officeDocument/2006/relationships/hyperlink" Target="http://www.x-rates.com/calculator/?from=KRW&amp;to=EUR&amp;amount=1" TargetMode="External"/><Relationship Id="rId15" Type="http://schemas.openxmlformats.org/officeDocument/2006/relationships/hyperlink" Target="http://www.x-rates.com/calculator/?from=NOK&amp;to=EUR&amp;amount=1" TargetMode="External"/><Relationship Id="rId10" Type="http://schemas.openxmlformats.org/officeDocument/2006/relationships/hyperlink" Target="http://www.x-rates.com/calculator/?from=MYR&amp;to=EUR&amp;amount=1" TargetMode="External"/><Relationship Id="rId19" Type="http://schemas.openxmlformats.org/officeDocument/2006/relationships/queryTable" Target="../queryTables/queryTable2.xml"/><Relationship Id="rId4" Type="http://schemas.openxmlformats.org/officeDocument/2006/relationships/hyperlink" Target="http://www.x-rates.com/calculator/?from=CNY&amp;to=EUR&amp;amount=1" TargetMode="External"/><Relationship Id="rId9" Type="http://schemas.openxmlformats.org/officeDocument/2006/relationships/hyperlink" Target="http://www.x-rates.com/calculator/?from=SGD&amp;to=EUR&amp;amount=1" TargetMode="External"/><Relationship Id="rId14" Type="http://schemas.openxmlformats.org/officeDocument/2006/relationships/hyperlink" Target="http://www.x-rates.com/calculator/?from=INR&amp;to=EUR&amp;amount=1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1:O65"/>
  <sheetViews>
    <sheetView tabSelected="1" zoomScale="50" zoomScaleNormal="70" workbookViewId="0">
      <selection activeCell="J18" sqref="J18"/>
    </sheetView>
  </sheetViews>
  <sheetFormatPr baseColWidth="10" defaultColWidth="11.42578125" defaultRowHeight="20.25" x14ac:dyDescent="0.25"/>
  <cols>
    <col min="1" max="1" width="11.42578125" style="72"/>
    <col min="2" max="2" width="19.7109375" style="72" customWidth="1"/>
    <col min="3" max="3" width="34.85546875" style="72" customWidth="1"/>
    <col min="4" max="4" width="11.42578125" style="72"/>
    <col min="5" max="5" width="26.28515625" style="72" customWidth="1"/>
    <col min="6" max="6" width="32.42578125" style="72" customWidth="1"/>
    <col min="7" max="7" width="19.42578125" style="72" customWidth="1"/>
    <col min="8" max="8" width="38" style="72" customWidth="1"/>
    <col min="9" max="9" width="17.140625" style="72" customWidth="1"/>
    <col min="10" max="10" width="21.28515625" style="72" customWidth="1"/>
    <col min="11" max="11" width="11.42578125" style="72"/>
    <col min="12" max="12" width="24.42578125" style="72" customWidth="1"/>
    <col min="13" max="13" width="36.42578125" style="72" customWidth="1"/>
    <col min="14" max="14" width="33.28515625" style="72" customWidth="1"/>
    <col min="15" max="15" width="39.42578125" style="72" customWidth="1"/>
    <col min="16" max="16384" width="11.42578125" style="72"/>
  </cols>
  <sheetData>
    <row r="1" spans="1:15" ht="21" thickTop="1" x14ac:dyDescent="0.35">
      <c r="A1" s="69"/>
      <c r="B1" s="70"/>
      <c r="C1" s="71"/>
    </row>
    <row r="2" spans="1:15" ht="21" thickBot="1" x14ac:dyDescent="0.3">
      <c r="A2" s="73"/>
      <c r="B2" s="74"/>
      <c r="C2" s="165"/>
    </row>
    <row r="3" spans="1:15" ht="21.75" thickTop="1" thickBot="1" x14ac:dyDescent="0.3">
      <c r="A3" s="164"/>
      <c r="B3" s="74"/>
      <c r="C3" s="165"/>
      <c r="F3" s="154" t="s">
        <v>332</v>
      </c>
      <c r="G3" s="155"/>
      <c r="H3" s="156"/>
    </row>
    <row r="4" spans="1:15" ht="21.75" thickTop="1" thickBot="1" x14ac:dyDescent="0.3">
      <c r="A4" s="164"/>
      <c r="B4" s="74"/>
      <c r="C4" s="75"/>
      <c r="F4" s="154"/>
      <c r="G4" s="155"/>
      <c r="H4" s="156"/>
    </row>
    <row r="5" spans="1:15" ht="21.75" thickTop="1" thickBot="1" x14ac:dyDescent="0.3">
      <c r="A5" s="73"/>
      <c r="B5" s="74"/>
      <c r="C5" s="75"/>
      <c r="F5" s="157">
        <f>SUM(H26:H31)</f>
        <v>0</v>
      </c>
      <c r="G5" s="158"/>
      <c r="H5" s="159"/>
    </row>
    <row r="6" spans="1:15" ht="21.75" thickTop="1" thickBot="1" x14ac:dyDescent="0.3">
      <c r="A6" s="164"/>
      <c r="B6" s="74"/>
      <c r="C6" s="165"/>
      <c r="F6" s="160"/>
      <c r="G6" s="158"/>
      <c r="H6" s="159"/>
    </row>
    <row r="7" spans="1:15" ht="21" thickTop="1" x14ac:dyDescent="0.25">
      <c r="A7" s="164"/>
      <c r="B7" s="74"/>
      <c r="C7" s="165"/>
      <c r="E7" s="55"/>
      <c r="F7" s="55"/>
      <c r="G7" s="55"/>
      <c r="H7" s="55"/>
      <c r="I7" s="55"/>
      <c r="J7" s="55"/>
      <c r="K7" s="55"/>
      <c r="L7" s="55"/>
      <c r="M7" s="55"/>
    </row>
    <row r="8" spans="1:15" ht="20.45" x14ac:dyDescent="0.35">
      <c r="A8" s="73"/>
      <c r="B8" s="74"/>
      <c r="C8" s="75"/>
      <c r="E8" s="56"/>
      <c r="F8" s="56"/>
      <c r="G8" s="56"/>
      <c r="H8" s="56"/>
      <c r="I8" s="56"/>
      <c r="J8" s="56"/>
      <c r="K8" s="56"/>
      <c r="L8" s="56"/>
      <c r="M8" s="55"/>
    </row>
    <row r="9" spans="1:15" ht="20.45" x14ac:dyDescent="0.35">
      <c r="A9" s="73"/>
      <c r="B9" s="74"/>
      <c r="C9" s="75"/>
      <c r="E9" s="56"/>
      <c r="F9" s="56"/>
      <c r="G9" s="56"/>
      <c r="H9" s="56"/>
      <c r="I9" s="56"/>
      <c r="J9" s="56"/>
      <c r="K9" s="56"/>
      <c r="L9" s="66"/>
      <c r="M9" s="55"/>
      <c r="O9" s="4"/>
    </row>
    <row r="10" spans="1:15" x14ac:dyDescent="0.25">
      <c r="A10" s="73"/>
      <c r="B10" s="74"/>
      <c r="C10" s="165"/>
      <c r="E10" s="56"/>
      <c r="F10" s="56"/>
      <c r="G10" s="56"/>
      <c r="H10" s="56"/>
      <c r="I10" s="56"/>
      <c r="J10" s="56"/>
      <c r="K10" s="56"/>
      <c r="L10" s="66"/>
      <c r="M10" s="55"/>
      <c r="O10" s="4"/>
    </row>
    <row r="11" spans="1:15" x14ac:dyDescent="0.25">
      <c r="A11" s="73"/>
      <c r="B11" s="74"/>
      <c r="C11" s="165"/>
      <c r="E11" s="56"/>
      <c r="F11" s="56"/>
      <c r="G11" s="56"/>
      <c r="H11" s="56"/>
      <c r="I11" s="56"/>
      <c r="J11" s="56"/>
      <c r="K11" s="56"/>
      <c r="L11" s="66"/>
      <c r="M11" s="55"/>
      <c r="O11" s="4"/>
    </row>
    <row r="12" spans="1:15" x14ac:dyDescent="0.25">
      <c r="A12" s="73"/>
      <c r="B12" s="74"/>
      <c r="C12" s="165"/>
      <c r="E12" s="56"/>
      <c r="F12" s="56"/>
      <c r="G12" s="56"/>
      <c r="H12" s="56"/>
      <c r="I12" s="56"/>
      <c r="J12" s="56"/>
      <c r="K12" s="56"/>
      <c r="L12" s="66"/>
      <c r="M12" s="55"/>
      <c r="O12" s="4"/>
    </row>
    <row r="13" spans="1:15" ht="20.45" x14ac:dyDescent="0.35">
      <c r="A13" s="73"/>
      <c r="B13" s="74"/>
      <c r="C13" s="75"/>
      <c r="E13" s="56"/>
      <c r="F13" s="56"/>
      <c r="G13" s="56"/>
      <c r="H13" s="56"/>
      <c r="I13" s="56"/>
      <c r="J13" s="56"/>
      <c r="K13" s="56"/>
      <c r="L13" s="66"/>
      <c r="M13" s="55"/>
      <c r="O13" s="4"/>
    </row>
    <row r="14" spans="1:15" x14ac:dyDescent="0.25">
      <c r="A14" s="164"/>
      <c r="B14" s="74"/>
      <c r="C14" s="75"/>
      <c r="E14" s="56"/>
      <c r="F14" s="56"/>
      <c r="G14" s="56"/>
      <c r="H14" s="56"/>
      <c r="I14" s="56"/>
      <c r="J14" s="56"/>
      <c r="K14" s="56"/>
      <c r="L14" s="66"/>
      <c r="M14" s="55"/>
      <c r="O14" s="4"/>
    </row>
    <row r="15" spans="1:15" x14ac:dyDescent="0.25">
      <c r="A15" s="164"/>
      <c r="B15" s="74"/>
      <c r="C15" s="165"/>
      <c r="E15" s="56"/>
      <c r="F15" s="56"/>
      <c r="G15" s="56"/>
      <c r="H15" s="56"/>
      <c r="I15" s="56"/>
      <c r="J15" s="56"/>
      <c r="K15" s="56"/>
      <c r="L15" s="66"/>
      <c r="M15" s="55"/>
      <c r="O15" s="4"/>
    </row>
    <row r="16" spans="1:15" x14ac:dyDescent="0.25">
      <c r="A16" s="73"/>
      <c r="B16" s="74"/>
      <c r="C16" s="165"/>
      <c r="E16" s="56"/>
      <c r="F16" s="56"/>
      <c r="G16" s="56"/>
      <c r="H16" s="56"/>
      <c r="I16" s="56"/>
      <c r="J16" s="56"/>
      <c r="K16" s="56"/>
      <c r="L16" s="66"/>
      <c r="M16" s="55"/>
      <c r="O16" s="4"/>
    </row>
    <row r="17" spans="1:15" ht="20.45" x14ac:dyDescent="0.35">
      <c r="A17" s="73"/>
      <c r="B17" s="74"/>
      <c r="C17" s="75"/>
      <c r="E17" s="56"/>
      <c r="F17" s="56"/>
      <c r="G17" s="56"/>
      <c r="H17" s="56"/>
      <c r="I17" s="56"/>
      <c r="J17" s="56"/>
      <c r="K17" s="56"/>
      <c r="L17" s="66"/>
      <c r="M17" s="55"/>
      <c r="O17" s="4"/>
    </row>
    <row r="18" spans="1:15" x14ac:dyDescent="0.25">
      <c r="A18" s="164"/>
      <c r="B18" s="74"/>
      <c r="C18" s="75"/>
      <c r="E18" s="56"/>
      <c r="F18" s="56"/>
      <c r="G18" s="56"/>
      <c r="H18" s="56"/>
      <c r="I18" s="56"/>
      <c r="J18" s="56"/>
      <c r="K18" s="56"/>
      <c r="L18" s="66"/>
      <c r="M18" s="55"/>
      <c r="O18" s="4"/>
    </row>
    <row r="19" spans="1:15" x14ac:dyDescent="0.25">
      <c r="A19" s="164"/>
      <c r="B19" s="74"/>
      <c r="C19" s="165"/>
      <c r="E19" s="56"/>
      <c r="F19" s="56"/>
      <c r="G19" s="56"/>
      <c r="H19" s="56"/>
      <c r="I19" s="56"/>
      <c r="J19" s="56"/>
      <c r="K19" s="56"/>
      <c r="L19" s="66"/>
      <c r="M19" s="55"/>
      <c r="O19" s="55"/>
    </row>
    <row r="20" spans="1:15" x14ac:dyDescent="0.25">
      <c r="A20" s="73"/>
      <c r="B20" s="74"/>
      <c r="C20" s="165"/>
      <c r="E20" s="56"/>
      <c r="F20" s="56"/>
      <c r="G20" s="56"/>
      <c r="H20" s="56"/>
      <c r="I20" s="56"/>
      <c r="J20" s="56"/>
      <c r="K20" s="56"/>
      <c r="L20" s="66"/>
      <c r="M20" s="55"/>
    </row>
    <row r="21" spans="1:15" ht="20.45" x14ac:dyDescent="0.35">
      <c r="A21" s="73"/>
      <c r="B21" s="74"/>
      <c r="C21" s="75"/>
      <c r="E21" s="56"/>
      <c r="F21" s="56"/>
      <c r="G21" s="56"/>
      <c r="H21" s="56"/>
      <c r="I21" s="56"/>
      <c r="J21" s="56"/>
      <c r="K21" s="56"/>
      <c r="L21" s="66"/>
      <c r="M21" s="55"/>
    </row>
    <row r="22" spans="1:15" x14ac:dyDescent="0.25">
      <c r="A22" s="73"/>
      <c r="B22" s="74"/>
      <c r="C22" s="75"/>
      <c r="E22" s="56"/>
      <c r="F22" s="56"/>
      <c r="G22" s="56"/>
      <c r="H22" s="56"/>
      <c r="I22" s="56"/>
      <c r="J22" s="56"/>
      <c r="K22" s="56"/>
      <c r="L22" s="66"/>
      <c r="M22" s="55"/>
    </row>
    <row r="23" spans="1:15" ht="20.45" x14ac:dyDescent="0.35">
      <c r="A23" s="73"/>
      <c r="B23" s="74"/>
      <c r="C23" s="75"/>
      <c r="E23" s="55"/>
      <c r="F23" s="55"/>
      <c r="G23" s="55"/>
      <c r="H23" s="55"/>
      <c r="I23" s="55"/>
      <c r="J23" s="55"/>
      <c r="K23" s="55"/>
      <c r="L23" s="67"/>
      <c r="M23" s="55"/>
    </row>
    <row r="24" spans="1:15" x14ac:dyDescent="0.25">
      <c r="A24" s="161"/>
      <c r="B24" s="162"/>
      <c r="C24" s="163"/>
      <c r="E24" s="55"/>
      <c r="F24" s="55"/>
      <c r="G24" s="55"/>
      <c r="H24" s="55"/>
      <c r="I24" s="55"/>
      <c r="J24" s="55"/>
      <c r="K24" s="55"/>
      <c r="L24" s="67"/>
    </row>
    <row r="25" spans="1:15" ht="40.5" x14ac:dyDescent="0.25">
      <c r="A25" s="161"/>
      <c r="B25" s="162"/>
      <c r="C25" s="163"/>
      <c r="E25" s="55"/>
      <c r="F25" s="76" t="s">
        <v>289</v>
      </c>
      <c r="G25" s="76" t="s">
        <v>290</v>
      </c>
      <c r="H25" s="76" t="s">
        <v>291</v>
      </c>
      <c r="I25" s="76" t="s">
        <v>293</v>
      </c>
      <c r="J25" s="76" t="s">
        <v>298</v>
      </c>
      <c r="K25" s="38"/>
      <c r="L25" s="67"/>
    </row>
    <row r="26" spans="1:15" x14ac:dyDescent="0.25">
      <c r="A26" s="161"/>
      <c r="B26" s="162"/>
      <c r="C26" s="163"/>
      <c r="E26" s="2" t="s">
        <v>276</v>
      </c>
      <c r="F26" s="137" t="s">
        <v>35</v>
      </c>
      <c r="G26" s="38" t="s">
        <v>350</v>
      </c>
      <c r="H26" s="24">
        <f>IF($F$26="EXW",'INPUT DATA 2'!#REF!,0)+IF($F$26="FCA (Routier)",'CALCUL COUTS'!Q2,0)+IF($F$26="FAS (Maritime)",'CALCUL COUTS'!Q2,0)+IF($F$26="FOB (Maritime)",'CALCUL COUTS'!Q2+'CALCUL COUTS'!X2,0)+IF($F$26="CFR (Maritime)",'CALCUL COUTS'!Q2+'CALCUL COUTS'!X2+'CALCUL COUTS'!W2,0)+IF($F$26="DAT (Multimodal)",'CALCUL COUTS'!Q2+'CALCUL COUTS'!X2+'CALCUL COUTS'!W2+'CALCUL COUTS'!AG2,0)+IF($F$26="DAP (Routier) Europe Uniquement",'CALCUL COUTS'!Q2,0)</f>
        <v>0</v>
      </c>
      <c r="I26" s="38"/>
      <c r="J26" s="38"/>
      <c r="K26" s="38"/>
      <c r="L26" s="67"/>
      <c r="M26" s="131"/>
    </row>
    <row r="27" spans="1:15" x14ac:dyDescent="0.25">
      <c r="A27" s="73"/>
      <c r="B27" s="74"/>
      <c r="C27" s="75"/>
      <c r="E27" s="2" t="s">
        <v>277</v>
      </c>
      <c r="F27" s="38"/>
      <c r="G27" s="38"/>
      <c r="H27" s="24">
        <f>IF($F$26="EXW",'INPUT DATA 2'!#REF!,0)+IF($F$26="FCA (Routier)",'CALCUL COUTS'!Q3,0)+IF($F$26="FAS (Maritime)",'CALCUL COUTS'!Q3,0)+IF($F$26="FOB (Maritime)",'CALCUL COUTS'!Q3+'CALCUL COUTS'!X3,0)+IF($F$26="CFR (Maritime)",'CALCUL COUTS'!Q3+'CALCUL COUTS'!X3+'CALCUL COUTS'!W3,0)+IF($F$26="DAT (Multimodal)",'CALCUL COUTS'!Q3+'CALCUL COUTS'!X3+'CALCUL COUTS'!W3+'CALCUL COUTS'!AG3,0)+IF($F$26="DAP (Routier) Europe Uniquement",'CALCUL COUTS'!Q3,0)</f>
        <v>0</v>
      </c>
      <c r="I27" s="38"/>
      <c r="J27" s="38"/>
      <c r="K27" s="38"/>
      <c r="L27" s="67"/>
    </row>
    <row r="28" spans="1:15" x14ac:dyDescent="0.25">
      <c r="A28" s="73"/>
      <c r="B28" s="74"/>
      <c r="C28" s="75"/>
      <c r="E28" s="2" t="s">
        <v>278</v>
      </c>
      <c r="F28" s="77"/>
      <c r="G28" s="77"/>
      <c r="H28" s="24">
        <f>IF($F$26="EXW",'INPUT DATA 2'!#REF!,0)+IF($F$26="FCA (Routier)",'CALCUL COUTS'!Q4,0)+IF($F$26="FAS (Maritime)",'CALCUL COUTS'!Q4,0)+IF($F$26="FOB (Maritime)",'CALCUL COUTS'!Q4+'CALCUL COUTS'!X4,0)+IF($F$26="CFR (Maritime)",'CALCUL COUTS'!Q4+'CALCUL COUTS'!X4+'CALCUL COUTS'!W4,0)+IF($F$26="DAT (Multimodal)",'CALCUL COUTS'!Q4+'CALCUL COUTS'!X4+'CALCUL COUTS'!AF4+'CALCUL COUTS'!W4+'CALCUL COUTS'!AG4,0)+IF($F$26="DAP (Routier) Europe Uniquement",'CALCUL COUTS'!Q4,0)</f>
        <v>0</v>
      </c>
      <c r="I28" s="77"/>
      <c r="J28" s="77"/>
      <c r="K28" s="77"/>
    </row>
    <row r="29" spans="1:15" x14ac:dyDescent="0.25">
      <c r="A29" s="73"/>
      <c r="B29" s="74"/>
      <c r="C29" s="75"/>
      <c r="E29" s="2" t="s">
        <v>281</v>
      </c>
      <c r="F29" s="77"/>
      <c r="G29" s="77"/>
      <c r="H29" s="38">
        <f>IF($F$26="EXW",'INPUT DATA 2'!#REF!,0)+IF($F$26="FCA (Routier)",'CALCUL COUTS'!Q8,0)+IF($F$26="FAS (Maritime)",'CALCUL COUTS'!Q8,0)+IF($F$26="FOB (Maritime)",'CALCUL COUTS'!Q8+'CALCUL COUTS'!X8,0)+IF($F$26="CFR (Maritime)",'CALCUL COUTS'!Q8+'CALCUL COUTS'!X8+'CALCUL COUTS'!W8,0)+IF($F$26="DAT (Multimodal)",'CALCUL COUTS'!Q8+'CALCUL COUTS'!X8+'CALCUL COUTS'!W8+'CALCUL COUTS'!AG8,0)+IF($F$26="DAP (Routier) Europe Uniquement",'CALCUL COUTS'!Q8,0)</f>
        <v>0</v>
      </c>
      <c r="I29" s="77"/>
      <c r="J29" s="77"/>
      <c r="K29" s="77"/>
    </row>
    <row r="30" spans="1:15" x14ac:dyDescent="0.25">
      <c r="A30" s="73"/>
      <c r="B30" s="74"/>
      <c r="C30" s="75"/>
      <c r="E30" s="2" t="s">
        <v>282</v>
      </c>
      <c r="F30" s="77"/>
      <c r="G30" s="77"/>
      <c r="H30" s="38">
        <f>IF($F$26="EXW",'INPUT DATA 2'!#REF!,0)+IF($F$26="FCA (Routier)",'CALCUL COUTS'!Q9,0)+IF($F$26="FAS (Maritime)",'CALCUL COUTS'!Q9,0)+IF($F$26="FOB (Maritime)",'CALCUL COUTS'!Q9+'CALCUL COUTS'!X9,0)+IF($F$26="CFR (Maritime)",'CALCUL COUTS'!Q9+'CALCUL COUTS'!X9+'CALCUL COUTS'!W9,0)+IF($F$26="DAT (Multimodal)",'CALCUL COUTS'!Q9+'CALCUL COUTS'!X9+'CALCUL COUTS'!W9+'CALCUL COUTS'!AG9,0)+IF($F$26="DAP (Routier) Europe Uniquement",'CALCUL COUTS'!Q9,0)</f>
        <v>0</v>
      </c>
      <c r="I30" s="77"/>
      <c r="J30" s="77"/>
      <c r="K30" s="77"/>
      <c r="L30" s="4"/>
    </row>
    <row r="31" spans="1:15" x14ac:dyDescent="0.25">
      <c r="A31" s="73"/>
      <c r="B31" s="74"/>
      <c r="C31" s="75"/>
      <c r="E31" s="2"/>
      <c r="F31" s="77"/>
      <c r="G31" s="77"/>
      <c r="H31" s="38"/>
      <c r="I31" s="77"/>
      <c r="J31" s="77"/>
      <c r="K31" s="77"/>
      <c r="L31" s="4"/>
    </row>
    <row r="32" spans="1:15" x14ac:dyDescent="0.25">
      <c r="A32" s="73"/>
      <c r="B32" s="74"/>
      <c r="C32" s="75"/>
      <c r="E32" s="2"/>
      <c r="F32" s="77"/>
      <c r="G32" s="77"/>
      <c r="H32" s="38"/>
      <c r="I32" s="77"/>
      <c r="J32" s="77"/>
      <c r="K32" s="77"/>
      <c r="L32" s="4"/>
    </row>
    <row r="33" spans="1:12" x14ac:dyDescent="0.25">
      <c r="A33" s="73"/>
      <c r="B33" s="74"/>
      <c r="C33" s="75"/>
      <c r="E33" s="2"/>
      <c r="F33" s="77"/>
      <c r="G33" s="77"/>
      <c r="H33" s="38"/>
      <c r="I33" s="77"/>
      <c r="J33" s="77"/>
      <c r="K33" s="77"/>
      <c r="L33" s="4"/>
    </row>
    <row r="34" spans="1:12" x14ac:dyDescent="0.25">
      <c r="A34" s="73"/>
      <c r="B34" s="74"/>
      <c r="C34" s="75"/>
      <c r="E34" s="2"/>
      <c r="F34" s="77"/>
      <c r="G34" s="77"/>
      <c r="H34" s="38"/>
      <c r="I34" s="77"/>
      <c r="J34" s="77"/>
      <c r="K34" s="77"/>
      <c r="L34" s="4"/>
    </row>
    <row r="35" spans="1:12" ht="20.45" x14ac:dyDescent="0.35">
      <c r="A35" s="73"/>
      <c r="B35" s="74"/>
      <c r="C35" s="75"/>
      <c r="L35" s="4"/>
    </row>
    <row r="36" spans="1:12" ht="20.45" x14ac:dyDescent="0.35">
      <c r="A36" s="73"/>
      <c r="B36" s="74"/>
      <c r="C36" s="75"/>
      <c r="L36" s="4"/>
    </row>
    <row r="37" spans="1:12" ht="20.45" x14ac:dyDescent="0.35">
      <c r="A37" s="73"/>
      <c r="B37" s="74"/>
      <c r="C37" s="75"/>
      <c r="L37" s="4"/>
    </row>
    <row r="38" spans="1:12" s="81" customFormat="1" ht="21" thickBot="1" x14ac:dyDescent="0.4">
      <c r="A38" s="78"/>
      <c r="B38" s="79"/>
      <c r="C38" s="80"/>
      <c r="L38" s="68"/>
    </row>
    <row r="39" spans="1:12" s="55" customFormat="1" ht="21" thickTop="1" x14ac:dyDescent="0.35">
      <c r="L39" s="4"/>
    </row>
    <row r="40" spans="1:12" s="55" customFormat="1" ht="20.45" x14ac:dyDescent="0.35"/>
    <row r="41" spans="1:12" s="55" customFormat="1" ht="20.45" x14ac:dyDescent="0.35"/>
    <row r="42" spans="1:12" s="55" customFormat="1" ht="20.45" x14ac:dyDescent="0.35"/>
    <row r="43" spans="1:12" s="55" customFormat="1" x14ac:dyDescent="0.25"/>
    <row r="44" spans="1:12" s="55" customFormat="1" x14ac:dyDescent="0.25"/>
    <row r="45" spans="1:12" s="55" customFormat="1" x14ac:dyDescent="0.25"/>
    <row r="46" spans="1:12" s="55" customFormat="1" x14ac:dyDescent="0.25"/>
    <row r="47" spans="1:12" s="55" customFormat="1" x14ac:dyDescent="0.25"/>
    <row r="48" spans="1:12" s="55" customFormat="1" x14ac:dyDescent="0.25"/>
    <row r="49" s="55" customFormat="1" x14ac:dyDescent="0.25"/>
    <row r="50" s="55" customFormat="1" x14ac:dyDescent="0.25"/>
    <row r="51" s="55" customFormat="1" x14ac:dyDescent="0.25"/>
    <row r="52" s="55" customFormat="1" x14ac:dyDescent="0.25"/>
    <row r="53" s="55" customFormat="1" x14ac:dyDescent="0.25"/>
    <row r="54" s="55" customFormat="1" x14ac:dyDescent="0.25"/>
    <row r="55" s="55" customFormat="1" x14ac:dyDescent="0.25"/>
    <row r="56" s="55" customFormat="1" x14ac:dyDescent="0.25"/>
    <row r="57" s="55" customFormat="1" x14ac:dyDescent="0.25"/>
    <row r="58" s="55" customFormat="1" x14ac:dyDescent="0.25"/>
    <row r="59" s="55" customFormat="1" x14ac:dyDescent="0.25"/>
    <row r="60" s="55" customFormat="1" x14ac:dyDescent="0.25"/>
    <row r="61" s="55" customFormat="1" x14ac:dyDescent="0.25"/>
    <row r="62" s="55" customFormat="1" x14ac:dyDescent="0.25"/>
    <row r="63" s="55" customFormat="1" x14ac:dyDescent="0.25"/>
    <row r="64" s="55" customFormat="1" x14ac:dyDescent="0.25"/>
    <row r="65" s="55" customFormat="1" x14ac:dyDescent="0.25"/>
  </sheetData>
  <mergeCells count="12">
    <mergeCell ref="F3:H4"/>
    <mergeCell ref="F5:H6"/>
    <mergeCell ref="A24:C26"/>
    <mergeCell ref="A14:A15"/>
    <mergeCell ref="C15:C16"/>
    <mergeCell ref="A18:A19"/>
    <mergeCell ref="C19:C20"/>
    <mergeCell ref="C2:C3"/>
    <mergeCell ref="A3:A4"/>
    <mergeCell ref="A6:A7"/>
    <mergeCell ref="C6:C7"/>
    <mergeCell ref="C10:C12"/>
  </mergeCells>
  <conditionalFormatting sqref="E9:M9">
    <cfRule type="expression" dxfId="8" priority="32">
      <formula>OR(#REF!="EXW")</formula>
    </cfRule>
  </conditionalFormatting>
  <conditionalFormatting sqref="E10:M10">
    <cfRule type="expression" dxfId="7" priority="8">
      <formula>OR(#REF!="FCA (Routier)")</formula>
    </cfRule>
  </conditionalFormatting>
  <conditionalFormatting sqref="E11:M11">
    <cfRule type="expression" dxfId="6" priority="7">
      <formula>OR(#REF!="FAS (Maritime)")</formula>
    </cfRule>
  </conditionalFormatting>
  <conditionalFormatting sqref="E12:M12">
    <cfRule type="expression" dxfId="5" priority="6">
      <formula>OR(#REF!="FOB (Maritime)")</formula>
    </cfRule>
  </conditionalFormatting>
  <conditionalFormatting sqref="E14:M14">
    <cfRule type="expression" dxfId="4" priority="5">
      <formula>OR(#REF!="CIP (Multimodal)")</formula>
    </cfRule>
  </conditionalFormatting>
  <conditionalFormatting sqref="E15:M15">
    <cfRule type="expression" dxfId="3" priority="4">
      <formula>OR(#REF!="CFR (Maritime)")</formula>
    </cfRule>
  </conditionalFormatting>
  <conditionalFormatting sqref="E16:M16">
    <cfRule type="expression" dxfId="2" priority="3">
      <formula>OR(#REF!="CIF (Maritimel)")</formula>
    </cfRule>
  </conditionalFormatting>
  <conditionalFormatting sqref="E17:M17">
    <cfRule type="expression" dxfId="1" priority="2">
      <formula>OR(#REF!="DAT (Multimodal)")</formula>
    </cfRule>
  </conditionalFormatting>
  <conditionalFormatting sqref="E18:M18">
    <cfRule type="expression" dxfId="0" priority="1">
      <formula>OR(#REF!="DAP (Routier) Europe Uniquement")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INCOTERM_Cliquer">
                <anchor moveWithCells="1" sizeWithCells="1">
                  <from>
                    <xdr:col>0</xdr:col>
                    <xdr:colOff>552450</xdr:colOff>
                    <xdr:row>19</xdr:row>
                    <xdr:rowOff>0</xdr:rowOff>
                  </from>
                  <to>
                    <xdr:col>2</xdr:col>
                    <xdr:colOff>904875</xdr:colOff>
                    <xdr:row>20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MAR_Cliquer">
                <anchor moveWithCells="1" sizeWithCells="1">
                  <from>
                    <xdr:col>0</xdr:col>
                    <xdr:colOff>552450</xdr:colOff>
                    <xdr:row>9</xdr:row>
                    <xdr:rowOff>180975</xdr:rowOff>
                  </from>
                  <to>
                    <xdr:col>2</xdr:col>
                    <xdr:colOff>904875</xdr:colOff>
                    <xdr:row>11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RAZ_Cliquer">
                <anchor moveWithCells="1" sizeWithCells="1">
                  <from>
                    <xdr:col>0</xdr:col>
                    <xdr:colOff>590550</xdr:colOff>
                    <xdr:row>0</xdr:row>
                    <xdr:rowOff>171450</xdr:rowOff>
                  </from>
                  <to>
                    <xdr:col>2</xdr:col>
                    <xdr:colOff>942975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LIV_OUTIL_CHOIX_Cliquer">
                <anchor moveWithCells="1" sizeWithCells="1">
                  <from>
                    <xdr:col>0</xdr:col>
                    <xdr:colOff>552450</xdr:colOff>
                    <xdr:row>24</xdr:row>
                    <xdr:rowOff>19050</xdr:rowOff>
                  </from>
                  <to>
                    <xdr:col>2</xdr:col>
                    <xdr:colOff>904875</xdr:colOff>
                    <xdr:row>25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utton 8">
              <controlPr defaultSize="0" print="0" autoFill="0" autoPict="0" macro="[0]!LIV_TRANSF_CHOIX_Cliquer">
                <anchor moveWithCells="1" sizeWithCells="1">
                  <from>
                    <xdr:col>0</xdr:col>
                    <xdr:colOff>552450</xdr:colOff>
                    <xdr:row>29</xdr:row>
                    <xdr:rowOff>238125</xdr:rowOff>
                  </from>
                  <to>
                    <xdr:col>2</xdr:col>
                    <xdr:colOff>904875</xdr:colOff>
                    <xdr:row>31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FF00"/>
  </sheetPr>
  <dimension ref="A1:P19"/>
  <sheetViews>
    <sheetView zoomScale="50" zoomScaleNormal="50" workbookViewId="0">
      <selection activeCell="A8" sqref="A8"/>
    </sheetView>
  </sheetViews>
  <sheetFormatPr baseColWidth="10" defaultColWidth="11.42578125" defaultRowHeight="15" x14ac:dyDescent="0.25"/>
  <cols>
    <col min="1" max="1" width="21.140625" style="87" customWidth="1"/>
    <col min="2" max="2" width="19.85546875" style="87" customWidth="1"/>
    <col min="3" max="3" width="15" style="92" customWidth="1"/>
    <col min="4" max="4" width="15" style="96" customWidth="1"/>
    <col min="5" max="5" width="39.85546875" style="96" customWidth="1"/>
    <col min="6" max="6" width="15" style="96" customWidth="1"/>
    <col min="7" max="7" width="17.28515625" style="96" customWidth="1"/>
    <col min="8" max="8" width="15" style="94" customWidth="1"/>
    <col min="9" max="9" width="18.7109375" style="92" customWidth="1"/>
    <col min="10" max="10" width="15" style="87" customWidth="1"/>
    <col min="11" max="11" width="15" style="94" customWidth="1"/>
    <col min="12" max="12" width="15" style="92" customWidth="1"/>
    <col min="13" max="14" width="15" style="87" customWidth="1"/>
    <col min="15" max="15" width="15" style="94" customWidth="1"/>
    <col min="16" max="16" width="11.42578125" style="92"/>
    <col min="17" max="16384" width="11.42578125" style="87"/>
  </cols>
  <sheetData>
    <row r="1" spans="1:15" ht="70.5" customHeight="1" x14ac:dyDescent="0.25">
      <c r="A1" s="86"/>
      <c r="B1" s="95" t="s">
        <v>279</v>
      </c>
      <c r="C1" s="1" t="s">
        <v>20</v>
      </c>
      <c r="D1" s="2" t="s">
        <v>24</v>
      </c>
      <c r="E1" s="2" t="s">
        <v>25</v>
      </c>
      <c r="F1" s="2" t="s">
        <v>26</v>
      </c>
      <c r="G1" s="2" t="s">
        <v>27</v>
      </c>
      <c r="H1" s="90" t="s">
        <v>28</v>
      </c>
      <c r="I1" s="1" t="s">
        <v>29</v>
      </c>
      <c r="J1" s="2" t="s">
        <v>30</v>
      </c>
      <c r="K1" s="90" t="s">
        <v>31</v>
      </c>
      <c r="L1" s="1" t="s">
        <v>46</v>
      </c>
      <c r="M1" s="2" t="s">
        <v>48</v>
      </c>
      <c r="N1" s="2" t="s">
        <v>53</v>
      </c>
      <c r="O1" s="90" t="s">
        <v>54</v>
      </c>
    </row>
    <row r="2" spans="1:15" ht="33" customHeight="1" x14ac:dyDescent="0.25">
      <c r="A2" s="2" t="str">
        <f>données!$A$17</f>
        <v>Marchandise</v>
      </c>
      <c r="B2" s="95" t="s">
        <v>35</v>
      </c>
      <c r="C2" s="57" t="s">
        <v>75</v>
      </c>
      <c r="D2" s="3" t="s">
        <v>56</v>
      </c>
      <c r="E2" s="3" t="s">
        <v>76</v>
      </c>
      <c r="F2" s="3" t="s">
        <v>347</v>
      </c>
      <c r="G2" s="3" t="s">
        <v>348</v>
      </c>
      <c r="H2" s="91" t="s">
        <v>349</v>
      </c>
      <c r="I2" s="57"/>
      <c r="J2" s="3"/>
      <c r="K2" s="91"/>
      <c r="L2" s="57"/>
      <c r="M2" s="3"/>
      <c r="N2" s="3"/>
      <c r="O2" s="91"/>
    </row>
    <row r="3" spans="1:15" ht="33" customHeight="1" x14ac:dyDescent="0.25">
      <c r="A3" s="2" t="str">
        <f>données!$A$18</f>
        <v>Transformateur d'essaie</v>
      </c>
      <c r="B3" s="95"/>
      <c r="C3" s="57"/>
      <c r="D3" s="3"/>
      <c r="E3" s="3"/>
      <c r="F3" s="3"/>
      <c r="G3" s="3"/>
      <c r="H3" s="91"/>
      <c r="I3" s="57"/>
      <c r="J3" s="3"/>
      <c r="K3" s="91"/>
      <c r="L3" s="57"/>
      <c r="M3" s="3"/>
      <c r="N3" s="3"/>
      <c r="O3" s="91"/>
    </row>
    <row r="4" spans="1:15" ht="33" customHeight="1" x14ac:dyDescent="0.25">
      <c r="A4" s="2" t="str">
        <f>données!$A$19</f>
        <v>Outilllage</v>
      </c>
      <c r="B4" s="95"/>
      <c r="C4" s="57"/>
      <c r="D4" s="3"/>
      <c r="E4" s="3"/>
      <c r="F4" s="3"/>
      <c r="G4" s="3"/>
      <c r="H4" s="91"/>
      <c r="I4" s="57"/>
      <c r="J4" s="3"/>
      <c r="K4" s="91"/>
      <c r="L4" s="57"/>
      <c r="M4" s="3"/>
      <c r="N4" s="3"/>
      <c r="O4" s="91"/>
    </row>
    <row r="5" spans="1:15" ht="33" customHeight="1" x14ac:dyDescent="0.25">
      <c r="A5" s="2" t="str">
        <f>données!$C$17</f>
        <v xml:space="preserve">Cellules </v>
      </c>
      <c r="B5" s="95"/>
      <c r="C5" s="57" t="s">
        <v>75</v>
      </c>
      <c r="D5" s="3" t="s">
        <v>56</v>
      </c>
      <c r="E5" s="3" t="s">
        <v>76</v>
      </c>
      <c r="F5" s="3" t="s">
        <v>347</v>
      </c>
      <c r="G5" s="3" t="s">
        <v>348</v>
      </c>
      <c r="H5" s="91" t="s">
        <v>349</v>
      </c>
      <c r="I5" s="57"/>
      <c r="J5" s="3"/>
      <c r="K5" s="91"/>
      <c r="L5" s="57"/>
      <c r="M5" s="3"/>
      <c r="N5" s="3"/>
      <c r="O5" s="91"/>
    </row>
    <row r="6" spans="1:15" ht="33" customHeight="1" x14ac:dyDescent="0.25">
      <c r="A6" s="2" t="str">
        <f>données!$C$18</f>
        <v>Pôles dijoncteurs</v>
      </c>
      <c r="B6" s="95"/>
      <c r="C6" s="57" t="s">
        <v>75</v>
      </c>
      <c r="D6" s="3" t="s">
        <v>56</v>
      </c>
      <c r="E6" s="3" t="s">
        <v>76</v>
      </c>
      <c r="F6" s="3" t="s">
        <v>347</v>
      </c>
      <c r="G6" s="3" t="s">
        <v>348</v>
      </c>
      <c r="H6" s="91" t="s">
        <v>349</v>
      </c>
      <c r="I6" s="57"/>
      <c r="J6" s="3"/>
      <c r="K6" s="91"/>
      <c r="L6" s="57"/>
      <c r="M6" s="3"/>
      <c r="N6" s="3"/>
      <c r="O6" s="91"/>
    </row>
    <row r="7" spans="1:15" ht="15.75" x14ac:dyDescent="0.25">
      <c r="A7" s="2" t="str">
        <f>données!$C$19</f>
        <v>Parafoudre</v>
      </c>
      <c r="B7" s="95"/>
      <c r="C7" s="57"/>
      <c r="D7" s="3"/>
      <c r="E7" s="3"/>
      <c r="F7" s="3"/>
      <c r="G7" s="3"/>
      <c r="H7" s="91"/>
      <c r="I7" s="57"/>
      <c r="J7" s="3"/>
      <c r="K7" s="91"/>
      <c r="L7" s="57"/>
      <c r="M7" s="3"/>
      <c r="N7" s="3"/>
      <c r="O7" s="91"/>
    </row>
    <row r="8" spans="1:15" ht="15.75" x14ac:dyDescent="0.25">
      <c r="A8" s="2"/>
      <c r="B8" s="95"/>
      <c r="C8" s="57"/>
      <c r="D8" s="3"/>
      <c r="E8" s="3"/>
      <c r="F8" s="3"/>
      <c r="G8" s="3"/>
      <c r="H8" s="91"/>
      <c r="I8" s="57"/>
      <c r="J8" s="3"/>
      <c r="K8" s="91"/>
      <c r="L8" s="57"/>
      <c r="M8" s="3"/>
      <c r="N8" s="3"/>
      <c r="O8" s="91"/>
    </row>
    <row r="9" spans="1:15" ht="15.75" x14ac:dyDescent="0.25">
      <c r="A9" s="2"/>
      <c r="B9" s="95"/>
      <c r="C9" s="57"/>
      <c r="D9" s="3"/>
      <c r="E9" s="3"/>
      <c r="F9" s="3"/>
      <c r="G9" s="3"/>
      <c r="H9" s="91"/>
      <c r="I9" s="57"/>
      <c r="J9" s="3"/>
      <c r="K9" s="91"/>
      <c r="L9" s="57"/>
      <c r="M9" s="3"/>
      <c r="N9" s="3"/>
      <c r="O9" s="91"/>
    </row>
    <row r="10" spans="1:15" ht="15.75" x14ac:dyDescent="0.25">
      <c r="A10" s="2"/>
      <c r="B10" s="95"/>
      <c r="C10" s="57"/>
      <c r="D10" s="3"/>
      <c r="E10" s="3"/>
      <c r="F10" s="3"/>
      <c r="G10" s="3"/>
      <c r="H10" s="91"/>
      <c r="I10" s="57"/>
      <c r="J10" s="3"/>
      <c r="K10" s="91"/>
      <c r="L10" s="57"/>
      <c r="M10" s="3"/>
      <c r="N10" s="3"/>
      <c r="O10" s="91"/>
    </row>
    <row r="11" spans="1:15" ht="15.75" x14ac:dyDescent="0.25">
      <c r="A11" s="2"/>
      <c r="B11" s="95"/>
      <c r="C11" s="57"/>
      <c r="D11" s="3"/>
      <c r="E11" s="3"/>
      <c r="F11" s="3"/>
      <c r="G11" s="3"/>
      <c r="H11" s="91"/>
      <c r="I11" s="57"/>
      <c r="J11" s="3"/>
      <c r="K11" s="91"/>
      <c r="L11" s="57"/>
      <c r="M11" s="3"/>
      <c r="N11" s="3"/>
      <c r="O11" s="91"/>
    </row>
    <row r="12" spans="1:15" ht="15.75" x14ac:dyDescent="0.25">
      <c r="A12" s="2"/>
      <c r="B12" s="95"/>
      <c r="C12" s="57"/>
      <c r="D12" s="3"/>
      <c r="E12" s="3"/>
      <c r="F12" s="3"/>
      <c r="G12" s="3"/>
      <c r="H12" s="91"/>
      <c r="I12" s="57"/>
      <c r="J12" s="3"/>
      <c r="K12" s="91"/>
      <c r="L12" s="57"/>
      <c r="M12" s="3"/>
      <c r="N12" s="3"/>
      <c r="O12" s="91"/>
    </row>
    <row r="17" spans="1:16" ht="15.75" thickBot="1" x14ac:dyDescent="0.3"/>
    <row r="18" spans="1:16" s="122" customFormat="1" ht="18.75" customHeight="1" thickTop="1" thickBot="1" x14ac:dyDescent="0.3">
      <c r="A18" s="121"/>
      <c r="B18" s="121"/>
      <c r="C18" s="170" t="s">
        <v>21</v>
      </c>
      <c r="D18" s="169"/>
      <c r="E18" s="169"/>
      <c r="F18" s="169"/>
      <c r="G18" s="169"/>
      <c r="H18" s="169"/>
      <c r="I18" s="166" t="s">
        <v>22</v>
      </c>
      <c r="J18" s="167"/>
      <c r="K18" s="167"/>
      <c r="L18" s="168" t="s">
        <v>280</v>
      </c>
      <c r="M18" s="169"/>
      <c r="N18" s="169"/>
      <c r="O18" s="169"/>
      <c r="P18" s="132"/>
    </row>
    <row r="19" spans="1:16" ht="16.5" thickTop="1" x14ac:dyDescent="0.25">
      <c r="J19" s="4"/>
      <c r="K19" s="93"/>
      <c r="L19" s="130"/>
    </row>
  </sheetData>
  <mergeCells count="3">
    <mergeCell ref="I18:K18"/>
    <mergeCell ref="L18:O18"/>
    <mergeCell ref="C18:H1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2D050"/>
  </sheetPr>
  <dimension ref="A1:AI28"/>
  <sheetViews>
    <sheetView zoomScaleNormal="100" workbookViewId="0">
      <selection activeCell="B29" sqref="B29"/>
    </sheetView>
  </sheetViews>
  <sheetFormatPr baseColWidth="10" defaultColWidth="10.85546875" defaultRowHeight="15" x14ac:dyDescent="0.25"/>
  <cols>
    <col min="1" max="1" width="15.7109375" style="60" customWidth="1"/>
    <col min="2" max="2" width="18.28515625" style="60" customWidth="1"/>
    <col min="3" max="3" width="17.42578125" style="60" customWidth="1"/>
    <col min="4" max="4" width="16.28515625" style="60" customWidth="1"/>
    <col min="5" max="5" width="19.28515625" style="60" customWidth="1"/>
    <col min="6" max="6" width="17.140625" style="60" customWidth="1"/>
    <col min="7" max="7" width="13.140625" style="60" customWidth="1"/>
    <col min="8" max="8" width="15.7109375" style="60" customWidth="1"/>
    <col min="9" max="9" width="16.42578125" style="60" customWidth="1"/>
    <col min="10" max="10" width="14.42578125" style="60" customWidth="1"/>
    <col min="11" max="11" width="16.42578125" style="60" customWidth="1"/>
    <col min="12" max="12" width="19.7109375" style="60" customWidth="1"/>
    <col min="13" max="13" width="18" style="60" customWidth="1"/>
    <col min="14" max="14" width="19" style="60" customWidth="1"/>
    <col min="15" max="16" width="23" style="88" customWidth="1"/>
    <col min="17" max="17" width="16.5703125" style="88" customWidth="1"/>
    <col min="18" max="18" width="16.85546875" style="88" customWidth="1"/>
    <col min="19" max="19" width="16.28515625" style="125" customWidth="1"/>
    <col min="20" max="20" width="16.28515625" style="89" customWidth="1"/>
    <col min="21" max="22" width="16.28515625" style="125" customWidth="1"/>
    <col min="23" max="23" width="23" style="125" customWidth="1"/>
    <col min="24" max="24" width="19.85546875" style="60" customWidth="1"/>
    <col min="25" max="25" width="17.7109375" style="60" customWidth="1"/>
    <col min="26" max="26" width="17.140625" style="60" customWidth="1"/>
    <col min="27" max="27" width="16.140625" style="60" customWidth="1"/>
    <col min="28" max="28" width="23" style="60" customWidth="1"/>
    <col min="29" max="29" width="18.140625" style="60" customWidth="1"/>
    <col min="30" max="30" width="18" style="60" customWidth="1"/>
    <col min="31" max="31" width="23" style="60" customWidth="1"/>
    <col min="32" max="32" width="12.7109375" style="60" customWidth="1"/>
    <col min="33" max="33" width="19" style="60" customWidth="1"/>
    <col min="34" max="34" width="22.42578125" style="88" customWidth="1"/>
    <col min="35" max="16384" width="10.85546875" style="60"/>
  </cols>
  <sheetData>
    <row r="1" spans="1:35" ht="47.25" x14ac:dyDescent="0.25">
      <c r="A1" s="97"/>
      <c r="B1" s="61" t="s">
        <v>3</v>
      </c>
      <c r="C1" s="61" t="s">
        <v>1</v>
      </c>
      <c r="D1" s="61" t="s">
        <v>2</v>
      </c>
      <c r="E1" s="61" t="s">
        <v>42</v>
      </c>
      <c r="F1" s="61" t="s">
        <v>27</v>
      </c>
      <c r="G1" s="61" t="s">
        <v>28</v>
      </c>
      <c r="H1" s="59" t="s">
        <v>46</v>
      </c>
      <c r="I1" s="59" t="s">
        <v>48</v>
      </c>
      <c r="J1" s="59" t="s">
        <v>53</v>
      </c>
      <c r="K1" s="59" t="s">
        <v>54</v>
      </c>
      <c r="L1" s="59" t="s">
        <v>302</v>
      </c>
      <c r="M1" s="61" t="s">
        <v>301</v>
      </c>
      <c r="N1" s="61" t="s">
        <v>300</v>
      </c>
      <c r="O1" s="83" t="s">
        <v>297</v>
      </c>
      <c r="P1" s="83" t="s">
        <v>299</v>
      </c>
      <c r="Q1" s="83" t="s">
        <v>283</v>
      </c>
      <c r="R1" s="82" t="s">
        <v>310</v>
      </c>
      <c r="S1" s="126" t="s">
        <v>311</v>
      </c>
      <c r="T1" s="112" t="s">
        <v>322</v>
      </c>
      <c r="U1" s="61" t="s">
        <v>323</v>
      </c>
      <c r="V1" s="61" t="s">
        <v>324</v>
      </c>
      <c r="W1" s="127" t="s">
        <v>294</v>
      </c>
      <c r="X1" s="61" t="s">
        <v>39</v>
      </c>
      <c r="Y1" s="61" t="s">
        <v>40</v>
      </c>
      <c r="Z1" s="61" t="s">
        <v>41</v>
      </c>
      <c r="AA1" s="61" t="s">
        <v>43</v>
      </c>
      <c r="AB1" s="61" t="s">
        <v>44</v>
      </c>
      <c r="AC1" s="61" t="s">
        <v>45</v>
      </c>
      <c r="AD1" s="61" t="s">
        <v>47</v>
      </c>
      <c r="AE1" s="61" t="s">
        <v>49</v>
      </c>
      <c r="AF1" s="61" t="s">
        <v>50</v>
      </c>
      <c r="AG1" s="61" t="s">
        <v>51</v>
      </c>
      <c r="AH1" s="83" t="s">
        <v>309</v>
      </c>
      <c r="AI1" s="60" t="s">
        <v>325</v>
      </c>
    </row>
    <row r="2" spans="1:35" ht="15.6" customHeight="1" x14ac:dyDescent="0.25">
      <c r="A2" s="62" t="str">
        <f>données!$A$17</f>
        <v>Marchandise</v>
      </c>
      <c r="B2" s="63">
        <f>'Mise A Jour BDD'!$B$4</f>
        <v>0.435</v>
      </c>
      <c r="C2" s="63">
        <f>'Mise A Jour BDD'!$B$6</f>
        <v>163.63999999999999</v>
      </c>
      <c r="D2" s="63">
        <f>'Mise A Jour BDD'!$B$8</f>
        <v>23.11</v>
      </c>
      <c r="E2" s="63" t="str">
        <f>'INPUT DATA 2'!$F$2</f>
        <v>377,9</v>
      </c>
      <c r="F2" s="63" t="str">
        <f>'INPUT DATA 2'!$G$2</f>
        <v>5,25</v>
      </c>
      <c r="G2" s="63" t="str">
        <f>'INPUT DATA 2'!$H$2</f>
        <v>93,2</v>
      </c>
      <c r="H2" s="63">
        <f>'INPUT DATA 2'!$L$2</f>
        <v>0</v>
      </c>
      <c r="I2" s="63">
        <f>'INPUT DATA 2'!$M$2</f>
        <v>0</v>
      </c>
      <c r="J2" s="63">
        <f>'INPUT DATA 2'!$N$2</f>
        <v>0</v>
      </c>
      <c r="K2" s="63">
        <f>'INPUT DATA 2'!$O$2</f>
        <v>0</v>
      </c>
      <c r="L2" s="129">
        <f>$I$2/données!T3</f>
        <v>0</v>
      </c>
      <c r="M2" s="129">
        <f>$H$2/données!S3</f>
        <v>0</v>
      </c>
      <c r="N2" s="129">
        <f>$J$2/données!R3</f>
        <v>0</v>
      </c>
      <c r="O2" s="83"/>
      <c r="P2" s="83"/>
      <c r="Q2" s="83">
        <f>($E$2*$B$2+($C$2*$F$2/9)+$F$2*$D$2+$G$2)*MAX($L$2:$N$2)</f>
        <v>0</v>
      </c>
      <c r="R2" s="85">
        <f>6.2*$J$2+13*$K$2+1*0.65*$J$2+($J$2/31)*24</f>
        <v>0</v>
      </c>
      <c r="S2" s="85">
        <f>6.2*$J$2+13*$K$2+5*0.65*$J$2+($J$2/31)*24</f>
        <v>0</v>
      </c>
      <c r="T2" s="128"/>
      <c r="U2" s="63"/>
      <c r="V2" s="63"/>
      <c r="W2" s="127">
        <f>(IF(Utilisateur!$G$26="Routier-Maritime",SUMPRODUCT(($Y$2:$AE$2&lt;&gt;0)*$Y$2:$AE$2)/SUMPRODUCT(($Y$2:$AE$2&lt;&gt;0)*1),0))*MAX($L$2:$N$2)</f>
        <v>0</v>
      </c>
      <c r="X2" s="63">
        <f>(IF('INPUT DATA 2'!$I$2="Port d'Anvers",données!$W$2,0)+IF('INPUT DATA 2'!$I$2="Port de Marseille",données!$W$3,0)+IF('INPUT DATA 2'!$I$2="Port du Havre",données!$W$4,0)+IF('INPUT DATA 2'!$I$2="Port de Rotterdam",données!$W$5,0)+IF('INPUT DATA 2'!$I$2="Port de Fos Sur Mer",données!$W$6,0))*MAX($L$2:$N$2)</f>
        <v>0</v>
      </c>
      <c r="Y2" s="63">
        <f>GETPIVOTDATA("Somme de Coût 20' Standard (€)",'tcd marchan'!$A$4)</f>
        <v>0</v>
      </c>
      <c r="Z2" s="63">
        <f>GETPIVOTDATA("Somme de Coût 40' Standard (€)",'tcd marchan'!$A$4)</f>
        <v>0</v>
      </c>
      <c r="AA2" s="63">
        <f>GETPIVOTDATA("Somme de Cout 20' Open Top (€)",'tcd marchan'!$A$4)</f>
        <v>2495.779</v>
      </c>
      <c r="AB2" s="63">
        <f>GETPIVOTDATA("Somme de Cout 40' Open Top (€)",'tcd marchan'!$A$4)</f>
        <v>3262.6880000000001</v>
      </c>
      <c r="AC2" s="63">
        <f>GETPIVOTDATA("Somme de Coût 20' Flat Rack",'tcd marchan'!$A$4)</f>
        <v>2495.779</v>
      </c>
      <c r="AD2" s="63">
        <f>GETPIVOTDATA("Somme de Coût 40' Flat Rack",'tcd marchan'!$A$4)</f>
        <v>3262.6880000000001</v>
      </c>
      <c r="AE2" s="63">
        <f>GETPIVOTDATA("Somme de Coût 40' High Cube PalletWide (€)",'tcd marchan'!$A$4)</f>
        <v>0</v>
      </c>
      <c r="AF2" s="63">
        <f>GETPIVOTDATA("Somme de Frais additionnel (€)",'tcd marchan'!$A$4)</f>
        <v>28.371200000000002</v>
      </c>
      <c r="AG2" s="63">
        <f>(IF(GETPIVOTDATA("Somme de Dont - Frais de manutention arrivé",'tcd marchan'!$A$4)=0,données!W7,GETPIVOTDATA("Somme de Dont - Frais de manutention arrivé",'tcd marchan'!$A$4)))*MAX($L$2:$N$2)</f>
        <v>0</v>
      </c>
      <c r="AH2" s="84"/>
    </row>
    <row r="3" spans="1:35" ht="15.6" customHeight="1" x14ac:dyDescent="0.25">
      <c r="A3" s="62" t="str">
        <f>données!$A$18</f>
        <v>Transformateur d'essaie</v>
      </c>
      <c r="B3" s="63">
        <f>'Mise A Jour BDD'!$B$4</f>
        <v>0.435</v>
      </c>
      <c r="C3" s="63">
        <f>'Mise A Jour BDD'!$B$6</f>
        <v>163.63999999999999</v>
      </c>
      <c r="D3" s="63">
        <f>'Mise A Jour BDD'!$B$8</f>
        <v>23.11</v>
      </c>
      <c r="E3" s="63">
        <f>'INPUT DATA 2'!$F$3</f>
        <v>0</v>
      </c>
      <c r="F3" s="63">
        <f>'INPUT DATA 2'!$G$3</f>
        <v>0</v>
      </c>
      <c r="G3" s="63">
        <f>'INPUT DATA 2'!$H$3</f>
        <v>0</v>
      </c>
      <c r="H3" s="63">
        <f>'INPUT DATA 2'!$L$3</f>
        <v>0</v>
      </c>
      <c r="I3" s="63">
        <f>'INPUT DATA 2'!$M$3</f>
        <v>0</v>
      </c>
      <c r="J3" s="63">
        <f>'INPUT DATA 2'!$N$3</f>
        <v>0</v>
      </c>
      <c r="K3" s="63">
        <f>'INPUT DATA 2'!$O$3</f>
        <v>0</v>
      </c>
      <c r="L3" s="129">
        <f>$I$3/données!T6</f>
        <v>0</v>
      </c>
      <c r="M3" s="129">
        <f>$H$3/données!$S$6</f>
        <v>0</v>
      </c>
      <c r="N3" s="129">
        <f>$J$3/données!$R$6</f>
        <v>0</v>
      </c>
      <c r="O3" s="83"/>
      <c r="P3" s="83"/>
      <c r="Q3" s="83">
        <f>($E$3*$B$3+($C$3*$F$3/9)+$F$3*$D$3+$G$3)*MAX($L$3:$N$3)</f>
        <v>0</v>
      </c>
      <c r="R3" s="85">
        <f>6.2*$J$3+13*$K$3+1*0.65*$J$3+($J$3/31)*24</f>
        <v>0</v>
      </c>
      <c r="S3" s="85">
        <f>6.2*$J$3+13*$K$3+5*0.65*$J$3+($J$3/31)*24</f>
        <v>0</v>
      </c>
      <c r="T3" s="128"/>
      <c r="U3" s="63"/>
      <c r="V3" s="63"/>
      <c r="W3" s="127">
        <f>(IF(Utilisateur!$G$27="Routier-Maritime",SUMPRODUCT(($Y$3:$AE$3&lt;&gt;0)*$Y$3:$AE$3)/SUMPRODUCT(($Y$3:$AE$3&lt;&gt;0)*1),0))*MAX($L$3:$N$3)</f>
        <v>0</v>
      </c>
      <c r="X3" s="63">
        <f>(IF('INPUT DATA 2'!$I$3="Port d'Anvers",données!$W$2,0)+IF('INPUT DATA 2'!$I$3="Port de Marseille",données!$W$3,0)+IF('INPUT DATA 2'!$I$3="Port du Havre",données!$W$4,0)+IF('INPUT DATA 2'!$I$3="Port de Rotterdam",données!$W$5,0)+IF('INPUT DATA 2'!$I$3="Port de Fos Sur Mer",données!$W$6,0))*MAX($L$3:$N$3)</f>
        <v>0</v>
      </c>
      <c r="Y3" s="63">
        <f>GETPIVOTDATA("Somme de Coût 20' Standard (€)",'tcd transfo'!$A$4)</f>
        <v>1084.3118000000002</v>
      </c>
      <c r="Z3" s="63">
        <f>GETPIVOTDATA("Somme de Coût 40' Standard (€)",'tcd transfo'!$A$4)</f>
        <v>1368.0238000000002</v>
      </c>
      <c r="AA3" s="63">
        <f>GETPIVOTDATA("Somme de Cout 20' Open Top (€)",'tcd transfo'!$A$4)</f>
        <v>0</v>
      </c>
      <c r="AB3" s="63">
        <f>GETPIVOTDATA("Somme de Cout 40' Open Top (€)",'tcd transfo'!$A$4)</f>
        <v>0</v>
      </c>
      <c r="AC3" s="63">
        <f>GETPIVOTDATA("Somme de Coût 20' Flat Rack",'tcd transfo'!$A$4)</f>
        <v>0</v>
      </c>
      <c r="AD3" s="63">
        <f>GETPIVOTDATA("Somme de Coût 40' Flat Rack",'tcd transfo'!$A$4)</f>
        <v>0</v>
      </c>
      <c r="AE3" s="63">
        <f>GETPIVOTDATA("Somme de Coût 40' High Cube PalletWide (€)",'tcd transfo'!$A$4)</f>
        <v>1368.0238000000002</v>
      </c>
      <c r="AF3" s="63">
        <f>GETPIVOTDATA("Somme de Frais additionnel (€)",'tcd transfo'!$A$4)</f>
        <v>0</v>
      </c>
      <c r="AG3" s="63">
        <f>(IF(GETPIVOTDATA("Somme de Dont - Frais de manutention arrivé",'tcd marchan'!$A$4)=0,données!W7,GETPIVOTDATA("Somme de Dont - Frais de manutention arrivé",'tcd marchan'!$A$4)))*MAX($L$3:$N$3)</f>
        <v>0</v>
      </c>
      <c r="AH3" s="84"/>
    </row>
    <row r="4" spans="1:35" ht="15.6" customHeight="1" x14ac:dyDescent="0.25">
      <c r="A4" s="62" t="str">
        <f>données!$A$19</f>
        <v>Outilllage</v>
      </c>
      <c r="B4" s="63">
        <f>'Mise A Jour BDD'!$B$4</f>
        <v>0.435</v>
      </c>
      <c r="C4" s="63">
        <f>'Mise A Jour BDD'!$B$6</f>
        <v>163.63999999999999</v>
      </c>
      <c r="D4" s="63">
        <f>'Mise A Jour BDD'!$B$8</f>
        <v>23.11</v>
      </c>
      <c r="E4" s="63">
        <f>'INPUT DATA 2'!$F$4</f>
        <v>0</v>
      </c>
      <c r="F4" s="63">
        <f>'INPUT DATA 2'!$G$4</f>
        <v>0</v>
      </c>
      <c r="G4" s="63">
        <f>'INPUT DATA 2'!$H$4</f>
        <v>0</v>
      </c>
      <c r="H4" s="63">
        <f>'INPUT DATA 2'!$L$4</f>
        <v>0</v>
      </c>
      <c r="I4" s="63">
        <f>'INPUT DATA 2'!$M$4</f>
        <v>0</v>
      </c>
      <c r="J4" s="63">
        <f>'INPUT DATA 2'!$N$4</f>
        <v>0</v>
      </c>
      <c r="K4" s="63">
        <f>'INPUT DATA 2'!$O$4</f>
        <v>0</v>
      </c>
      <c r="L4" s="129">
        <f>$I$2/données!T6</f>
        <v>0</v>
      </c>
      <c r="M4" s="129">
        <f>$H$3/données!$S$6</f>
        <v>0</v>
      </c>
      <c r="N4" s="129">
        <f>$J$3/données!$R$6</f>
        <v>0</v>
      </c>
      <c r="O4" s="83"/>
      <c r="P4" s="83"/>
      <c r="Q4" s="83">
        <f>($E$4*$B$4+($C$4*$F$4/9)+$F$4*$D$4+$G$4)*MAX($L$4:$N$4)</f>
        <v>0</v>
      </c>
      <c r="R4" s="85">
        <f>6.2*$J$4+13*$K$4+1*0.65*$J$4+($J$4/31)*24</f>
        <v>0</v>
      </c>
      <c r="S4" s="85">
        <f>6.2*$J$4+13*$K$4+5*0.65*$J$4+($J$4/31)*24</f>
        <v>0</v>
      </c>
      <c r="T4" s="128"/>
      <c r="U4" s="63"/>
      <c r="V4" s="63"/>
      <c r="W4" s="127">
        <f>(IF(Utilisateur!$G$28="Routier-Maritime",SUMPRODUCT(($Y$4:$AE$4&lt;&gt;0)*$Y$4:$AE$4)/SUMPRODUCT(($Y$4:$AE$4&lt;&gt;0)*1),0))*MAX($L$4:$N$4)</f>
        <v>0</v>
      </c>
      <c r="X4" s="63">
        <f>(IF('INPUT DATA 2'!$I$4="Port d'Anvers",données!$W$2,0)+IF('INPUT DATA 2'!$I$4="Port de Marseille",données!$W$3,0)+IF('INPUT DATA 2'!$I$4="Port du Havre",données!$W$4,0)+IF('INPUT DATA 2'!$I$4="Port de Rotterdam",données!$W$5,0)+IF('INPUT DATA 2'!$I$4="Port de Fos Sur Mer",données!$W$6,0))*MAX($L$4:$N$4)</f>
        <v>0</v>
      </c>
      <c r="Y4" s="63">
        <f>GETPIVOTDATA("Somme de Coût 20' Standard (€)",'tcd outil'!$A$4)</f>
        <v>0</v>
      </c>
      <c r="Z4" s="63">
        <f>GETPIVOTDATA("Somme de Coût 40' Standard (€)",'tcd outil'!$A$4)</f>
        <v>0</v>
      </c>
      <c r="AA4" s="63">
        <f>GETPIVOTDATA("Somme de Cout 20' Open Top (€)",'tcd outil'!$A$4)</f>
        <v>2495.779</v>
      </c>
      <c r="AB4" s="63">
        <f>GETPIVOTDATA("Somme de Cout 40' Open Top (€)",'tcd outil'!$A$4)</f>
        <v>3262.6880000000001</v>
      </c>
      <c r="AC4" s="63">
        <f>GETPIVOTDATA("Somme de Coût 20' Flat Rack",'tcd outil'!$A$4)</f>
        <v>2495.779</v>
      </c>
      <c r="AD4" s="63">
        <f>GETPIVOTDATA("Somme de Coût 40' Flat Rack",'tcd outil'!$A$4)</f>
        <v>3262.6880000000001</v>
      </c>
      <c r="AE4" s="63">
        <f>GETPIVOTDATA("Somme de Coût 40' High Cube PalletWide (€)",'tcd outil'!$A$4)</f>
        <v>0</v>
      </c>
      <c r="AF4" s="63">
        <f>GETPIVOTDATA("Somme de Frais additionnel (€)",'tcd outil'!$A$4)</f>
        <v>28.371200000000002</v>
      </c>
      <c r="AG4" s="63">
        <f>(IF(GETPIVOTDATA("Somme de Dont - Frais de manutention arrivé",'tcd marchan'!$A$4)=0,données!W7,GETPIVOTDATA("Somme de Dont - Frais de manutention arrivé",'tcd marchan'!$A$4)))*MAX($L$4:$N$4)</f>
        <v>0</v>
      </c>
      <c r="AH4" s="84"/>
    </row>
    <row r="8" spans="1:35" ht="15.6" customHeight="1" x14ac:dyDescent="0.25">
      <c r="A8" s="62" t="str">
        <f>données!$C$17</f>
        <v xml:space="preserve">Cellules </v>
      </c>
      <c r="B8" s="63">
        <f>'Mise A Jour BDD'!$E$4</f>
        <v>0.441</v>
      </c>
      <c r="C8" s="63">
        <f>'Mise A Jour BDD'!$E$6</f>
        <v>224.73</v>
      </c>
      <c r="D8" s="63">
        <f>'Mise A Jour BDD'!$E$8</f>
        <v>25.11</v>
      </c>
      <c r="E8" s="63"/>
      <c r="F8" s="63"/>
      <c r="G8" s="63"/>
      <c r="H8" s="63"/>
      <c r="I8" s="63"/>
      <c r="J8" s="63"/>
      <c r="K8" s="63"/>
      <c r="L8" s="129"/>
      <c r="M8" s="129"/>
      <c r="N8" s="129"/>
      <c r="O8" s="83"/>
      <c r="P8" s="83"/>
      <c r="Q8" s="83">
        <f>($E$8*$B$8+($C$8*$F$8/9)+$F$8*$D$8+$G$8)*MAX($L$8:$N$8)</f>
        <v>0</v>
      </c>
      <c r="R8" s="85">
        <f>6.2*$J$8+13*$K$8+1*0.65*$J$8+($J$8/31)*24</f>
        <v>0</v>
      </c>
      <c r="S8" s="85">
        <f>6.2*$J$8+13*$K$8+5*0.65*$J$8+($J$8/31)*24</f>
        <v>0</v>
      </c>
      <c r="T8" s="128"/>
      <c r="U8" s="63"/>
      <c r="V8" s="63"/>
      <c r="W8" s="127">
        <f>IF(Utilisateur!$G$29="Routier-Maritime",SUMPRODUCT(($Y$8:$AE$8&lt;&gt;0)*$Y$8:$AE$8)/SUMPRODUCT(($Y$8:$AE$8&lt;&gt;0)*1),0)</f>
        <v>0</v>
      </c>
      <c r="X8" s="63">
        <f>(IF('INPUT DATA 2'!$I$5="Port d'Anvers",données!$W$2,0)+IF('INPUT DATA 2'!$I$5="Port de Marseille",données!$W$3,0)+IF('INPUT DATA 2'!$I$5="Port du Havre",données!$W$4,0)+IF('INPUT DATA 2'!$I$5="Port de Rotterdam",données!$W$5,0)+IF('INPUT DATA 2'!$I$5="Port de Fos Sur Mer",données!$W$6,0))*MAX($L$8:$N$8)</f>
        <v>0</v>
      </c>
      <c r="Y8" s="63">
        <f>GETPIVOTDATA("Somme de Coût 20' Standard (€)",'tcd marchan'!$A$4)</f>
        <v>0</v>
      </c>
      <c r="Z8" s="63">
        <f>GETPIVOTDATA("Somme de Coût 40' Standard (€)",'tcd marchan'!$A$4)</f>
        <v>0</v>
      </c>
      <c r="AA8" s="63">
        <f>GETPIVOTDATA("Somme de Cout 20' Open Top (€)",'tcd marchan'!$A$4)</f>
        <v>2495.779</v>
      </c>
      <c r="AB8" s="63">
        <f>GETPIVOTDATA("Somme de Cout 40' Open Top (€)",'tcd marchan'!$A$4)</f>
        <v>3262.6880000000001</v>
      </c>
      <c r="AC8" s="63">
        <f>GETPIVOTDATA("Somme de Coût 20' Flat Rack",'tcd marchan'!$A$4)</f>
        <v>2495.779</v>
      </c>
      <c r="AD8" s="63">
        <f>GETPIVOTDATA("Somme de Coût 40' Flat Rack",'tcd marchan'!$A$4)</f>
        <v>3262.6880000000001</v>
      </c>
      <c r="AE8" s="63">
        <f>GETPIVOTDATA("Somme de Coût 40' High Cube PalletWide (€)",'tcd marchan'!$A$4)</f>
        <v>0</v>
      </c>
      <c r="AF8" s="63">
        <f>GETPIVOTDATA("Somme de Frais additionnel (€)",'tcd marchan'!$A$4)</f>
        <v>28.371200000000002</v>
      </c>
      <c r="AG8" s="63">
        <f>(IF(GETPIVOTDATA("Somme de Dont - Frais de manutention arrivé",'tcd marchan'!$A$4)=0,données!W7,GETPIVOTDATA("Somme de Dont - Frais de manutention arrivé",'tcd marchan'!$A$4)))*MAX($L$8:$N$8)</f>
        <v>0</v>
      </c>
      <c r="AH8" s="84">
        <f>2980*($W$8+$AG$8+$AF$8+$X$8)</f>
        <v>84546.176000000007</v>
      </c>
    </row>
    <row r="9" spans="1:35" ht="15.6" customHeight="1" x14ac:dyDescent="0.25">
      <c r="A9" s="62" t="str">
        <f>données!$C$18</f>
        <v>Pôles dijoncteurs</v>
      </c>
      <c r="B9" s="63">
        <f>'Mise A Jour BDD'!$E$4</f>
        <v>0.441</v>
      </c>
      <c r="C9" s="63">
        <f>'Mise A Jour BDD'!$E$6</f>
        <v>224.73</v>
      </c>
      <c r="D9" s="63">
        <f>'Mise A Jour BDD'!$E$8</f>
        <v>25.11</v>
      </c>
      <c r="E9" s="63"/>
      <c r="F9" s="63"/>
      <c r="G9" s="63"/>
      <c r="H9" s="63"/>
      <c r="I9" s="63"/>
      <c r="J9" s="63"/>
      <c r="K9" s="63"/>
      <c r="L9" s="129"/>
      <c r="M9" s="129"/>
      <c r="N9" s="129"/>
      <c r="O9" s="83"/>
      <c r="P9" s="83"/>
      <c r="Q9" s="83">
        <f>($E$9*$B$9+($C$9*$F$9/9)+$F$9*$D$9+$G$9)*MAX($L$9:$N$9)</f>
        <v>0</v>
      </c>
      <c r="R9" s="85">
        <f>6.2*$J$9+13*$K$9+1*0.65*$J$9+($J$9/31)*24</f>
        <v>0</v>
      </c>
      <c r="S9" s="85">
        <f>6.2*$J$9+13*$K$9+5*0.65*$J$9+($J$9/31)*24</f>
        <v>0</v>
      </c>
      <c r="T9" s="128"/>
      <c r="U9" s="63"/>
      <c r="V9" s="63"/>
      <c r="W9" s="127">
        <f>IF(Utilisateur!$G$30="Routier-Maritime",SUMPRODUCT(($Y$9:$AE$9&lt;&gt;0)*$Y$9:$AE$9)/SUMPRODUCT(($Y$9:$AE$9&lt;&gt;0)*1),0)</f>
        <v>0</v>
      </c>
      <c r="X9" s="63">
        <f>(IF('INPUT DATA 2'!$I$6="Port d'Anvers",données!$W$2,0)+IF('INPUT DATA 2'!$I$6="Port de Marseille",données!$W$3,0)+IF('INPUT DATA 2'!$I$6="Port du Havre",données!$W$4,0)+IF('INPUT DATA 2'!$I$6="Port de Rotterdam",données!$W$5,0)+IF('INPUT DATA 2'!$I$6="Port de Fos Sur Mer",données!$W$6,0))*MAX($L$9:$N$9)</f>
        <v>0</v>
      </c>
      <c r="Y9" s="63">
        <f>GETPIVOTDATA("Somme de Coût 20' Standard (€)",'tcd marchan'!$A$4)</f>
        <v>0</v>
      </c>
      <c r="Z9" s="63">
        <f>GETPIVOTDATA("Somme de Coût 40' Standard (€)",'tcd marchan'!$A$4)</f>
        <v>0</v>
      </c>
      <c r="AA9" s="63">
        <f>GETPIVOTDATA("Somme de Cout 20' Open Top (€)",'tcd marchan'!$A$4)</f>
        <v>2495.779</v>
      </c>
      <c r="AB9" s="63">
        <f>GETPIVOTDATA("Somme de Cout 40' Open Top (€)",'tcd marchan'!$A$4)</f>
        <v>3262.6880000000001</v>
      </c>
      <c r="AC9" s="63">
        <f>GETPIVOTDATA("Somme de Coût 20' Flat Rack",'tcd marchan'!$A$4)</f>
        <v>2495.779</v>
      </c>
      <c r="AD9" s="63">
        <f>GETPIVOTDATA("Somme de Coût 40' Flat Rack",'tcd marchan'!$A$4)</f>
        <v>3262.6880000000001</v>
      </c>
      <c r="AE9" s="63">
        <f>GETPIVOTDATA("Somme de Coût 40' High Cube PalletWide (€)",'tcd marchan'!$A$4)</f>
        <v>0</v>
      </c>
      <c r="AF9" s="63">
        <f>GETPIVOTDATA("Somme de Frais additionnel (€)",'tcd marchan'!$A$4)</f>
        <v>28.371200000000002</v>
      </c>
      <c r="AG9" s="63">
        <f>(IF(GETPIVOTDATA("Somme de Dont - Frais de manutention arrivé",'tcd marchan'!$A$4)=0,données!W7,GETPIVOTDATA("Somme de Dont - Frais de manutention arrivé",'tcd marchan'!$A$4)))*MAX($L$9:$N$9)</f>
        <v>0</v>
      </c>
      <c r="AH9" s="84"/>
    </row>
    <row r="10" spans="1:35" ht="15.6" customHeight="1" x14ac:dyDescent="0.25">
      <c r="A10" s="62" t="str">
        <f>données!$C$19</f>
        <v>Parafoudre</v>
      </c>
      <c r="B10" s="63">
        <f>'Mise A Jour BDD'!$E$4</f>
        <v>0.441</v>
      </c>
      <c r="C10" s="63">
        <f>'Mise A Jour BDD'!$E$6</f>
        <v>224.73</v>
      </c>
      <c r="D10" s="63">
        <f>'Mise A Jour BDD'!$E$8</f>
        <v>25.11</v>
      </c>
      <c r="E10" s="63"/>
      <c r="F10" s="63"/>
      <c r="G10" s="63"/>
      <c r="H10" s="63"/>
      <c r="I10" s="63"/>
      <c r="J10" s="63"/>
      <c r="K10" s="63"/>
      <c r="L10" s="63"/>
      <c r="M10" s="63"/>
      <c r="N10" s="63"/>
      <c r="O10" s="83"/>
      <c r="P10" s="83"/>
      <c r="Q10" s="83"/>
      <c r="R10" s="85"/>
      <c r="S10" s="85"/>
      <c r="T10" s="128"/>
      <c r="U10" s="63"/>
      <c r="V10" s="63"/>
      <c r="W10" s="127"/>
      <c r="X10" s="63"/>
      <c r="Y10" s="63"/>
      <c r="Z10" s="63"/>
      <c r="AA10" s="63"/>
      <c r="AB10" s="63"/>
      <c r="AC10" s="63"/>
      <c r="AD10" s="63"/>
      <c r="AE10" s="63"/>
      <c r="AF10" s="63"/>
      <c r="AG10" s="63"/>
      <c r="AH10" s="84"/>
    </row>
    <row r="11" spans="1:35" x14ac:dyDescent="0.25">
      <c r="A11" s="62"/>
      <c r="B11" s="63">
        <f>'Mise A Jour BDD'!$E$4</f>
        <v>0.441</v>
      </c>
      <c r="C11" s="63">
        <f>'Mise A Jour BDD'!$E$6</f>
        <v>224.73</v>
      </c>
      <c r="D11" s="63">
        <f>'Mise A Jour BDD'!$E$8</f>
        <v>25.11</v>
      </c>
      <c r="E11" s="63"/>
      <c r="F11" s="63"/>
      <c r="G11" s="63"/>
      <c r="H11" s="63"/>
      <c r="I11" s="63"/>
      <c r="J11" s="63"/>
      <c r="K11" s="63"/>
      <c r="L11" s="63"/>
      <c r="M11" s="63"/>
      <c r="N11" s="63"/>
      <c r="O11" s="83"/>
      <c r="P11" s="83"/>
      <c r="Q11" s="83"/>
      <c r="R11" s="85"/>
      <c r="S11" s="85"/>
      <c r="T11" s="128"/>
      <c r="U11" s="63"/>
      <c r="V11" s="63"/>
      <c r="W11" s="127"/>
      <c r="X11" s="63"/>
      <c r="Y11" s="63"/>
      <c r="Z11" s="63"/>
      <c r="AA11" s="63"/>
      <c r="AB11" s="63"/>
      <c r="AC11" s="63"/>
      <c r="AD11" s="63"/>
      <c r="AE11" s="63"/>
      <c r="AF11" s="63"/>
      <c r="AG11" s="63"/>
      <c r="AH11" s="84"/>
    </row>
    <row r="12" spans="1:35" x14ac:dyDescent="0.25">
      <c r="A12" s="62"/>
    </row>
    <row r="14" spans="1:35" ht="14.25" customHeight="1" x14ac:dyDescent="0.25">
      <c r="J14" s="88"/>
      <c r="K14" s="88"/>
      <c r="L14" s="88"/>
      <c r="M14" s="88"/>
      <c r="N14" s="125"/>
      <c r="O14" s="89"/>
      <c r="P14" s="125"/>
      <c r="Q14" s="125"/>
      <c r="R14" s="125"/>
      <c r="S14" s="60"/>
      <c r="T14" s="60"/>
      <c r="U14" s="60"/>
      <c r="V14" s="60"/>
      <c r="W14" s="60"/>
      <c r="AC14" s="88"/>
      <c r="AH14" s="60"/>
    </row>
    <row r="15" spans="1:35" ht="14.25" customHeight="1" x14ac:dyDescent="0.25">
      <c r="J15" s="88"/>
      <c r="K15" s="88"/>
      <c r="L15" s="88"/>
      <c r="M15" s="88"/>
      <c r="N15" s="125"/>
      <c r="O15" s="89"/>
      <c r="P15" s="125"/>
      <c r="Q15" s="125"/>
      <c r="R15" s="125"/>
      <c r="S15" s="60"/>
      <c r="T15" s="60"/>
      <c r="U15" s="60"/>
      <c r="V15" s="60"/>
      <c r="W15" s="60"/>
      <c r="AC15" s="88"/>
      <c r="AH15" s="60"/>
    </row>
    <row r="16" spans="1:35" ht="14.25" customHeight="1" x14ac:dyDescent="0.25">
      <c r="J16" s="88"/>
      <c r="K16" s="88"/>
      <c r="L16" s="88"/>
      <c r="M16" s="88"/>
      <c r="N16" s="125"/>
      <c r="O16" s="89"/>
      <c r="P16" s="125"/>
      <c r="Q16" s="125"/>
      <c r="R16" s="125"/>
      <c r="S16" s="60"/>
      <c r="T16" s="60"/>
      <c r="U16" s="60"/>
      <c r="V16" s="60"/>
      <c r="W16" s="60"/>
      <c r="AC16" s="88"/>
      <c r="AH16" s="60"/>
    </row>
    <row r="17" spans="10:34" ht="14.25" customHeight="1" x14ac:dyDescent="0.25">
      <c r="J17" s="88"/>
      <c r="K17" s="88"/>
      <c r="L17" s="88"/>
      <c r="M17" s="88"/>
      <c r="N17" s="125"/>
      <c r="O17" s="89"/>
      <c r="P17" s="125"/>
      <c r="Q17" s="125"/>
      <c r="R17" s="125"/>
      <c r="S17" s="60"/>
      <c r="T17" s="60"/>
      <c r="U17" s="60"/>
      <c r="V17" s="60"/>
      <c r="W17" s="60"/>
      <c r="AC17" s="88"/>
      <c r="AH17" s="60"/>
    </row>
    <row r="18" spans="10:34" ht="14.25" customHeight="1" x14ac:dyDescent="0.25">
      <c r="J18" s="88"/>
      <c r="K18" s="88"/>
      <c r="L18" s="88"/>
      <c r="M18" s="88"/>
      <c r="N18" s="125"/>
      <c r="O18" s="89"/>
      <c r="P18" s="125"/>
      <c r="Q18" s="125"/>
      <c r="R18" s="125"/>
      <c r="S18" s="60"/>
      <c r="T18" s="60"/>
      <c r="U18" s="60"/>
      <c r="V18" s="60"/>
      <c r="W18" s="60"/>
      <c r="AC18" s="88"/>
      <c r="AH18" s="60"/>
    </row>
    <row r="19" spans="10:34" ht="14.25" customHeight="1" x14ac:dyDescent="0.25">
      <c r="J19" s="88"/>
      <c r="K19" s="88"/>
      <c r="L19" s="88"/>
      <c r="M19" s="88"/>
      <c r="N19" s="125"/>
      <c r="O19" s="89"/>
      <c r="P19" s="125"/>
      <c r="Q19" s="125"/>
      <c r="R19" s="125"/>
      <c r="S19" s="60"/>
      <c r="T19" s="60"/>
      <c r="U19" s="60"/>
      <c r="V19" s="60"/>
      <c r="W19" s="60"/>
      <c r="AC19" s="88"/>
      <c r="AH19" s="60"/>
    </row>
    <row r="20" spans="10:34" ht="14.25" customHeight="1" x14ac:dyDescent="0.25">
      <c r="J20" s="88"/>
      <c r="K20" s="88"/>
      <c r="L20" s="88"/>
      <c r="M20" s="88"/>
      <c r="N20" s="125"/>
      <c r="O20" s="89"/>
      <c r="P20" s="125"/>
      <c r="Q20" s="125"/>
      <c r="R20" s="125"/>
      <c r="S20" s="60"/>
      <c r="T20" s="60"/>
      <c r="U20" s="60"/>
      <c r="V20" s="60"/>
      <c r="W20" s="60"/>
      <c r="AC20" s="88"/>
      <c r="AH20" s="60"/>
    </row>
    <row r="21" spans="10:34" ht="14.25" customHeight="1" x14ac:dyDescent="0.25"/>
    <row r="22" spans="10:34" ht="14.25" customHeight="1" x14ac:dyDescent="0.25"/>
    <row r="23" spans="10:34" ht="14.25" customHeight="1" x14ac:dyDescent="0.25"/>
    <row r="24" spans="10:34" ht="14.25" customHeight="1" x14ac:dyDescent="0.25"/>
    <row r="25" spans="10:34" ht="14.25" customHeight="1" x14ac:dyDescent="0.25"/>
    <row r="26" spans="10:34" ht="14.25" customHeight="1" x14ac:dyDescent="0.25"/>
    <row r="27" spans="10:34" ht="14.25" customHeight="1" x14ac:dyDescent="0.25"/>
    <row r="28" spans="10:34" ht="14.25" customHeight="1" x14ac:dyDescent="0.25"/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0000"/>
  </sheetPr>
  <dimension ref="A1:AE22"/>
  <sheetViews>
    <sheetView zoomScale="71" zoomScaleNormal="85" workbookViewId="0">
      <selection activeCell="D24" sqref="D24"/>
    </sheetView>
  </sheetViews>
  <sheetFormatPr baseColWidth="10" defaultColWidth="11.42578125" defaultRowHeight="15.75" x14ac:dyDescent="0.25"/>
  <cols>
    <col min="1" max="1" width="38.28515625" style="64" customWidth="1"/>
    <col min="2" max="2" width="11.42578125" style="64"/>
    <col min="3" max="3" width="34.28515625" style="64" customWidth="1"/>
    <col min="4" max="4" width="11.42578125" style="64"/>
    <col min="5" max="5" width="25" style="64" customWidth="1"/>
    <col min="6" max="6" width="11.42578125" style="64"/>
    <col min="7" max="7" width="11.5703125" style="64" customWidth="1"/>
    <col min="8" max="8" width="19.85546875" style="64" customWidth="1"/>
    <col min="9" max="9" width="33.7109375" style="64" customWidth="1"/>
    <col min="10" max="10" width="19.7109375" style="64" customWidth="1"/>
    <col min="11" max="13" width="11.42578125" style="64"/>
    <col min="14" max="14" width="15.28515625" style="64" customWidth="1"/>
    <col min="15" max="21" width="11.42578125" style="64"/>
    <col min="22" max="22" width="39.140625" style="64" customWidth="1"/>
    <col min="23" max="23" width="14.85546875" style="64" customWidth="1"/>
    <col min="24" max="16384" width="11.42578125" style="64"/>
  </cols>
  <sheetData>
    <row r="1" spans="1:31" s="120" customFormat="1" ht="46.5" customHeight="1" thickTop="1" x14ac:dyDescent="0.25">
      <c r="A1" s="119" t="s">
        <v>23</v>
      </c>
      <c r="C1" s="119" t="s">
        <v>284</v>
      </c>
      <c r="E1" s="119" t="s">
        <v>52</v>
      </c>
      <c r="G1" s="171" t="s">
        <v>72</v>
      </c>
      <c r="H1" s="172"/>
      <c r="I1" s="172"/>
      <c r="J1" s="172"/>
      <c r="K1" s="172"/>
      <c r="L1" s="173"/>
      <c r="N1" s="176" t="s">
        <v>296</v>
      </c>
      <c r="O1" s="177"/>
      <c r="P1" s="177"/>
      <c r="Q1" s="177"/>
      <c r="R1" s="177"/>
      <c r="S1" s="177"/>
      <c r="T1" s="178"/>
      <c r="V1" s="174" t="s">
        <v>295</v>
      </c>
      <c r="W1" s="175"/>
      <c r="Y1" s="176" t="s">
        <v>314</v>
      </c>
      <c r="Z1" s="177"/>
      <c r="AA1" s="177"/>
      <c r="AB1" s="177"/>
      <c r="AC1" s="177"/>
      <c r="AD1" s="177"/>
      <c r="AE1" s="178"/>
    </row>
    <row r="2" spans="1:31" ht="31.5" x14ac:dyDescent="0.25">
      <c r="A2" s="117" t="s">
        <v>32</v>
      </c>
      <c r="C2" s="117" t="s">
        <v>312</v>
      </c>
      <c r="E2" s="117" t="s">
        <v>271</v>
      </c>
      <c r="G2" s="112" t="s">
        <v>20</v>
      </c>
      <c r="H2" s="58" t="s">
        <v>24</v>
      </c>
      <c r="I2" s="58" t="s">
        <v>25</v>
      </c>
      <c r="J2" s="58" t="s">
        <v>26</v>
      </c>
      <c r="K2" s="58" t="s">
        <v>27</v>
      </c>
      <c r="L2" s="107" t="s">
        <v>28</v>
      </c>
      <c r="N2" s="106"/>
      <c r="O2" s="58" t="s">
        <v>306</v>
      </c>
      <c r="P2" s="58" t="s">
        <v>307</v>
      </c>
      <c r="Q2" s="58" t="s">
        <v>308</v>
      </c>
      <c r="R2" s="58" t="s">
        <v>304</v>
      </c>
      <c r="S2" s="58" t="s">
        <v>305</v>
      </c>
      <c r="T2" s="107" t="s">
        <v>303</v>
      </c>
      <c r="V2" s="1" t="s">
        <v>66</v>
      </c>
      <c r="W2" s="91">
        <v>190</v>
      </c>
      <c r="Y2" s="106"/>
      <c r="Z2" s="58" t="s">
        <v>306</v>
      </c>
      <c r="AA2" s="58" t="s">
        <v>307</v>
      </c>
      <c r="AB2" s="58" t="s">
        <v>308</v>
      </c>
      <c r="AC2" s="58" t="s">
        <v>304</v>
      </c>
      <c r="AD2" s="58" t="s">
        <v>305</v>
      </c>
      <c r="AE2" s="107" t="s">
        <v>303</v>
      </c>
    </row>
    <row r="3" spans="1:31" ht="31.5" thickBot="1" x14ac:dyDescent="0.4">
      <c r="A3" s="117" t="s">
        <v>274</v>
      </c>
      <c r="C3" s="117" t="s">
        <v>313</v>
      </c>
      <c r="E3" s="118" t="s">
        <v>270</v>
      </c>
      <c r="G3" s="112" t="s">
        <v>73</v>
      </c>
      <c r="H3" s="3" t="s">
        <v>66</v>
      </c>
      <c r="I3" s="3" t="s">
        <v>74</v>
      </c>
      <c r="J3" s="3">
        <f>'Mise A Jour BDD'!$J$5</f>
        <v>873.22</v>
      </c>
      <c r="K3" s="3">
        <f>'Mise A Jour BDD'!$K$5</f>
        <v>11.5</v>
      </c>
      <c r="L3" s="91">
        <f>'Mise A Jour BDD'!$L$5</f>
        <v>142.6</v>
      </c>
      <c r="N3" s="1" t="s">
        <v>285</v>
      </c>
      <c r="O3" s="123">
        <v>13.4</v>
      </c>
      <c r="P3" s="123">
        <v>2.4</v>
      </c>
      <c r="Q3" s="123">
        <v>3.04</v>
      </c>
      <c r="R3" s="65">
        <f>PRODUCT($O$3:$P$3)</f>
        <v>32.159999999999997</v>
      </c>
      <c r="S3" s="65">
        <f>PRODUCT($O$3:$Q$3)</f>
        <v>97.76639999999999</v>
      </c>
      <c r="T3" s="108">
        <v>26000</v>
      </c>
      <c r="V3" s="1" t="s">
        <v>56</v>
      </c>
      <c r="W3" s="91">
        <v>230</v>
      </c>
      <c r="Y3" s="1" t="s">
        <v>315</v>
      </c>
      <c r="Z3" s="123">
        <v>5.9</v>
      </c>
      <c r="AA3" s="123">
        <v>2.35</v>
      </c>
      <c r="AB3" s="123">
        <v>2.39</v>
      </c>
      <c r="AC3" s="65">
        <f>PRODUCT($Z$3:$AA$3)</f>
        <v>13.865000000000002</v>
      </c>
      <c r="AD3" s="65">
        <f>PRODUCT($Z$3:$AB$3)</f>
        <v>33.137350000000005</v>
      </c>
      <c r="AE3" s="108">
        <v>28250</v>
      </c>
    </row>
    <row r="4" spans="1:31" ht="32.1" thickTop="1" thickBot="1" x14ac:dyDescent="0.4">
      <c r="A4" s="117" t="s">
        <v>33</v>
      </c>
      <c r="C4" s="118" t="s">
        <v>34</v>
      </c>
      <c r="G4" s="112" t="s">
        <v>75</v>
      </c>
      <c r="H4" s="3" t="s">
        <v>56</v>
      </c>
      <c r="I4" s="3" t="s">
        <v>76</v>
      </c>
      <c r="J4" s="3">
        <f>'Mise A Jour BDD'!$J$6</f>
        <v>377.9</v>
      </c>
      <c r="K4" s="3">
        <f>'Mise A Jour BDD'!$K$6</f>
        <v>5.25</v>
      </c>
      <c r="L4" s="91">
        <f>'Mise A Jour BDD'!$L$6</f>
        <v>93.2</v>
      </c>
      <c r="N4" s="1" t="s">
        <v>286</v>
      </c>
      <c r="O4" s="123">
        <v>13.6</v>
      </c>
      <c r="P4" s="123">
        <v>2.5499999999999998</v>
      </c>
      <c r="Q4" s="123">
        <v>3.1</v>
      </c>
      <c r="R4" s="65">
        <f>PRODUCT($O$4:$P$4)</f>
        <v>34.68</v>
      </c>
      <c r="S4" s="65">
        <f>PRODUCT($O$4:$Q$4)</f>
        <v>107.508</v>
      </c>
      <c r="T4" s="108">
        <v>26000</v>
      </c>
      <c r="V4" s="1" t="s">
        <v>69</v>
      </c>
      <c r="W4" s="91">
        <v>195</v>
      </c>
      <c r="Y4" s="1" t="s">
        <v>316</v>
      </c>
      <c r="Z4" s="123">
        <v>12.03</v>
      </c>
      <c r="AA4" s="123">
        <v>2.35</v>
      </c>
      <c r="AB4" s="123">
        <v>2.39</v>
      </c>
      <c r="AC4" s="65">
        <f>PRODUCT($Z$4:$AA$4)</f>
        <v>28.270499999999998</v>
      </c>
      <c r="AD4" s="65">
        <f>PRODUCT($Z$4:$AB$4)</f>
        <v>67.566495000000003</v>
      </c>
      <c r="AE4" s="108">
        <v>26740</v>
      </c>
    </row>
    <row r="5" spans="1:31" ht="32.25" thickTop="1" x14ac:dyDescent="0.25">
      <c r="A5" s="117" t="s">
        <v>35</v>
      </c>
      <c r="G5" s="112" t="s">
        <v>75</v>
      </c>
      <c r="H5" s="3" t="s">
        <v>69</v>
      </c>
      <c r="I5" s="3" t="s">
        <v>77</v>
      </c>
      <c r="J5" s="3">
        <f>'Mise A Jour BDD'!$J$7</f>
        <v>759</v>
      </c>
      <c r="K5" s="3">
        <f>'Mise A Jour BDD'!$K$7</f>
        <v>9.75</v>
      </c>
      <c r="L5" s="91">
        <f>'Mise A Jour BDD'!$L$7</f>
        <v>187.5</v>
      </c>
      <c r="N5" s="1" t="s">
        <v>287</v>
      </c>
      <c r="O5" s="123">
        <v>17.600000000000001</v>
      </c>
      <c r="P5" s="123">
        <v>2.8</v>
      </c>
      <c r="Q5" s="123">
        <v>3.58</v>
      </c>
      <c r="R5" s="65">
        <f>PRODUCT($O$5:$P$5)</f>
        <v>49.28</v>
      </c>
      <c r="S5" s="65">
        <f>PRODUCT($O$5:$Q$5)</f>
        <v>176.42240000000001</v>
      </c>
      <c r="T5" s="108">
        <v>26000</v>
      </c>
      <c r="V5" s="1" t="s">
        <v>70</v>
      </c>
      <c r="W5" s="91">
        <v>205</v>
      </c>
      <c r="Y5" s="1" t="s">
        <v>317</v>
      </c>
      <c r="Z5" s="123">
        <v>12.03</v>
      </c>
      <c r="AA5" s="123">
        <v>2.35</v>
      </c>
      <c r="AB5" s="123">
        <v>2.7</v>
      </c>
      <c r="AC5" s="65">
        <f>PRODUCT($Z$5:$AA$5)</f>
        <v>28.270499999999998</v>
      </c>
      <c r="AD5" s="65">
        <f>PRODUCT($Z$5:$AB$5)</f>
        <v>76.330349999999996</v>
      </c>
      <c r="AE5" s="108">
        <v>26580</v>
      </c>
    </row>
    <row r="6" spans="1:31" ht="32.25" thickBot="1" x14ac:dyDescent="0.3">
      <c r="A6" s="117" t="s">
        <v>272</v>
      </c>
      <c r="G6" s="112" t="s">
        <v>78</v>
      </c>
      <c r="H6" s="3" t="s">
        <v>70</v>
      </c>
      <c r="I6" s="3" t="s">
        <v>79</v>
      </c>
      <c r="J6" s="3">
        <f>'Mise A Jour BDD'!$J$8</f>
        <v>995.86</v>
      </c>
      <c r="K6" s="3">
        <f>'Mise A Jour BDD'!$K$8</f>
        <v>12.8</v>
      </c>
      <c r="L6" s="91">
        <f>'Mise A Jour BDD'!$L$8</f>
        <v>142.6</v>
      </c>
      <c r="N6" s="109" t="s">
        <v>288</v>
      </c>
      <c r="O6" s="124">
        <v>18</v>
      </c>
      <c r="P6" s="124">
        <v>2.8</v>
      </c>
      <c r="Q6" s="124">
        <v>3.3</v>
      </c>
      <c r="R6" s="110">
        <f>PRODUCT($O$6:$P$6)</f>
        <v>50.4</v>
      </c>
      <c r="S6" s="110">
        <f>PRODUCT($O$6:$Q$6)</f>
        <v>166.32</v>
      </c>
      <c r="T6" s="111">
        <v>29000</v>
      </c>
      <c r="V6" s="1" t="s">
        <v>71</v>
      </c>
      <c r="W6" s="91">
        <v>195</v>
      </c>
      <c r="Y6" s="1" t="s">
        <v>318</v>
      </c>
      <c r="Z6" s="123">
        <v>5.89</v>
      </c>
      <c r="AA6" s="123">
        <v>2.35</v>
      </c>
      <c r="AB6" s="123">
        <v>2.34</v>
      </c>
      <c r="AC6" s="65">
        <f>PRODUCT($Z$6:$AA$6)</f>
        <v>13.8415</v>
      </c>
      <c r="AD6" s="65">
        <f>PRODUCT($Z$6:$AB$6)</f>
        <v>32.389109999999995</v>
      </c>
      <c r="AE6" s="108">
        <v>28280</v>
      </c>
    </row>
    <row r="7" spans="1:31" ht="69.75" customHeight="1" thickTop="1" thickBot="1" x14ac:dyDescent="0.3">
      <c r="A7" s="117" t="s">
        <v>273</v>
      </c>
      <c r="G7" s="113" t="s">
        <v>75</v>
      </c>
      <c r="H7" s="114" t="s">
        <v>71</v>
      </c>
      <c r="I7" s="115" t="s">
        <v>80</v>
      </c>
      <c r="J7" s="114">
        <f>'Mise A Jour BDD'!$J$9</f>
        <v>383.94</v>
      </c>
      <c r="K7" s="114">
        <f>'Mise A Jour BDD'!$K$9</f>
        <v>5.27</v>
      </c>
      <c r="L7" s="116">
        <f>'Mise A Jour BDD'!$L$9</f>
        <v>91.9</v>
      </c>
      <c r="V7" s="109" t="s">
        <v>269</v>
      </c>
      <c r="W7" s="116">
        <v>200</v>
      </c>
      <c r="Y7" s="1" t="s">
        <v>319</v>
      </c>
      <c r="Z7" s="123">
        <v>12.03</v>
      </c>
      <c r="AA7" s="123">
        <v>2.35</v>
      </c>
      <c r="AB7" s="123">
        <v>2.34</v>
      </c>
      <c r="AC7" s="65">
        <f>PRODUCT($Z$7:$AA$7)</f>
        <v>28.270499999999998</v>
      </c>
      <c r="AD7" s="65">
        <f>PRODUCT($Z$7:$AB$7)</f>
        <v>66.152969999999996</v>
      </c>
      <c r="AE7" s="108">
        <v>26600</v>
      </c>
    </row>
    <row r="8" spans="1:31" ht="15.95" thickTop="1" x14ac:dyDescent="0.35">
      <c r="A8" s="117" t="s">
        <v>36</v>
      </c>
      <c r="Y8" s="1" t="s">
        <v>320</v>
      </c>
      <c r="Z8" s="123">
        <v>5.63</v>
      </c>
      <c r="AA8" s="123">
        <v>2.21</v>
      </c>
      <c r="AB8" s="123">
        <v>2.1579999999999999</v>
      </c>
      <c r="AC8" s="65">
        <f>PRODUCT($Z$8:$AA$8)</f>
        <v>12.442299999999999</v>
      </c>
      <c r="AD8" s="65">
        <f>PRODUCT($Z$8:$AB$8)</f>
        <v>26.850483399999998</v>
      </c>
      <c r="AE8" s="108">
        <v>31250</v>
      </c>
    </row>
    <row r="9" spans="1:31" ht="15.95" thickBot="1" x14ac:dyDescent="0.4">
      <c r="A9" s="117" t="s">
        <v>37</v>
      </c>
      <c r="Y9" s="109" t="s">
        <v>321</v>
      </c>
      <c r="Z9" s="124">
        <v>11.651999999999999</v>
      </c>
      <c r="AA9" s="124">
        <v>1.9590000000000001</v>
      </c>
      <c r="AB9" s="124">
        <v>2.2269999999999999</v>
      </c>
      <c r="AC9" s="65">
        <f>PRODUCT($Z$9:$AA$9)</f>
        <v>22.826267999999999</v>
      </c>
      <c r="AD9" s="65">
        <f>PRODUCT($Z$9:$AB$9)</f>
        <v>50.834098835999995</v>
      </c>
      <c r="AE9" s="111">
        <v>40000</v>
      </c>
    </row>
    <row r="10" spans="1:31" ht="15.95" thickTop="1" x14ac:dyDescent="0.35">
      <c r="A10" s="117" t="s">
        <v>38</v>
      </c>
    </row>
    <row r="11" spans="1:31" ht="15.95" thickBot="1" x14ac:dyDescent="0.4">
      <c r="A11" s="118" t="s">
        <v>275</v>
      </c>
    </row>
    <row r="12" spans="1:31" ht="15.95" thickTop="1" x14ac:dyDescent="0.35"/>
    <row r="15" spans="1:31" ht="16.5" thickBot="1" x14ac:dyDescent="0.3"/>
    <row r="16" spans="1:31" ht="70.5" thickTop="1" x14ac:dyDescent="0.25">
      <c r="A16" s="119" t="s">
        <v>333</v>
      </c>
      <c r="C16" s="119" t="s">
        <v>329</v>
      </c>
    </row>
    <row r="17" spans="1:3" x14ac:dyDescent="0.25">
      <c r="A17" s="117" t="s">
        <v>276</v>
      </c>
      <c r="C17" s="117" t="s">
        <v>330</v>
      </c>
    </row>
    <row r="18" spans="1:3" x14ac:dyDescent="0.25">
      <c r="A18" s="138" t="s">
        <v>334</v>
      </c>
      <c r="C18" s="117" t="s">
        <v>331</v>
      </c>
    </row>
    <row r="19" spans="1:3" x14ac:dyDescent="0.25">
      <c r="A19" s="138" t="s">
        <v>335</v>
      </c>
      <c r="C19" s="117" t="s">
        <v>336</v>
      </c>
    </row>
    <row r="20" spans="1:3" x14ac:dyDescent="0.25">
      <c r="A20" s="138"/>
      <c r="C20" s="117"/>
    </row>
    <row r="21" spans="1:3" x14ac:dyDescent="0.25">
      <c r="A21" s="138"/>
      <c r="C21" s="117"/>
    </row>
    <row r="22" spans="1:3" x14ac:dyDescent="0.25">
      <c r="C22" s="117"/>
    </row>
  </sheetData>
  <mergeCells count="4">
    <mergeCell ref="G1:L1"/>
    <mergeCell ref="V1:W1"/>
    <mergeCell ref="N1:T1"/>
    <mergeCell ref="Y1:AE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90033"/>
  </sheetPr>
  <dimension ref="A1:O43"/>
  <sheetViews>
    <sheetView zoomScale="50" zoomScaleNormal="50" workbookViewId="0">
      <selection activeCell="E15" sqref="E15"/>
    </sheetView>
  </sheetViews>
  <sheetFormatPr baseColWidth="10" defaultRowHeight="15" x14ac:dyDescent="0.25"/>
  <cols>
    <col min="1" max="1" width="57.28515625" customWidth="1"/>
    <col min="2" max="2" width="25.85546875" customWidth="1"/>
    <col min="3" max="3" width="25.7109375" customWidth="1"/>
    <col min="4" max="4" width="57.28515625" customWidth="1"/>
    <col min="5" max="5" width="25.85546875" customWidth="1"/>
    <col min="6" max="6" width="26.7109375" customWidth="1"/>
    <col min="7" max="7" width="34.85546875" customWidth="1"/>
    <col min="8" max="8" width="25.140625" customWidth="1"/>
    <col min="9" max="9" width="52" customWidth="1"/>
    <col min="10" max="10" width="15.28515625" customWidth="1"/>
    <col min="11" max="11" width="19" customWidth="1"/>
  </cols>
  <sheetData>
    <row r="1" spans="1:15" ht="37.5" customHeight="1" thickTop="1" x14ac:dyDescent="0.25">
      <c r="A1" s="181" t="s">
        <v>345</v>
      </c>
      <c r="B1" s="182"/>
      <c r="C1" s="182"/>
      <c r="D1" s="182"/>
      <c r="E1" s="183"/>
      <c r="F1" s="139"/>
      <c r="G1" s="139"/>
    </row>
    <row r="2" spans="1:15" ht="37.5" customHeight="1" thickBot="1" x14ac:dyDescent="0.3">
      <c r="A2" s="184"/>
      <c r="B2" s="185"/>
      <c r="C2" s="185"/>
      <c r="D2" s="185"/>
      <c r="E2" s="186"/>
      <c r="F2" s="139"/>
    </row>
    <row r="3" spans="1:15" ht="63.75" customHeight="1" thickTop="1" thickBot="1" x14ac:dyDescent="0.3">
      <c r="A3" s="189" t="s">
        <v>327</v>
      </c>
      <c r="B3" s="179"/>
      <c r="C3" s="143"/>
      <c r="D3" s="179" t="s">
        <v>328</v>
      </c>
      <c r="E3" s="180"/>
      <c r="F3" s="142"/>
    </row>
    <row r="4" spans="1:15" ht="33.75" customHeight="1" thickTop="1" x14ac:dyDescent="0.25">
      <c r="A4" s="146" t="s">
        <v>337</v>
      </c>
      <c r="B4" s="152">
        <v>0.435</v>
      </c>
      <c r="C4" s="143"/>
      <c r="D4" s="145" t="s">
        <v>337</v>
      </c>
      <c r="E4" s="153">
        <v>0.441</v>
      </c>
      <c r="F4" s="142"/>
      <c r="G4" s="100" t="s">
        <v>20</v>
      </c>
      <c r="H4" s="101" t="s">
        <v>24</v>
      </c>
      <c r="I4" s="101" t="s">
        <v>25</v>
      </c>
      <c r="J4" s="101" t="s">
        <v>26</v>
      </c>
      <c r="K4" s="101" t="s">
        <v>27</v>
      </c>
      <c r="L4" s="101" t="s">
        <v>28</v>
      </c>
      <c r="M4" s="191" t="s">
        <v>0</v>
      </c>
    </row>
    <row r="5" spans="1:15" ht="33.75" customHeight="1" x14ac:dyDescent="0.25">
      <c r="A5" s="146" t="s">
        <v>338</v>
      </c>
      <c r="B5" s="145" t="s">
        <v>344</v>
      </c>
      <c r="C5" s="143"/>
      <c r="D5" s="145" t="s">
        <v>338</v>
      </c>
      <c r="E5" s="147" t="s">
        <v>339</v>
      </c>
      <c r="F5" s="142"/>
      <c r="G5" s="102" t="s">
        <v>73</v>
      </c>
      <c r="H5" s="3" t="s">
        <v>66</v>
      </c>
      <c r="I5" s="3" t="s">
        <v>74</v>
      </c>
      <c r="J5" s="3">
        <v>873.22</v>
      </c>
      <c r="K5" s="3">
        <v>11.5</v>
      </c>
      <c r="L5" s="3">
        <v>142.6</v>
      </c>
      <c r="M5" s="192"/>
    </row>
    <row r="6" spans="1:15" ht="33.75" customHeight="1" x14ac:dyDescent="0.25">
      <c r="A6" s="146" t="s">
        <v>340</v>
      </c>
      <c r="B6" s="152">
        <v>163.63999999999999</v>
      </c>
      <c r="C6" s="144"/>
      <c r="D6" s="145" t="s">
        <v>340</v>
      </c>
      <c r="E6" s="153">
        <v>224.73</v>
      </c>
      <c r="F6" s="141"/>
      <c r="G6" s="102" t="s">
        <v>75</v>
      </c>
      <c r="H6" s="3" t="s">
        <v>56</v>
      </c>
      <c r="I6" s="3" t="s">
        <v>76</v>
      </c>
      <c r="J6" s="3">
        <v>377.9</v>
      </c>
      <c r="K6" s="3">
        <v>5.25</v>
      </c>
      <c r="L6" s="3">
        <v>93.2</v>
      </c>
      <c r="M6" s="192"/>
    </row>
    <row r="7" spans="1:15" ht="33.75" customHeight="1" x14ac:dyDescent="0.25">
      <c r="A7" s="146" t="s">
        <v>341</v>
      </c>
      <c r="B7" s="145"/>
      <c r="C7" s="144"/>
      <c r="D7" s="145" t="s">
        <v>341</v>
      </c>
      <c r="E7" s="147"/>
      <c r="F7" s="141"/>
      <c r="G7" s="102" t="s">
        <v>75</v>
      </c>
      <c r="H7" s="3" t="s">
        <v>69</v>
      </c>
      <c r="I7" s="3" t="s">
        <v>77</v>
      </c>
      <c r="J7" s="3">
        <v>759</v>
      </c>
      <c r="K7" s="3">
        <v>9.75</v>
      </c>
      <c r="L7" s="3">
        <v>187.5</v>
      </c>
      <c r="M7" s="192"/>
    </row>
    <row r="8" spans="1:15" ht="33.75" customHeight="1" x14ac:dyDescent="0.25">
      <c r="A8" s="146" t="s">
        <v>342</v>
      </c>
      <c r="B8" s="152">
        <v>23.11</v>
      </c>
      <c r="C8" s="144"/>
      <c r="D8" s="145" t="s">
        <v>342</v>
      </c>
      <c r="E8" s="153">
        <v>25.11</v>
      </c>
      <c r="F8" s="141"/>
      <c r="G8" s="102" t="s">
        <v>78</v>
      </c>
      <c r="H8" s="3" t="s">
        <v>70</v>
      </c>
      <c r="I8" s="3" t="s">
        <v>79</v>
      </c>
      <c r="J8" s="3">
        <v>995.86</v>
      </c>
      <c r="K8" s="3">
        <v>12.8</v>
      </c>
      <c r="L8" s="3">
        <v>142.6</v>
      </c>
      <c r="M8" s="192"/>
    </row>
    <row r="9" spans="1:15" ht="33.75" customHeight="1" thickBot="1" x14ac:dyDescent="0.3">
      <c r="A9" s="148" t="s">
        <v>343</v>
      </c>
      <c r="B9" s="149"/>
      <c r="C9" s="150"/>
      <c r="D9" s="149" t="s">
        <v>343</v>
      </c>
      <c r="E9" s="151"/>
      <c r="F9" s="141"/>
      <c r="G9" s="103" t="s">
        <v>75</v>
      </c>
      <c r="H9" s="104" t="s">
        <v>71</v>
      </c>
      <c r="I9" s="105" t="s">
        <v>80</v>
      </c>
      <c r="J9" s="104">
        <v>383.94</v>
      </c>
      <c r="K9" s="104">
        <v>5.27</v>
      </c>
      <c r="L9" s="104">
        <v>91.9</v>
      </c>
      <c r="M9" s="193"/>
    </row>
    <row r="10" spans="1:15" ht="78.75" customHeight="1" thickTop="1" thickBot="1" x14ac:dyDescent="0.3">
      <c r="A10" s="184" t="s">
        <v>346</v>
      </c>
      <c r="B10" s="185"/>
      <c r="C10" s="186"/>
      <c r="D10" s="140"/>
      <c r="E10" s="141"/>
      <c r="F10" s="141"/>
    </row>
    <row r="11" spans="1:15" ht="28.5" customHeight="1" thickTop="1" thickBot="1" x14ac:dyDescent="0.3">
      <c r="A11" s="188" t="s">
        <v>4</v>
      </c>
      <c r="B11" s="188"/>
      <c r="C11" s="188"/>
    </row>
    <row r="12" spans="1:15" ht="33" customHeight="1" thickTop="1" thickBot="1" x14ac:dyDescent="0.3">
      <c r="A12" s="187">
        <v>0.88660000000000005</v>
      </c>
      <c r="B12" s="187"/>
      <c r="C12" s="98" t="s">
        <v>0</v>
      </c>
      <c r="L12" s="133"/>
      <c r="M12" s="134"/>
      <c r="N12" s="134"/>
      <c r="O12" s="4"/>
    </row>
    <row r="13" spans="1:15" ht="28.5" customHeight="1" thickTop="1" thickBot="1" x14ac:dyDescent="0.3">
      <c r="A13" s="188" t="s">
        <v>5</v>
      </c>
      <c r="B13" s="188"/>
      <c r="C13" s="188"/>
      <c r="L13" s="133"/>
      <c r="M13" s="135"/>
      <c r="N13" s="136"/>
      <c r="O13" s="133"/>
    </row>
    <row r="14" spans="1:15" ht="28.5" thickTop="1" thickBot="1" x14ac:dyDescent="0.3">
      <c r="A14" s="190">
        <v>0.67</v>
      </c>
      <c r="B14" s="190"/>
      <c r="C14" s="98" t="s">
        <v>0</v>
      </c>
      <c r="L14" s="133"/>
      <c r="M14" s="133"/>
      <c r="N14" s="133"/>
      <c r="O14" s="133"/>
    </row>
    <row r="15" spans="1:15" ht="28.5" customHeight="1" thickTop="1" thickBot="1" x14ac:dyDescent="0.3">
      <c r="A15" s="188" t="s">
        <v>6</v>
      </c>
      <c r="B15" s="188"/>
      <c r="C15" s="188"/>
    </row>
    <row r="16" spans="1:15" ht="28.5" thickTop="1" thickBot="1" x14ac:dyDescent="0.3">
      <c r="A16" s="187">
        <v>0.25280000000000002</v>
      </c>
      <c r="B16" s="187"/>
      <c r="C16" s="98" t="s">
        <v>0</v>
      </c>
    </row>
    <row r="17" spans="1:3" ht="28.5" customHeight="1" thickTop="1" thickBot="1" x14ac:dyDescent="0.3">
      <c r="A17" s="188" t="s">
        <v>7</v>
      </c>
      <c r="B17" s="188"/>
      <c r="C17" s="188"/>
    </row>
    <row r="18" spans="1:3" ht="28.5" thickTop="1" thickBot="1" x14ac:dyDescent="0.3">
      <c r="A18" s="187">
        <v>0.13669999999999999</v>
      </c>
      <c r="B18" s="187"/>
      <c r="C18" s="98" t="s">
        <v>0</v>
      </c>
    </row>
    <row r="19" spans="1:3" ht="28.5" customHeight="1" thickTop="1" thickBot="1" x14ac:dyDescent="0.3">
      <c r="A19" s="188" t="s">
        <v>8</v>
      </c>
      <c r="B19" s="188"/>
      <c r="C19" s="188"/>
    </row>
    <row r="20" spans="1:3" ht="28.5" thickTop="1" thickBot="1" x14ac:dyDescent="0.3">
      <c r="A20" s="190">
        <v>7.6999999999999996E-4</v>
      </c>
      <c r="B20" s="190"/>
      <c r="C20" s="98" t="s">
        <v>0</v>
      </c>
    </row>
    <row r="21" spans="1:3" ht="28.5" customHeight="1" thickTop="1" thickBot="1" x14ac:dyDescent="0.3">
      <c r="A21" s="188" t="s">
        <v>9</v>
      </c>
      <c r="B21" s="188"/>
      <c r="C21" s="188"/>
    </row>
    <row r="22" spans="1:3" ht="28.5" thickTop="1" thickBot="1" x14ac:dyDescent="0.3">
      <c r="A22" s="190">
        <v>8.0000000000000002E-3</v>
      </c>
      <c r="B22" s="190"/>
      <c r="C22" s="98" t="s">
        <v>0</v>
      </c>
    </row>
    <row r="23" spans="1:3" ht="28.5" customHeight="1" thickTop="1" thickBot="1" x14ac:dyDescent="0.3">
      <c r="A23" s="188" t="s">
        <v>10</v>
      </c>
      <c r="B23" s="188"/>
      <c r="C23" s="188"/>
    </row>
    <row r="24" spans="1:3" ht="28.5" thickTop="1" thickBot="1" x14ac:dyDescent="0.3">
      <c r="A24" s="190">
        <v>3.8999999999999999E-5</v>
      </c>
      <c r="B24" s="190"/>
      <c r="C24" s="98" t="s">
        <v>0</v>
      </c>
    </row>
    <row r="25" spans="1:3" ht="28.5" customHeight="1" thickTop="1" thickBot="1" x14ac:dyDescent="0.3">
      <c r="A25" s="188" t="s">
        <v>11</v>
      </c>
      <c r="B25" s="188"/>
      <c r="C25" s="188"/>
    </row>
    <row r="26" spans="1:3" ht="28.5" thickTop="1" thickBot="1" x14ac:dyDescent="0.3">
      <c r="A26" s="190">
        <v>2.5000000000000001E-2</v>
      </c>
      <c r="B26" s="190"/>
      <c r="C26" s="98" t="s">
        <v>0</v>
      </c>
    </row>
    <row r="27" spans="1:3" ht="28.5" customHeight="1" thickTop="1" thickBot="1" x14ac:dyDescent="0.3">
      <c r="A27" s="188" t="s">
        <v>12</v>
      </c>
      <c r="B27" s="188"/>
      <c r="C27" s="188"/>
    </row>
    <row r="28" spans="1:3" ht="28.5" thickTop="1" thickBot="1" x14ac:dyDescent="0.4">
      <c r="A28" s="190">
        <v>0.65</v>
      </c>
      <c r="B28" s="190"/>
      <c r="C28" s="98" t="s">
        <v>0</v>
      </c>
    </row>
    <row r="29" spans="1:3" ht="28.5" customHeight="1" thickTop="1" thickBot="1" x14ac:dyDescent="0.3">
      <c r="A29" s="188" t="s">
        <v>13</v>
      </c>
      <c r="B29" s="188"/>
      <c r="C29" s="188"/>
    </row>
    <row r="30" spans="1:3" ht="28.5" thickTop="1" thickBot="1" x14ac:dyDescent="0.4">
      <c r="A30" s="190">
        <v>0.22</v>
      </c>
      <c r="B30" s="190"/>
      <c r="C30" s="98" t="s">
        <v>0</v>
      </c>
    </row>
    <row r="31" spans="1:3" ht="28.5" customHeight="1" thickTop="1" thickBot="1" x14ac:dyDescent="0.3">
      <c r="A31" s="188" t="s">
        <v>14</v>
      </c>
      <c r="B31" s="188"/>
      <c r="C31" s="188"/>
    </row>
    <row r="32" spans="1:3" ht="28.5" thickTop="1" thickBot="1" x14ac:dyDescent="0.4">
      <c r="A32" s="194">
        <v>2.2799999999999998</v>
      </c>
      <c r="B32" s="194"/>
      <c r="C32" s="99" t="s">
        <v>0</v>
      </c>
    </row>
    <row r="33" spans="1:3" ht="28.5" customHeight="1" thickTop="1" thickBot="1" x14ac:dyDescent="0.3">
      <c r="A33" s="188" t="s">
        <v>15</v>
      </c>
      <c r="B33" s="188"/>
      <c r="C33" s="188"/>
    </row>
    <row r="34" spans="1:3" ht="28.5" thickTop="1" thickBot="1" x14ac:dyDescent="0.3">
      <c r="A34" s="194">
        <v>0.114</v>
      </c>
      <c r="B34" s="194"/>
      <c r="C34" s="99" t="s">
        <v>0</v>
      </c>
    </row>
    <row r="35" spans="1:3" ht="28.5" customHeight="1" thickTop="1" thickBot="1" x14ac:dyDescent="0.3">
      <c r="A35" s="188" t="s">
        <v>16</v>
      </c>
      <c r="B35" s="188"/>
      <c r="C35" s="188"/>
    </row>
    <row r="36" spans="1:3" ht="28.5" thickTop="1" thickBot="1" x14ac:dyDescent="0.3">
      <c r="A36" s="194">
        <v>2.7E-2</v>
      </c>
      <c r="B36" s="194"/>
      <c r="C36" s="99" t="s">
        <v>0</v>
      </c>
    </row>
    <row r="37" spans="1:3" ht="28.5" customHeight="1" thickTop="1" thickBot="1" x14ac:dyDescent="0.3">
      <c r="A37" s="188" t="s">
        <v>17</v>
      </c>
      <c r="B37" s="188"/>
      <c r="C37" s="188"/>
    </row>
    <row r="38" spans="1:3" ht="28.5" thickTop="1" thickBot="1" x14ac:dyDescent="0.3">
      <c r="A38" s="194">
        <v>1.2999999999999999E-2</v>
      </c>
      <c r="B38" s="194"/>
      <c r="C38" s="99" t="s">
        <v>0</v>
      </c>
    </row>
    <row r="39" spans="1:3" ht="28.5" customHeight="1" thickTop="1" thickBot="1" x14ac:dyDescent="0.3">
      <c r="A39" s="188" t="s">
        <v>18</v>
      </c>
      <c r="B39" s="188"/>
      <c r="C39" s="188"/>
    </row>
    <row r="40" spans="1:3" ht="28.5" thickTop="1" thickBot="1" x14ac:dyDescent="0.3">
      <c r="A40" s="194">
        <v>0.11</v>
      </c>
      <c r="B40" s="194"/>
      <c r="C40" s="99" t="s">
        <v>0</v>
      </c>
    </row>
    <row r="41" spans="1:3" ht="28.5" customHeight="1" thickTop="1" thickBot="1" x14ac:dyDescent="0.3">
      <c r="A41" s="188" t="s">
        <v>19</v>
      </c>
      <c r="B41" s="188"/>
      <c r="C41" s="188"/>
    </row>
    <row r="42" spans="1:3" ht="28.5" thickTop="1" thickBot="1" x14ac:dyDescent="0.3">
      <c r="A42" s="194">
        <v>0.6</v>
      </c>
      <c r="B42" s="194"/>
      <c r="C42" s="99" t="s">
        <v>0</v>
      </c>
    </row>
    <row r="43" spans="1:3" ht="15.75" thickTop="1" x14ac:dyDescent="0.25"/>
  </sheetData>
  <mergeCells count="37">
    <mergeCell ref="M4:M9"/>
    <mergeCell ref="A42:B42"/>
    <mergeCell ref="A31:C31"/>
    <mergeCell ref="A32:B32"/>
    <mergeCell ref="A33:C33"/>
    <mergeCell ref="A34:B34"/>
    <mergeCell ref="A35:C35"/>
    <mergeCell ref="A36:B36"/>
    <mergeCell ref="A37:C37"/>
    <mergeCell ref="A38:B38"/>
    <mergeCell ref="A39:C39"/>
    <mergeCell ref="A40:B40"/>
    <mergeCell ref="A41:C41"/>
    <mergeCell ref="A30:B30"/>
    <mergeCell ref="A29:C29"/>
    <mergeCell ref="A18:B18"/>
    <mergeCell ref="A19:C19"/>
    <mergeCell ref="A20:B20"/>
    <mergeCell ref="A26:B26"/>
    <mergeCell ref="A27:C27"/>
    <mergeCell ref="A28:B28"/>
    <mergeCell ref="A21:C21"/>
    <mergeCell ref="A22:B22"/>
    <mergeCell ref="A23:C23"/>
    <mergeCell ref="A24:B24"/>
    <mergeCell ref="A25:C25"/>
    <mergeCell ref="D3:E3"/>
    <mergeCell ref="A1:E2"/>
    <mergeCell ref="A16:B16"/>
    <mergeCell ref="A17:C17"/>
    <mergeCell ref="A3:B3"/>
    <mergeCell ref="A11:C11"/>
    <mergeCell ref="A12:B12"/>
    <mergeCell ref="A13:C13"/>
    <mergeCell ref="A14:B14"/>
    <mergeCell ref="A15:C15"/>
    <mergeCell ref="A10:C10"/>
  </mergeCells>
  <hyperlinks>
    <hyperlink ref="C12" r:id="rId1"/>
    <hyperlink ref="C14" r:id="rId2"/>
    <hyperlink ref="C16" r:id="rId3"/>
    <hyperlink ref="C18" r:id="rId4"/>
    <hyperlink ref="C20" r:id="rId5"/>
    <hyperlink ref="C22" r:id="rId6"/>
    <hyperlink ref="C24" r:id="rId7"/>
    <hyperlink ref="C26" r:id="rId8"/>
    <hyperlink ref="C28" r:id="rId9"/>
    <hyperlink ref="C30" r:id="rId10"/>
    <hyperlink ref="C32" r:id="rId11"/>
    <hyperlink ref="C34" r:id="rId12"/>
    <hyperlink ref="C36" r:id="rId13"/>
    <hyperlink ref="C38" r:id="rId14"/>
    <hyperlink ref="C40" r:id="rId15"/>
    <hyperlink ref="C42" r:id="rId16"/>
    <hyperlink ref="M4" r:id="rId17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CC0000"/>
  </sheetPr>
  <dimension ref="A1:N302"/>
  <sheetViews>
    <sheetView zoomScale="40" zoomScaleNormal="40" workbookViewId="0">
      <selection activeCell="N49" sqref="N49"/>
    </sheetView>
  </sheetViews>
  <sheetFormatPr baseColWidth="10" defaultRowHeight="15" x14ac:dyDescent="0.25"/>
  <cols>
    <col min="1" max="1" width="28.85546875" customWidth="1"/>
    <col min="2" max="3" width="14.85546875" customWidth="1"/>
    <col min="4" max="4" width="22.28515625" customWidth="1"/>
    <col min="5" max="6" width="18.140625" customWidth="1"/>
    <col min="7" max="8" width="23" customWidth="1"/>
    <col min="9" max="10" width="23.42578125" customWidth="1"/>
    <col min="11" max="11" width="17.85546875" customWidth="1"/>
    <col min="12" max="12" width="14.28515625" customWidth="1"/>
    <col min="13" max="13" width="29.42578125" customWidth="1"/>
    <col min="14" max="14" width="35.7109375" customWidth="1"/>
  </cols>
  <sheetData>
    <row r="1" spans="1:13" ht="29.25" thickBot="1" x14ac:dyDescent="0.5">
      <c r="A1" s="195" t="s">
        <v>81</v>
      </c>
      <c r="B1" s="195"/>
      <c r="C1" s="195"/>
      <c r="D1" s="195"/>
      <c r="E1" s="195"/>
      <c r="F1" s="195"/>
      <c r="G1" s="195"/>
      <c r="H1" s="195"/>
      <c r="I1" s="195"/>
      <c r="J1" s="195"/>
      <c r="K1" s="195"/>
      <c r="L1" s="195"/>
      <c r="M1" s="195"/>
    </row>
    <row r="2" spans="1:13" ht="108.75" customHeight="1" thickTop="1" thickBot="1" x14ac:dyDescent="0.3">
      <c r="A2" s="5" t="s">
        <v>55</v>
      </c>
      <c r="B2" s="6" t="s">
        <v>82</v>
      </c>
      <c r="C2" s="6" t="s">
        <v>83</v>
      </c>
      <c r="D2" s="6" t="s">
        <v>84</v>
      </c>
      <c r="E2" s="6" t="s">
        <v>85</v>
      </c>
      <c r="F2" s="6" t="s">
        <v>86</v>
      </c>
      <c r="G2" s="6" t="s">
        <v>87</v>
      </c>
      <c r="H2" s="6" t="s">
        <v>88</v>
      </c>
      <c r="I2" s="7" t="s">
        <v>89</v>
      </c>
      <c r="J2" s="7" t="s">
        <v>90</v>
      </c>
      <c r="K2" s="8" t="s">
        <v>30</v>
      </c>
      <c r="L2" s="8" t="s">
        <v>91</v>
      </c>
      <c r="M2" s="9" t="s">
        <v>31</v>
      </c>
    </row>
    <row r="3" spans="1:13" ht="20.25" customHeight="1" thickTop="1" x14ac:dyDescent="0.35">
      <c r="A3" s="10" t="s">
        <v>66</v>
      </c>
      <c r="B3" s="11">
        <f>'Mise A Jour BDD'!$A$12*955</f>
        <v>846.70300000000009</v>
      </c>
      <c r="C3" s="12">
        <f>'Mise A Jour BDD'!$A$12*1362</f>
        <v>1207.5492000000002</v>
      </c>
      <c r="D3" s="13">
        <f>'Mise A Jour BDD'!$A$12*1362</f>
        <v>1207.5492000000002</v>
      </c>
      <c r="E3" s="14">
        <v>0</v>
      </c>
      <c r="F3" s="15">
        <v>0</v>
      </c>
      <c r="G3" s="16">
        <v>0</v>
      </c>
      <c r="H3" s="11">
        <v>0</v>
      </c>
      <c r="I3" s="17">
        <v>0</v>
      </c>
      <c r="J3" s="18">
        <v>0</v>
      </c>
      <c r="K3" s="19" t="s">
        <v>92</v>
      </c>
      <c r="L3" s="20" t="s">
        <v>93</v>
      </c>
      <c r="M3" s="21" t="s">
        <v>94</v>
      </c>
    </row>
    <row r="4" spans="1:13" ht="20.25" customHeight="1" x14ac:dyDescent="0.35">
      <c r="A4" s="22" t="s">
        <v>71</v>
      </c>
      <c r="B4" s="23">
        <f>'Mise A Jour BDD'!$A$12*1223</f>
        <v>1084.3118000000002</v>
      </c>
      <c r="C4" s="24">
        <f>'Mise A Jour BDD'!$A$12*1543</f>
        <v>1368.0238000000002</v>
      </c>
      <c r="D4" s="25">
        <f>'Mise A Jour BDD'!$A$12*1543</f>
        <v>1368.0238000000002</v>
      </c>
      <c r="E4" s="26">
        <v>0</v>
      </c>
      <c r="F4" s="27">
        <v>0</v>
      </c>
      <c r="G4" s="28">
        <v>0</v>
      </c>
      <c r="H4" s="23">
        <v>0</v>
      </c>
      <c r="I4" s="29">
        <v>0</v>
      </c>
      <c r="J4" s="30">
        <v>0</v>
      </c>
      <c r="K4" s="31" t="s">
        <v>92</v>
      </c>
      <c r="L4" s="32" t="s">
        <v>93</v>
      </c>
      <c r="M4" s="33" t="s">
        <v>94</v>
      </c>
    </row>
    <row r="5" spans="1:13" ht="20.25" customHeight="1" x14ac:dyDescent="0.35">
      <c r="A5" s="22" t="s">
        <v>70</v>
      </c>
      <c r="B5" s="23">
        <f>'Mise A Jour BDD'!$A$12*972</f>
        <v>861.77520000000004</v>
      </c>
      <c r="C5" s="34">
        <f>'Mise A Jour BDD'!$A$12*1379</f>
        <v>1222.6214</v>
      </c>
      <c r="D5" s="35">
        <f>'Mise A Jour BDD'!$A$12*1379</f>
        <v>1222.6214</v>
      </c>
      <c r="E5" s="26">
        <v>0</v>
      </c>
      <c r="F5" s="27">
        <v>0</v>
      </c>
      <c r="G5" s="28">
        <v>0</v>
      </c>
      <c r="H5" s="23">
        <v>0</v>
      </c>
      <c r="I5" s="29">
        <v>0</v>
      </c>
      <c r="J5" s="30">
        <v>0</v>
      </c>
      <c r="K5" s="31" t="s">
        <v>92</v>
      </c>
      <c r="L5" s="32" t="s">
        <v>93</v>
      </c>
      <c r="M5" s="33" t="s">
        <v>94</v>
      </c>
    </row>
    <row r="6" spans="1:13" ht="20.25" customHeight="1" x14ac:dyDescent="0.35">
      <c r="A6" s="22" t="s">
        <v>69</v>
      </c>
      <c r="B6" s="23">
        <f>'Mise A Jour BDD'!$A$12*960</f>
        <v>851.13600000000008</v>
      </c>
      <c r="C6" s="34">
        <f>'Mise A Jour BDD'!$A$12*1368</f>
        <v>1212.8688</v>
      </c>
      <c r="D6" s="35">
        <f>'Mise A Jour BDD'!$A$12*1368</f>
        <v>1212.8688</v>
      </c>
      <c r="E6" s="26">
        <v>0</v>
      </c>
      <c r="F6" s="27">
        <v>0</v>
      </c>
      <c r="G6" s="28">
        <v>0</v>
      </c>
      <c r="H6" s="23">
        <v>0</v>
      </c>
      <c r="I6" s="29">
        <v>0</v>
      </c>
      <c r="J6" s="30">
        <v>0</v>
      </c>
      <c r="K6" s="31" t="s">
        <v>92</v>
      </c>
      <c r="L6" s="32" t="s">
        <v>93</v>
      </c>
      <c r="M6" s="33" t="s">
        <v>94</v>
      </c>
    </row>
    <row r="7" spans="1:13" ht="20.25" customHeight="1" x14ac:dyDescent="0.35">
      <c r="A7" s="22" t="s">
        <v>66</v>
      </c>
      <c r="B7" s="23">
        <f>'Mise A Jour BDD'!$A$12*799</f>
        <v>708.39340000000004</v>
      </c>
      <c r="C7" s="34">
        <f>'Mise A Jour BDD'!$A$12*1051</f>
        <v>931.81660000000011</v>
      </c>
      <c r="D7" s="35">
        <f>'Mise A Jour BDD'!$A$12*1051</f>
        <v>931.81660000000011</v>
      </c>
      <c r="E7" s="26">
        <v>0</v>
      </c>
      <c r="F7" s="27">
        <v>0</v>
      </c>
      <c r="G7" s="28">
        <v>0</v>
      </c>
      <c r="H7" s="23">
        <v>0</v>
      </c>
      <c r="I7" s="29">
        <v>0</v>
      </c>
      <c r="J7" s="30">
        <v>0</v>
      </c>
      <c r="K7" s="31" t="s">
        <v>92</v>
      </c>
      <c r="L7" s="32" t="s">
        <v>93</v>
      </c>
      <c r="M7" s="33" t="s">
        <v>95</v>
      </c>
    </row>
    <row r="8" spans="1:13" ht="20.25" customHeight="1" x14ac:dyDescent="0.35">
      <c r="A8" s="22" t="s">
        <v>71</v>
      </c>
      <c r="B8" s="23">
        <f>'Mise A Jour BDD'!$A$12*963</f>
        <v>853.7958000000001</v>
      </c>
      <c r="C8" s="24">
        <f>'Mise A Jour BDD'!$A$12*1053</f>
        <v>933.58980000000008</v>
      </c>
      <c r="D8" s="25">
        <f>'Mise A Jour BDD'!$A$12*1053</f>
        <v>933.58980000000008</v>
      </c>
      <c r="E8" s="26">
        <v>0</v>
      </c>
      <c r="F8" s="27">
        <v>0</v>
      </c>
      <c r="G8" s="28">
        <v>0</v>
      </c>
      <c r="H8" s="23">
        <v>0</v>
      </c>
      <c r="I8" s="29">
        <v>0</v>
      </c>
      <c r="J8" s="30">
        <v>0</v>
      </c>
      <c r="K8" s="31" t="s">
        <v>92</v>
      </c>
      <c r="L8" s="32" t="s">
        <v>93</v>
      </c>
      <c r="M8" s="33" t="s">
        <v>95</v>
      </c>
    </row>
    <row r="9" spans="1:13" ht="20.25" customHeight="1" x14ac:dyDescent="0.35">
      <c r="A9" s="22" t="s">
        <v>70</v>
      </c>
      <c r="B9" s="23">
        <f>'Mise A Jour BDD'!$A$12*816</f>
        <v>723.46559999999999</v>
      </c>
      <c r="C9" s="34">
        <f>'Mise A Jour BDD'!$A$12*1069</f>
        <v>947.7754000000001</v>
      </c>
      <c r="D9" s="35">
        <f>'Mise A Jour BDD'!$A$12*1069</f>
        <v>947.7754000000001</v>
      </c>
      <c r="E9" s="26">
        <v>0</v>
      </c>
      <c r="F9" s="27">
        <v>0</v>
      </c>
      <c r="G9" s="28">
        <v>0</v>
      </c>
      <c r="H9" s="23">
        <v>0</v>
      </c>
      <c r="I9" s="29">
        <v>0</v>
      </c>
      <c r="J9" s="30">
        <v>0</v>
      </c>
      <c r="K9" s="31" t="s">
        <v>92</v>
      </c>
      <c r="L9" s="32" t="s">
        <v>93</v>
      </c>
      <c r="M9" s="33" t="s">
        <v>95</v>
      </c>
    </row>
    <row r="10" spans="1:13" ht="20.25" customHeight="1" x14ac:dyDescent="0.35">
      <c r="A10" s="22" t="s">
        <v>69</v>
      </c>
      <c r="B10" s="23">
        <f>'Mise A Jour BDD'!$A$12*805</f>
        <v>713.71300000000008</v>
      </c>
      <c r="C10" s="34">
        <f>'Mise A Jour BDD'!$A$12*1057</f>
        <v>937.13620000000003</v>
      </c>
      <c r="D10" s="35">
        <f>'Mise A Jour BDD'!$A$12*1057</f>
        <v>937.13620000000003</v>
      </c>
      <c r="E10" s="26">
        <v>0</v>
      </c>
      <c r="F10" s="27">
        <v>0</v>
      </c>
      <c r="G10" s="28">
        <v>0</v>
      </c>
      <c r="H10" s="23">
        <v>0</v>
      </c>
      <c r="I10" s="29">
        <v>0</v>
      </c>
      <c r="J10" s="30">
        <v>0</v>
      </c>
      <c r="K10" s="31" t="s">
        <v>92</v>
      </c>
      <c r="L10" s="32" t="s">
        <v>93</v>
      </c>
      <c r="M10" s="33" t="s">
        <v>95</v>
      </c>
    </row>
    <row r="11" spans="1:13" ht="20.25" customHeight="1" x14ac:dyDescent="0.35">
      <c r="A11" s="22" t="s">
        <v>66</v>
      </c>
      <c r="B11" s="23">
        <f>'Mise A Jour BDD'!$A$12*990</f>
        <v>877.73400000000004</v>
      </c>
      <c r="C11" s="34">
        <f>'Mise A Jour BDD'!$A$12*1370</f>
        <v>1214.6420000000001</v>
      </c>
      <c r="D11" s="35">
        <f>'Mise A Jour BDD'!$A$12*1370</f>
        <v>1214.6420000000001</v>
      </c>
      <c r="E11" s="26">
        <v>0</v>
      </c>
      <c r="F11" s="27">
        <v>0</v>
      </c>
      <c r="G11" s="28">
        <v>0</v>
      </c>
      <c r="H11" s="23">
        <v>0</v>
      </c>
      <c r="I11" s="29">
        <v>0</v>
      </c>
      <c r="J11" s="30">
        <f>'Mise A Jour BDD'!$A$12*215</f>
        <v>190.619</v>
      </c>
      <c r="K11" s="31" t="s">
        <v>96</v>
      </c>
      <c r="L11" s="32" t="s">
        <v>97</v>
      </c>
      <c r="M11" s="33" t="s">
        <v>98</v>
      </c>
    </row>
    <row r="12" spans="1:13" ht="20.25" customHeight="1" x14ac:dyDescent="0.35">
      <c r="A12" s="22" t="s">
        <v>71</v>
      </c>
      <c r="B12" s="23">
        <f>'Mise A Jour BDD'!$A$12*1234</f>
        <v>1094.0644</v>
      </c>
      <c r="C12" s="24">
        <f>'Mise A Jour BDD'!$A$12*1952</f>
        <v>1730.6432000000002</v>
      </c>
      <c r="D12" s="25">
        <f>'Mise A Jour BDD'!$A$12*1952</f>
        <v>1730.6432000000002</v>
      </c>
      <c r="E12" s="26">
        <v>0</v>
      </c>
      <c r="F12" s="27">
        <v>0</v>
      </c>
      <c r="G12" s="28">
        <v>0</v>
      </c>
      <c r="H12" s="23">
        <v>0</v>
      </c>
      <c r="I12" s="29">
        <v>0</v>
      </c>
      <c r="J12" s="30">
        <f>'Mise A Jour BDD'!$A$12*215</f>
        <v>190.619</v>
      </c>
      <c r="K12" s="31" t="s">
        <v>96</v>
      </c>
      <c r="L12" s="32" t="s">
        <v>97</v>
      </c>
      <c r="M12" s="33" t="s">
        <v>98</v>
      </c>
    </row>
    <row r="13" spans="1:13" ht="20.25" customHeight="1" x14ac:dyDescent="0.35">
      <c r="A13" s="22" t="s">
        <v>70</v>
      </c>
      <c r="B13" s="23">
        <f>'Mise A Jour BDD'!$A$12*1005</f>
        <v>891.03300000000002</v>
      </c>
      <c r="C13" s="34">
        <f>'Mise A Jour BDD'!$A$12*1385</f>
        <v>1227.941</v>
      </c>
      <c r="D13" s="35">
        <f>'Mise A Jour BDD'!$A$12*1385</f>
        <v>1227.941</v>
      </c>
      <c r="E13" s="26">
        <v>0</v>
      </c>
      <c r="F13" s="27">
        <v>0</v>
      </c>
      <c r="G13" s="28">
        <v>0</v>
      </c>
      <c r="H13" s="23">
        <v>0</v>
      </c>
      <c r="I13" s="29">
        <v>0</v>
      </c>
      <c r="J13" s="30">
        <f>'Mise A Jour BDD'!$A$12*215</f>
        <v>190.619</v>
      </c>
      <c r="K13" s="31" t="s">
        <v>96</v>
      </c>
      <c r="L13" s="32" t="s">
        <v>97</v>
      </c>
      <c r="M13" s="33" t="s">
        <v>98</v>
      </c>
    </row>
    <row r="14" spans="1:13" ht="20.25" customHeight="1" x14ac:dyDescent="0.35">
      <c r="A14" s="22" t="s">
        <v>69</v>
      </c>
      <c r="B14" s="23">
        <f>'Mise A Jour BDD'!$A$12*920</f>
        <v>815.67200000000003</v>
      </c>
      <c r="C14" s="34">
        <f>'Mise A Jour BDD'!$A$12*1325</f>
        <v>1174.7450000000001</v>
      </c>
      <c r="D14" s="35">
        <f>'Mise A Jour BDD'!$A$12*1325</f>
        <v>1174.7450000000001</v>
      </c>
      <c r="E14" s="26">
        <v>0</v>
      </c>
      <c r="F14" s="27">
        <v>0</v>
      </c>
      <c r="G14" s="28">
        <v>0</v>
      </c>
      <c r="H14" s="23">
        <v>0</v>
      </c>
      <c r="I14" s="29">
        <v>0</v>
      </c>
      <c r="J14" s="30">
        <f>'Mise A Jour BDD'!$A$12*215</f>
        <v>190.619</v>
      </c>
      <c r="K14" s="31" t="s">
        <v>96</v>
      </c>
      <c r="L14" s="32" t="s">
        <v>97</v>
      </c>
      <c r="M14" s="33" t="s">
        <v>98</v>
      </c>
    </row>
    <row r="15" spans="1:13" ht="20.25" customHeight="1" x14ac:dyDescent="0.35">
      <c r="A15" s="22" t="s">
        <v>66</v>
      </c>
      <c r="B15" s="23">
        <f>'Mise A Jour BDD'!$A$12*1290</f>
        <v>1143.7140000000002</v>
      </c>
      <c r="C15" s="34">
        <f>'Mise A Jour BDD'!$A$12*1970</f>
        <v>1746.6020000000001</v>
      </c>
      <c r="D15" s="35">
        <f>'Mise A Jour BDD'!$A$12*1970</f>
        <v>1746.6020000000001</v>
      </c>
      <c r="E15" s="26">
        <v>0</v>
      </c>
      <c r="F15" s="27">
        <v>0</v>
      </c>
      <c r="G15" s="28">
        <v>0</v>
      </c>
      <c r="H15" s="23">
        <v>0</v>
      </c>
      <c r="I15" s="29">
        <v>0</v>
      </c>
      <c r="J15" s="30">
        <f>'Mise A Jour BDD'!$A$12*215</f>
        <v>190.619</v>
      </c>
      <c r="K15" s="31" t="s">
        <v>96</v>
      </c>
      <c r="L15" s="32" t="s">
        <v>97</v>
      </c>
      <c r="M15" s="33" t="s">
        <v>99</v>
      </c>
    </row>
    <row r="16" spans="1:13" ht="20.25" customHeight="1" x14ac:dyDescent="0.35">
      <c r="A16" s="22" t="s">
        <v>71</v>
      </c>
      <c r="B16" s="23">
        <f>'Mise A Jour BDD'!$A$12*1534</f>
        <v>1360.0444</v>
      </c>
      <c r="C16" s="24">
        <f>'Mise A Jour BDD'!$A$12*2552</f>
        <v>2262.6032</v>
      </c>
      <c r="D16" s="25">
        <f>'Mise A Jour BDD'!$A$12*2552</f>
        <v>2262.6032</v>
      </c>
      <c r="E16" s="26">
        <v>0</v>
      </c>
      <c r="F16" s="27">
        <v>0</v>
      </c>
      <c r="G16" s="28">
        <v>0</v>
      </c>
      <c r="H16" s="23">
        <v>0</v>
      </c>
      <c r="I16" s="29">
        <v>0</v>
      </c>
      <c r="J16" s="30">
        <f>'Mise A Jour BDD'!$A$12*215</f>
        <v>190.619</v>
      </c>
      <c r="K16" s="31" t="s">
        <v>96</v>
      </c>
      <c r="L16" s="32" t="s">
        <v>97</v>
      </c>
      <c r="M16" s="33" t="s">
        <v>99</v>
      </c>
    </row>
    <row r="17" spans="1:13" ht="20.25" customHeight="1" x14ac:dyDescent="0.35">
      <c r="A17" s="22" t="s">
        <v>70</v>
      </c>
      <c r="B17" s="23">
        <f>'Mise A Jour BDD'!$A$12*1305</f>
        <v>1157.0130000000001</v>
      </c>
      <c r="C17" s="34">
        <f>'Mise A Jour BDD'!$A$12*1985</f>
        <v>1759.9010000000001</v>
      </c>
      <c r="D17" s="35">
        <f>'Mise A Jour BDD'!$A$12*1985</f>
        <v>1759.9010000000001</v>
      </c>
      <c r="E17" s="26">
        <v>0</v>
      </c>
      <c r="F17" s="27">
        <v>0</v>
      </c>
      <c r="G17" s="28">
        <v>0</v>
      </c>
      <c r="H17" s="23">
        <v>0</v>
      </c>
      <c r="I17" s="29">
        <v>0</v>
      </c>
      <c r="J17" s="30">
        <f>'Mise A Jour BDD'!$A$12*215</f>
        <v>190.619</v>
      </c>
      <c r="K17" s="31" t="s">
        <v>96</v>
      </c>
      <c r="L17" s="32" t="s">
        <v>97</v>
      </c>
      <c r="M17" s="33" t="s">
        <v>99</v>
      </c>
    </row>
    <row r="18" spans="1:13" ht="20.25" customHeight="1" x14ac:dyDescent="0.35">
      <c r="A18" s="22" t="s">
        <v>69</v>
      </c>
      <c r="B18" s="23">
        <f>'Mise A Jour BDD'!$A$12*1320</f>
        <v>1170.3120000000001</v>
      </c>
      <c r="C18" s="34">
        <f>'Mise A Jour BDD'!$A$12*2025</f>
        <v>1795.365</v>
      </c>
      <c r="D18" s="35">
        <f>'Mise A Jour BDD'!$A$12*2025</f>
        <v>1795.365</v>
      </c>
      <c r="E18" s="26">
        <v>0</v>
      </c>
      <c r="F18" s="27">
        <v>0</v>
      </c>
      <c r="G18" s="28">
        <v>0</v>
      </c>
      <c r="H18" s="23">
        <v>0</v>
      </c>
      <c r="I18" s="29">
        <v>0</v>
      </c>
      <c r="J18" s="30">
        <f>'Mise A Jour BDD'!$A$12*215</f>
        <v>190.619</v>
      </c>
      <c r="K18" s="31" t="s">
        <v>96</v>
      </c>
      <c r="L18" s="32" t="s">
        <v>97</v>
      </c>
      <c r="M18" s="33" t="s">
        <v>99</v>
      </c>
    </row>
    <row r="19" spans="1:13" ht="20.25" customHeight="1" x14ac:dyDescent="0.35">
      <c r="A19" s="22" t="s">
        <v>66</v>
      </c>
      <c r="B19" s="23">
        <f>'Mise A Jour BDD'!$A$12*1853</f>
        <v>1642.8698000000002</v>
      </c>
      <c r="C19" s="34">
        <f>'Mise A Jour BDD'!$A$12*3131</f>
        <v>2775.9446000000003</v>
      </c>
      <c r="D19" s="35">
        <f>'Mise A Jour BDD'!$A$12*3231</f>
        <v>2864.6046000000001</v>
      </c>
      <c r="E19" s="26">
        <v>0</v>
      </c>
      <c r="F19" s="27">
        <v>0</v>
      </c>
      <c r="G19" s="28">
        <v>0</v>
      </c>
      <c r="H19" s="23">
        <v>0</v>
      </c>
      <c r="I19" s="29">
        <f>'Mise A Jour BDD'!$A$14*80</f>
        <v>53.6</v>
      </c>
      <c r="J19" s="30">
        <f>'Mise A Jour BDD'!$A$14*430</f>
        <v>288.10000000000002</v>
      </c>
      <c r="K19" s="31" t="s">
        <v>100</v>
      </c>
      <c r="L19" s="32" t="s">
        <v>101</v>
      </c>
      <c r="M19" s="33" t="s">
        <v>102</v>
      </c>
    </row>
    <row r="20" spans="1:13" ht="20.25" customHeight="1" x14ac:dyDescent="0.35">
      <c r="A20" s="22" t="s">
        <v>71</v>
      </c>
      <c r="B20" s="23">
        <f>'Mise A Jour BDD'!$A$12*1727</f>
        <v>1531.1582000000001</v>
      </c>
      <c r="C20" s="24">
        <f>'Mise A Jour BDD'!$A$12*2978</f>
        <v>2640.2948000000001</v>
      </c>
      <c r="D20" s="25">
        <f>'Mise A Jour BDD'!$A$12*2978</f>
        <v>2640.2948000000001</v>
      </c>
      <c r="E20" s="26">
        <v>0</v>
      </c>
      <c r="F20" s="27">
        <v>0</v>
      </c>
      <c r="G20" s="28">
        <v>0</v>
      </c>
      <c r="H20" s="23">
        <v>0</v>
      </c>
      <c r="I20" s="29">
        <v>53.6</v>
      </c>
      <c r="J20" s="30">
        <f>'Mise A Jour BDD'!$A$14*430</f>
        <v>288.10000000000002</v>
      </c>
      <c r="K20" s="31" t="s">
        <v>100</v>
      </c>
      <c r="L20" s="32" t="s">
        <v>101</v>
      </c>
      <c r="M20" s="33" t="s">
        <v>102</v>
      </c>
    </row>
    <row r="21" spans="1:13" ht="20.25" customHeight="1" x14ac:dyDescent="0.35">
      <c r="A21" s="22" t="s">
        <v>70</v>
      </c>
      <c r="B21" s="23">
        <f>'Mise A Jour BDD'!$A$12*1770</f>
        <v>1569.2820000000002</v>
      </c>
      <c r="C21" s="34">
        <f>'Mise A Jour BDD'!$A$12*3048</f>
        <v>2702.3568</v>
      </c>
      <c r="D21" s="35">
        <f>'Mise A Jour BDD'!$A$12*3148</f>
        <v>2791.0168000000003</v>
      </c>
      <c r="E21" s="26">
        <v>0</v>
      </c>
      <c r="F21" s="27">
        <v>0</v>
      </c>
      <c r="G21" s="28">
        <v>0</v>
      </c>
      <c r="H21" s="23">
        <v>0</v>
      </c>
      <c r="I21" s="29">
        <f>'Mise A Jour BDD'!$A$14*80</f>
        <v>53.6</v>
      </c>
      <c r="J21" s="30">
        <f>'Mise A Jour BDD'!$A$14*430</f>
        <v>288.10000000000002</v>
      </c>
      <c r="K21" s="31" t="s">
        <v>100</v>
      </c>
      <c r="L21" s="32" t="s">
        <v>101</v>
      </c>
      <c r="M21" s="33" t="s">
        <v>102</v>
      </c>
    </row>
    <row r="22" spans="1:13" ht="20.25" customHeight="1" x14ac:dyDescent="0.35">
      <c r="A22" s="22" t="s">
        <v>69</v>
      </c>
      <c r="B22" s="23">
        <f>'Mise A Jour BDD'!$A$12*1859</f>
        <v>1648.1894000000002</v>
      </c>
      <c r="C22" s="34">
        <f>'Mise A Jour BDD'!$A$12*3137</f>
        <v>2781.2642000000001</v>
      </c>
      <c r="D22" s="35">
        <f>'Mise A Jour BDD'!$A$12*3237</f>
        <v>2869.9242000000004</v>
      </c>
      <c r="E22" s="26">
        <v>0</v>
      </c>
      <c r="F22" s="27">
        <v>0</v>
      </c>
      <c r="G22" s="28">
        <v>0</v>
      </c>
      <c r="H22" s="23">
        <v>0</v>
      </c>
      <c r="I22" s="29">
        <f>'Mise A Jour BDD'!$A$14*80</f>
        <v>53.6</v>
      </c>
      <c r="J22" s="30">
        <f>'Mise A Jour BDD'!$A$14*430</f>
        <v>288.10000000000002</v>
      </c>
      <c r="K22" s="31" t="s">
        <v>100</v>
      </c>
      <c r="L22" s="32" t="s">
        <v>101</v>
      </c>
      <c r="M22" s="33" t="s">
        <v>102</v>
      </c>
    </row>
    <row r="23" spans="1:13" ht="20.25" customHeight="1" x14ac:dyDescent="0.35">
      <c r="A23" s="22" t="s">
        <v>66</v>
      </c>
      <c r="B23" s="23">
        <f>'Mise A Jour BDD'!$A$12*1961</f>
        <v>1738.6226000000001</v>
      </c>
      <c r="C23" s="34">
        <f>'Mise A Jour BDD'!$A$12*3446</f>
        <v>3055.2236000000003</v>
      </c>
      <c r="D23" s="35">
        <f>'Mise A Jour BDD'!$A$12*3446</f>
        <v>3055.2236000000003</v>
      </c>
      <c r="E23" s="26">
        <v>0</v>
      </c>
      <c r="F23" s="27">
        <v>0</v>
      </c>
      <c r="G23" s="28">
        <v>0</v>
      </c>
      <c r="H23" s="23">
        <v>0</v>
      </c>
      <c r="I23" s="29">
        <f>'Mise A Jour BDD'!$A$14*80</f>
        <v>53.6</v>
      </c>
      <c r="J23" s="30">
        <f>'Mise A Jour BDD'!$A$14*430</f>
        <v>288.10000000000002</v>
      </c>
      <c r="K23" s="31" t="s">
        <v>100</v>
      </c>
      <c r="L23" s="32" t="s">
        <v>101</v>
      </c>
      <c r="M23" s="33" t="s">
        <v>103</v>
      </c>
    </row>
    <row r="24" spans="1:13" ht="20.25" customHeight="1" x14ac:dyDescent="0.35">
      <c r="A24" s="22" t="s">
        <v>71</v>
      </c>
      <c r="B24" s="23">
        <f>'Mise A Jour BDD'!$A$12*1935</f>
        <v>1715.5710000000001</v>
      </c>
      <c r="C24" s="24">
        <f>'Mise A Jour BDD'!$A$12*3393</f>
        <v>3008.2338</v>
      </c>
      <c r="D24" s="25">
        <f>'Mise A Jour BDD'!$A$12*3393</f>
        <v>3008.2338</v>
      </c>
      <c r="E24" s="26">
        <v>0</v>
      </c>
      <c r="F24" s="27">
        <v>0</v>
      </c>
      <c r="G24" s="28">
        <v>0</v>
      </c>
      <c r="H24" s="23">
        <v>0</v>
      </c>
      <c r="I24" s="29">
        <f>'Mise A Jour BDD'!$A$14*80</f>
        <v>53.6</v>
      </c>
      <c r="J24" s="30">
        <f>'Mise A Jour BDD'!$A$14*430</f>
        <v>288.10000000000002</v>
      </c>
      <c r="K24" s="31" t="s">
        <v>100</v>
      </c>
      <c r="L24" s="32" t="s">
        <v>101</v>
      </c>
      <c r="M24" s="33" t="s">
        <v>103</v>
      </c>
    </row>
    <row r="25" spans="1:13" ht="20.25" customHeight="1" x14ac:dyDescent="0.35">
      <c r="A25" s="22" t="s">
        <v>70</v>
      </c>
      <c r="B25" s="23">
        <f>'Mise A Jour BDD'!$A$12*1878</f>
        <v>1665.0348000000001</v>
      </c>
      <c r="C25" s="34">
        <f>'Mise A Jour BDD'!$A$12*3163</f>
        <v>2804.3158000000003</v>
      </c>
      <c r="D25" s="35">
        <f>'Mise A Jour BDD'!$A$12*3163</f>
        <v>2804.3158000000003</v>
      </c>
      <c r="E25" s="26">
        <v>0</v>
      </c>
      <c r="F25" s="27">
        <v>0</v>
      </c>
      <c r="G25" s="28">
        <v>0</v>
      </c>
      <c r="H25" s="23">
        <v>0</v>
      </c>
      <c r="I25" s="29">
        <f>'Mise A Jour BDD'!$A$14*80</f>
        <v>53.6</v>
      </c>
      <c r="J25" s="30">
        <f>'Mise A Jour BDD'!$A$14*430</f>
        <v>288.10000000000002</v>
      </c>
      <c r="K25" s="31" t="s">
        <v>100</v>
      </c>
      <c r="L25" s="32" t="s">
        <v>101</v>
      </c>
      <c r="M25" s="33" t="s">
        <v>103</v>
      </c>
    </row>
    <row r="26" spans="1:13" ht="20.25" customHeight="1" x14ac:dyDescent="0.35">
      <c r="A26" s="22" t="s">
        <v>69</v>
      </c>
      <c r="B26" s="23">
        <f>'Mise A Jour BDD'!$A$12*1866</f>
        <v>1654.3956000000001</v>
      </c>
      <c r="C26" s="34">
        <f>'Mise A Jour BDD'!$A$12*3152</f>
        <v>2794.5632000000001</v>
      </c>
      <c r="D26" s="35">
        <f>'Mise A Jour BDD'!$A$12*3152</f>
        <v>2794.5632000000001</v>
      </c>
      <c r="E26" s="26">
        <v>0</v>
      </c>
      <c r="F26" s="27">
        <v>0</v>
      </c>
      <c r="G26" s="28">
        <v>0</v>
      </c>
      <c r="H26" s="23">
        <v>0</v>
      </c>
      <c r="I26" s="29">
        <f>'Mise A Jour BDD'!$A$14*80</f>
        <v>53.6</v>
      </c>
      <c r="J26" s="30">
        <f>'Mise A Jour BDD'!$A$14*430</f>
        <v>288.10000000000002</v>
      </c>
      <c r="K26" s="31" t="s">
        <v>100</v>
      </c>
      <c r="L26" s="32" t="s">
        <v>101</v>
      </c>
      <c r="M26" s="33" t="s">
        <v>103</v>
      </c>
    </row>
    <row r="27" spans="1:13" ht="20.25" customHeight="1" x14ac:dyDescent="0.35">
      <c r="A27" s="22" t="s">
        <v>66</v>
      </c>
      <c r="B27" s="23">
        <f>'Mise A Jour BDD'!$A$12*1853</f>
        <v>1642.8698000000002</v>
      </c>
      <c r="C27" s="34">
        <f>'Mise A Jour BDD'!$A$12*3131</f>
        <v>2775.9446000000003</v>
      </c>
      <c r="D27" s="35">
        <f>'Mise A Jour BDD'!$A$12*3231</f>
        <v>2864.6046000000001</v>
      </c>
      <c r="E27" s="26">
        <v>0</v>
      </c>
      <c r="F27" s="27">
        <v>0</v>
      </c>
      <c r="G27" s="28">
        <v>0</v>
      </c>
      <c r="H27" s="23">
        <v>0</v>
      </c>
      <c r="I27" s="29">
        <f>'Mise A Jour BDD'!$A$14*80</f>
        <v>53.6</v>
      </c>
      <c r="J27" s="30">
        <f>'Mise A Jour BDD'!$A$14*430</f>
        <v>288.10000000000002</v>
      </c>
      <c r="K27" s="31" t="s">
        <v>100</v>
      </c>
      <c r="L27" s="32" t="s">
        <v>101</v>
      </c>
      <c r="M27" s="33" t="s">
        <v>104</v>
      </c>
    </row>
    <row r="28" spans="1:13" ht="20.25" customHeight="1" x14ac:dyDescent="0.35">
      <c r="A28" s="22" t="s">
        <v>71</v>
      </c>
      <c r="B28" s="23">
        <v>1727</v>
      </c>
      <c r="C28" s="24">
        <v>2978</v>
      </c>
      <c r="D28" s="25">
        <v>2978</v>
      </c>
      <c r="E28" s="26">
        <f>'Mise A Jour BDD'!$A$12*4078</f>
        <v>3615.5548000000003</v>
      </c>
      <c r="F28" s="27">
        <f>'Mise A Jour BDD'!$A$12*2427</f>
        <v>2151.7782000000002</v>
      </c>
      <c r="G28" s="28">
        <v>0</v>
      </c>
      <c r="H28" s="23">
        <v>0</v>
      </c>
      <c r="I28" s="29">
        <f>'Mise A Jour BDD'!$A$14*80</f>
        <v>53.6</v>
      </c>
      <c r="J28" s="30">
        <f>'Mise A Jour BDD'!$A$14*430</f>
        <v>288.10000000000002</v>
      </c>
      <c r="K28" s="31" t="s">
        <v>100</v>
      </c>
      <c r="L28" s="32" t="s">
        <v>101</v>
      </c>
      <c r="M28" s="33" t="s">
        <v>104</v>
      </c>
    </row>
    <row r="29" spans="1:13" ht="20.25" customHeight="1" x14ac:dyDescent="0.35">
      <c r="A29" s="22" t="s">
        <v>70</v>
      </c>
      <c r="B29" s="23">
        <f>'Mise A Jour BDD'!$A$12*1870</f>
        <v>1657.942</v>
      </c>
      <c r="C29" s="34">
        <f>'Mise A Jour BDD'!$A$12*3148</f>
        <v>2791.0168000000003</v>
      </c>
      <c r="D29" s="35">
        <f>'Mise A Jour BDD'!$A$12*3248</f>
        <v>2879.6768000000002</v>
      </c>
      <c r="E29" s="26">
        <v>0</v>
      </c>
      <c r="F29" s="27">
        <v>0</v>
      </c>
      <c r="G29" s="28">
        <v>0</v>
      </c>
      <c r="H29" s="23">
        <v>0</v>
      </c>
      <c r="I29" s="29">
        <f>'Mise A Jour BDD'!$A$14*80</f>
        <v>53.6</v>
      </c>
      <c r="J29" s="30">
        <f>'Mise A Jour BDD'!$A$14*430</f>
        <v>288.10000000000002</v>
      </c>
      <c r="K29" s="31" t="s">
        <v>100</v>
      </c>
      <c r="L29" s="32" t="s">
        <v>101</v>
      </c>
      <c r="M29" s="33" t="s">
        <v>104</v>
      </c>
    </row>
    <row r="30" spans="1:13" ht="20.25" customHeight="1" x14ac:dyDescent="0.35">
      <c r="A30" s="22" t="s">
        <v>69</v>
      </c>
      <c r="B30" s="23">
        <f>'Mise A Jour BDD'!$A$12*1860</f>
        <v>1649.076</v>
      </c>
      <c r="C30" s="34">
        <f>'Mise A Jour BDD'!$A$12*3137</f>
        <v>2781.2642000000001</v>
      </c>
      <c r="D30" s="35">
        <f>'Mise A Jour BDD'!$A$12*3237</f>
        <v>2869.9242000000004</v>
      </c>
      <c r="E30" s="26">
        <v>0</v>
      </c>
      <c r="F30" s="27">
        <v>0</v>
      </c>
      <c r="G30" s="28">
        <v>0</v>
      </c>
      <c r="H30" s="23">
        <v>0</v>
      </c>
      <c r="I30" s="29">
        <f>'Mise A Jour BDD'!$A$14*80</f>
        <v>53.6</v>
      </c>
      <c r="J30" s="30">
        <f>'Mise A Jour BDD'!$A$14*430</f>
        <v>288.10000000000002</v>
      </c>
      <c r="K30" s="31" t="s">
        <v>100</v>
      </c>
      <c r="L30" s="32" t="s">
        <v>101</v>
      </c>
      <c r="M30" s="33" t="s">
        <v>104</v>
      </c>
    </row>
    <row r="31" spans="1:13" ht="20.25" customHeight="1" x14ac:dyDescent="0.35">
      <c r="A31" s="22" t="s">
        <v>66</v>
      </c>
      <c r="B31" s="23">
        <f>'Mise A Jour BDD'!$A$12*1881</f>
        <v>1667.6946</v>
      </c>
      <c r="C31" s="34">
        <f>'Mise A Jour BDD'!$A$12*3188</f>
        <v>2826.4808000000003</v>
      </c>
      <c r="D31" s="35">
        <f>'Mise A Jour BDD'!$A$12*3288</f>
        <v>2915.1408000000001</v>
      </c>
      <c r="E31" s="26">
        <v>0</v>
      </c>
      <c r="F31" s="27">
        <v>0</v>
      </c>
      <c r="G31" s="28">
        <v>0</v>
      </c>
      <c r="H31" s="23">
        <v>0</v>
      </c>
      <c r="I31" s="29">
        <f>'Mise A Jour BDD'!$A$14*80</f>
        <v>53.6</v>
      </c>
      <c r="J31" s="30">
        <f>'Mise A Jour BDD'!$A$14*430</f>
        <v>288.10000000000002</v>
      </c>
      <c r="K31" s="31" t="s">
        <v>100</v>
      </c>
      <c r="L31" s="32" t="s">
        <v>101</v>
      </c>
      <c r="M31" s="33" t="s">
        <v>106</v>
      </c>
    </row>
    <row r="32" spans="1:13" ht="20.25" customHeight="1" x14ac:dyDescent="0.35">
      <c r="A32" s="22" t="s">
        <v>71</v>
      </c>
      <c r="B32" s="23">
        <f>'Mise A Jour BDD'!$A$12*1755</f>
        <v>1555.9830000000002</v>
      </c>
      <c r="C32" s="24">
        <f>'Mise A Jour BDD'!$A$12*3034</f>
        <v>2689.9444000000003</v>
      </c>
      <c r="D32" s="25">
        <f>'Mise A Jour BDD'!$A$12*3034</f>
        <v>2689.9444000000003</v>
      </c>
      <c r="E32" s="26">
        <f>'Mise A Jour BDD'!$A$12*4134</f>
        <v>3665.2044000000001</v>
      </c>
      <c r="F32" s="27">
        <f>'Mise A Jour BDD'!$A$12*2455</f>
        <v>2176.6030000000001</v>
      </c>
      <c r="G32" s="28">
        <v>0</v>
      </c>
      <c r="H32" s="23">
        <v>0</v>
      </c>
      <c r="I32" s="29">
        <f>'Mise A Jour BDD'!$A$14*80</f>
        <v>53.6</v>
      </c>
      <c r="J32" s="30">
        <f>'Mise A Jour BDD'!$A$14*430</f>
        <v>288.10000000000002</v>
      </c>
      <c r="K32" s="31" t="s">
        <v>100</v>
      </c>
      <c r="L32" s="32" t="s">
        <v>101</v>
      </c>
      <c r="M32" s="33" t="s">
        <v>106</v>
      </c>
    </row>
    <row r="33" spans="1:13" ht="20.25" customHeight="1" x14ac:dyDescent="0.35">
      <c r="A33" s="22" t="s">
        <v>70</v>
      </c>
      <c r="B33" s="23">
        <f>'Mise A Jour BDD'!$A$12*1898</f>
        <v>1682.7668000000001</v>
      </c>
      <c r="C33" s="34">
        <f>'Mise A Jour BDD'!$A$12*3205</f>
        <v>2841.5530000000003</v>
      </c>
      <c r="D33" s="35">
        <f>'Mise A Jour BDD'!$A$12*3305</f>
        <v>2930.2130000000002</v>
      </c>
      <c r="E33" s="26">
        <v>0</v>
      </c>
      <c r="F33" s="27">
        <v>0</v>
      </c>
      <c r="G33" s="28">
        <v>0</v>
      </c>
      <c r="H33" s="23">
        <v>0</v>
      </c>
      <c r="I33" s="29">
        <f>'Mise A Jour BDD'!$A$14*80</f>
        <v>53.6</v>
      </c>
      <c r="J33" s="30">
        <f>'Mise A Jour BDD'!$A$14*430</f>
        <v>288.10000000000002</v>
      </c>
      <c r="K33" s="31" t="s">
        <v>100</v>
      </c>
      <c r="L33" s="32" t="s">
        <v>101</v>
      </c>
      <c r="M33" s="33" t="s">
        <v>106</v>
      </c>
    </row>
    <row r="34" spans="1:13" ht="20.25" customHeight="1" x14ac:dyDescent="0.35">
      <c r="A34" s="22" t="s">
        <v>69</v>
      </c>
      <c r="B34" s="23">
        <f>'Mise A Jour BDD'!$A$12*1887</f>
        <v>1673.0142000000001</v>
      </c>
      <c r="C34" s="34">
        <f>'Mise A Jour BDD'!$A$12*3193</f>
        <v>2830.9138000000003</v>
      </c>
      <c r="D34" s="35">
        <f>'Mise A Jour BDD'!$A$12*3293</f>
        <v>2919.5738000000001</v>
      </c>
      <c r="E34" s="26">
        <v>0</v>
      </c>
      <c r="F34" s="27">
        <v>0</v>
      </c>
      <c r="G34" s="28">
        <v>0</v>
      </c>
      <c r="H34" s="23">
        <v>0</v>
      </c>
      <c r="I34" s="29">
        <f>'Mise A Jour BDD'!$A$14*80</f>
        <v>53.6</v>
      </c>
      <c r="J34" s="30">
        <f>'Mise A Jour BDD'!$A$14*430</f>
        <v>288.10000000000002</v>
      </c>
      <c r="K34" s="31" t="s">
        <v>100</v>
      </c>
      <c r="L34" s="32" t="s">
        <v>101</v>
      </c>
      <c r="M34" s="33" t="s">
        <v>106</v>
      </c>
    </row>
    <row r="35" spans="1:13" ht="20.25" customHeight="1" x14ac:dyDescent="0.35">
      <c r="A35" s="22" t="s">
        <v>66</v>
      </c>
      <c r="B35" s="23">
        <f>'Mise A Jour BDD'!$A$12*1856</f>
        <v>1645.5296000000001</v>
      </c>
      <c r="C35" s="34">
        <f>'Mise A Jour BDD'!$A$12*3137</f>
        <v>2781.2642000000001</v>
      </c>
      <c r="D35" s="35">
        <f>'Mise A Jour BDD'!$A$12*3237</f>
        <v>2869.9242000000004</v>
      </c>
      <c r="E35" s="26">
        <v>0</v>
      </c>
      <c r="F35" s="27">
        <v>0</v>
      </c>
      <c r="G35" s="28">
        <v>0</v>
      </c>
      <c r="H35" s="23">
        <v>0</v>
      </c>
      <c r="I35" s="29">
        <f>'Mise A Jour BDD'!$A$14*80</f>
        <v>53.6</v>
      </c>
      <c r="J35" s="30">
        <f>'Mise A Jour BDD'!$A$14*430</f>
        <v>288.10000000000002</v>
      </c>
      <c r="K35" s="31" t="s">
        <v>100</v>
      </c>
      <c r="L35" s="32" t="s">
        <v>101</v>
      </c>
      <c r="M35" s="33" t="s">
        <v>107</v>
      </c>
    </row>
    <row r="36" spans="1:13" ht="20.25" customHeight="1" x14ac:dyDescent="0.35">
      <c r="A36" s="22" t="s">
        <v>71</v>
      </c>
      <c r="B36" s="23">
        <f>'Mise A Jour BDD'!$A$12*1730</f>
        <v>1533.818</v>
      </c>
      <c r="C36" s="24">
        <f>'Mise A Jour BDD'!$A$12*2984</f>
        <v>2645.6144000000004</v>
      </c>
      <c r="D36" s="25">
        <f>'Mise A Jour BDD'!$A$12*2984</f>
        <v>2645.6144000000004</v>
      </c>
      <c r="E36" s="26">
        <f>'Mise A Jour BDD'!$A$12*4084</f>
        <v>3620.8744000000002</v>
      </c>
      <c r="F36" s="27">
        <f>'Mise A Jour BDD'!$A$12*2430</f>
        <v>2154.4380000000001</v>
      </c>
      <c r="G36" s="28">
        <v>0</v>
      </c>
      <c r="H36" s="23">
        <v>0</v>
      </c>
      <c r="I36" s="29">
        <f>'Mise A Jour BDD'!$A$14*80</f>
        <v>53.6</v>
      </c>
      <c r="J36" s="30">
        <f>'Mise A Jour BDD'!$A$14*430</f>
        <v>288.10000000000002</v>
      </c>
      <c r="K36" s="31" t="s">
        <v>100</v>
      </c>
      <c r="L36" s="32" t="s">
        <v>101</v>
      </c>
      <c r="M36" s="33" t="s">
        <v>107</v>
      </c>
    </row>
    <row r="37" spans="1:13" ht="20.25" customHeight="1" x14ac:dyDescent="0.35">
      <c r="A37" s="22" t="s">
        <v>70</v>
      </c>
      <c r="B37" s="23">
        <f>'Mise A Jour BDD'!$A$12*1873</f>
        <v>1660.6018000000001</v>
      </c>
      <c r="C37" s="34">
        <f>'Mise A Jour BDD'!$A$12*3154</f>
        <v>2796.3364000000001</v>
      </c>
      <c r="D37" s="35">
        <f>'Mise A Jour BDD'!$A$12*3254</f>
        <v>2884.9964</v>
      </c>
      <c r="E37" s="26">
        <v>0</v>
      </c>
      <c r="F37" s="27">
        <v>0</v>
      </c>
      <c r="G37" s="28">
        <v>0</v>
      </c>
      <c r="H37" s="23">
        <v>0</v>
      </c>
      <c r="I37" s="29">
        <f>'Mise A Jour BDD'!$A$14*80</f>
        <v>53.6</v>
      </c>
      <c r="J37" s="30">
        <f>'Mise A Jour BDD'!$A$14*430</f>
        <v>288.10000000000002</v>
      </c>
      <c r="K37" s="31" t="s">
        <v>100</v>
      </c>
      <c r="L37" s="32" t="s">
        <v>101</v>
      </c>
      <c r="M37" s="33" t="s">
        <v>107</v>
      </c>
    </row>
    <row r="38" spans="1:13" ht="20.25" customHeight="1" x14ac:dyDescent="0.35">
      <c r="A38" s="22" t="s">
        <v>69</v>
      </c>
      <c r="B38" s="23">
        <f>'Mise A Jour BDD'!$A$12*1862</f>
        <v>1650.8492000000001</v>
      </c>
      <c r="C38" s="34">
        <f>'Mise A Jour BDD'!$A$12*3143</f>
        <v>2786.5838000000003</v>
      </c>
      <c r="D38" s="35">
        <f>'Mise A Jour BDD'!$A$12*3243</f>
        <v>2875.2438000000002</v>
      </c>
      <c r="E38" s="26">
        <v>0</v>
      </c>
      <c r="F38" s="27">
        <v>0</v>
      </c>
      <c r="G38" s="28">
        <v>0</v>
      </c>
      <c r="H38" s="23">
        <v>0</v>
      </c>
      <c r="I38" s="29">
        <f>'Mise A Jour BDD'!$A$14*80</f>
        <v>53.6</v>
      </c>
      <c r="J38" s="30">
        <f>'Mise A Jour BDD'!$A$14*430</f>
        <v>288.10000000000002</v>
      </c>
      <c r="K38" s="31" t="s">
        <v>100</v>
      </c>
      <c r="L38" s="32" t="s">
        <v>101</v>
      </c>
      <c r="M38" s="33" t="s">
        <v>107</v>
      </c>
    </row>
    <row r="39" spans="1:13" ht="20.25" customHeight="1" x14ac:dyDescent="0.35">
      <c r="A39" s="22" t="s">
        <v>66</v>
      </c>
      <c r="B39" s="23">
        <v>847</v>
      </c>
      <c r="C39" s="34">
        <v>1209</v>
      </c>
      <c r="D39" s="35">
        <v>1209</v>
      </c>
      <c r="E39" s="26">
        <v>0</v>
      </c>
      <c r="F39" s="27">
        <v>0</v>
      </c>
      <c r="G39" s="28">
        <v>0</v>
      </c>
      <c r="H39" s="23">
        <v>0</v>
      </c>
      <c r="I39" s="29">
        <f>'Mise A Jour BDD'!$A$16*310</f>
        <v>78.368000000000009</v>
      </c>
      <c r="J39" s="30">
        <f>'Mise A Jour BDD'!$A$16*745</f>
        <v>188.33600000000001</v>
      </c>
      <c r="K39" s="31" t="s">
        <v>109</v>
      </c>
      <c r="L39" s="32" t="s">
        <v>110</v>
      </c>
      <c r="M39" s="33" t="s">
        <v>111</v>
      </c>
    </row>
    <row r="40" spans="1:13" ht="20.25" customHeight="1" x14ac:dyDescent="0.35">
      <c r="A40" s="22" t="s">
        <v>70</v>
      </c>
      <c r="B40" s="23">
        <v>862</v>
      </c>
      <c r="C40" s="34">
        <v>1224</v>
      </c>
      <c r="D40" s="35">
        <v>1224</v>
      </c>
      <c r="E40" s="26">
        <v>0</v>
      </c>
      <c r="F40" s="27">
        <v>0</v>
      </c>
      <c r="G40" s="28">
        <v>0</v>
      </c>
      <c r="H40" s="23">
        <v>0</v>
      </c>
      <c r="I40" s="29">
        <f>'Mise A Jour BDD'!$A$16*310</f>
        <v>78.368000000000009</v>
      </c>
      <c r="J40" s="30">
        <f>'Mise A Jour BDD'!$A$16*745</f>
        <v>188.33600000000001</v>
      </c>
      <c r="K40" s="31" t="s">
        <v>109</v>
      </c>
      <c r="L40" s="32" t="s">
        <v>110</v>
      </c>
      <c r="M40" s="33" t="s">
        <v>111</v>
      </c>
    </row>
    <row r="41" spans="1:13" ht="20.25" customHeight="1" x14ac:dyDescent="0.35">
      <c r="A41" s="22" t="s">
        <v>69</v>
      </c>
      <c r="B41" s="23">
        <v>877</v>
      </c>
      <c r="C41" s="34">
        <v>1264</v>
      </c>
      <c r="D41" s="35">
        <v>1264</v>
      </c>
      <c r="E41" s="26">
        <v>0</v>
      </c>
      <c r="F41" s="27">
        <v>0</v>
      </c>
      <c r="G41" s="28">
        <v>0</v>
      </c>
      <c r="H41" s="23">
        <v>0</v>
      </c>
      <c r="I41" s="29">
        <f>'Mise A Jour BDD'!$A$16*310</f>
        <v>78.368000000000009</v>
      </c>
      <c r="J41" s="30">
        <f>'Mise A Jour BDD'!$A$16*745</f>
        <v>188.33600000000001</v>
      </c>
      <c r="K41" s="31" t="s">
        <v>109</v>
      </c>
      <c r="L41" s="32" t="s">
        <v>110</v>
      </c>
      <c r="M41" s="33" t="s">
        <v>111</v>
      </c>
    </row>
    <row r="42" spans="1:13" ht="20.25" customHeight="1" x14ac:dyDescent="0.35">
      <c r="A42" s="22" t="s">
        <v>66</v>
      </c>
      <c r="B42" s="23">
        <v>781</v>
      </c>
      <c r="C42" s="34">
        <v>1143</v>
      </c>
      <c r="D42" s="35">
        <v>1143</v>
      </c>
      <c r="E42" s="26">
        <v>0</v>
      </c>
      <c r="F42" s="27">
        <v>2678</v>
      </c>
      <c r="G42" s="28">
        <v>0</v>
      </c>
      <c r="H42" s="23">
        <v>0</v>
      </c>
      <c r="I42" s="29">
        <f>'Mise A Jour BDD'!$A$16*310</f>
        <v>78.368000000000009</v>
      </c>
      <c r="J42" s="30">
        <f>'Mise A Jour BDD'!$A$16*745</f>
        <v>188.33600000000001</v>
      </c>
      <c r="K42" s="31" t="s">
        <v>112</v>
      </c>
      <c r="L42" s="32" t="s">
        <v>110</v>
      </c>
      <c r="M42" s="33" t="s">
        <v>113</v>
      </c>
    </row>
    <row r="43" spans="1:13" ht="20.25" customHeight="1" x14ac:dyDescent="0.35">
      <c r="A43" s="22" t="s">
        <v>71</v>
      </c>
      <c r="B43" s="23">
        <v>1020</v>
      </c>
      <c r="C43" s="24">
        <v>1720</v>
      </c>
      <c r="D43" s="25">
        <v>1720</v>
      </c>
      <c r="E43" s="26">
        <v>0</v>
      </c>
      <c r="F43" s="27">
        <v>0</v>
      </c>
      <c r="G43" s="28">
        <v>0</v>
      </c>
      <c r="H43" s="23">
        <v>0</v>
      </c>
      <c r="I43" s="29">
        <f>'Mise A Jour BDD'!$A$16*310</f>
        <v>78.368000000000009</v>
      </c>
      <c r="J43" s="30">
        <f>'Mise A Jour BDD'!$A$16*745</f>
        <v>188.33600000000001</v>
      </c>
      <c r="K43" s="31" t="s">
        <v>112</v>
      </c>
      <c r="L43" s="32" t="s">
        <v>110</v>
      </c>
      <c r="M43" s="33" t="s">
        <v>113</v>
      </c>
    </row>
    <row r="44" spans="1:13" ht="20.25" customHeight="1" x14ac:dyDescent="0.35">
      <c r="A44" s="22" t="s">
        <v>70</v>
      </c>
      <c r="B44" s="23">
        <v>796</v>
      </c>
      <c r="C44" s="34">
        <v>1158</v>
      </c>
      <c r="D44" s="35">
        <v>1158</v>
      </c>
      <c r="E44" s="26">
        <v>0</v>
      </c>
      <c r="F44" s="27">
        <v>0</v>
      </c>
      <c r="G44" s="28">
        <v>0</v>
      </c>
      <c r="H44" s="23">
        <v>0</v>
      </c>
      <c r="I44" s="29">
        <f>'Mise A Jour BDD'!$A$16*310</f>
        <v>78.368000000000009</v>
      </c>
      <c r="J44" s="30">
        <f>'Mise A Jour BDD'!$A$16*745</f>
        <v>188.33600000000001</v>
      </c>
      <c r="K44" s="31" t="s">
        <v>112</v>
      </c>
      <c r="L44" s="32" t="s">
        <v>110</v>
      </c>
      <c r="M44" s="33" t="s">
        <v>113</v>
      </c>
    </row>
    <row r="45" spans="1:13" ht="20.25" customHeight="1" x14ac:dyDescent="0.35">
      <c r="A45" s="22" t="s">
        <v>69</v>
      </c>
      <c r="B45" s="23">
        <v>811</v>
      </c>
      <c r="C45" s="34">
        <v>1198</v>
      </c>
      <c r="D45" s="35">
        <v>1198</v>
      </c>
      <c r="E45" s="26">
        <v>0</v>
      </c>
      <c r="F45" s="27">
        <v>0</v>
      </c>
      <c r="G45" s="28">
        <v>0</v>
      </c>
      <c r="H45" s="23">
        <v>0</v>
      </c>
      <c r="I45" s="29">
        <f>'Mise A Jour BDD'!$A$16*310</f>
        <v>78.368000000000009</v>
      </c>
      <c r="J45" s="30">
        <f>'Mise A Jour BDD'!$A$16*745</f>
        <v>188.33600000000001</v>
      </c>
      <c r="K45" s="31" t="s">
        <v>112</v>
      </c>
      <c r="L45" s="32" t="s">
        <v>110</v>
      </c>
      <c r="M45" s="33" t="s">
        <v>113</v>
      </c>
    </row>
    <row r="46" spans="1:13" ht="20.25" customHeight="1" x14ac:dyDescent="0.35">
      <c r="A46" s="22" t="s">
        <v>66</v>
      </c>
      <c r="B46" s="23">
        <v>845</v>
      </c>
      <c r="C46" s="34">
        <v>1207</v>
      </c>
      <c r="D46" s="35">
        <v>1207</v>
      </c>
      <c r="E46" s="26">
        <v>0</v>
      </c>
      <c r="F46" s="27">
        <v>0</v>
      </c>
      <c r="G46" s="28">
        <v>0</v>
      </c>
      <c r="H46" s="23">
        <v>0</v>
      </c>
      <c r="I46" s="29">
        <f>'Mise A Jour BDD'!$A$16*310</f>
        <v>78.368000000000009</v>
      </c>
      <c r="J46" s="30">
        <f>'Mise A Jour BDD'!$A$16*745</f>
        <v>188.33600000000001</v>
      </c>
      <c r="K46" s="31" t="s">
        <v>112</v>
      </c>
      <c r="L46" s="32" t="s">
        <v>110</v>
      </c>
      <c r="M46" s="33" t="s">
        <v>114</v>
      </c>
    </row>
    <row r="47" spans="1:13" ht="20.25" customHeight="1" x14ac:dyDescent="0.35">
      <c r="A47" s="22" t="s">
        <v>71</v>
      </c>
      <c r="B47" s="23">
        <v>1082</v>
      </c>
      <c r="C47" s="24">
        <v>1782</v>
      </c>
      <c r="D47" s="25">
        <v>1782</v>
      </c>
      <c r="E47" s="26">
        <v>0</v>
      </c>
      <c r="F47" s="27">
        <v>0</v>
      </c>
      <c r="G47" s="28">
        <v>0</v>
      </c>
      <c r="H47" s="23">
        <v>0</v>
      </c>
      <c r="I47" s="29">
        <f>'Mise A Jour BDD'!$A$16*310</f>
        <v>78.368000000000009</v>
      </c>
      <c r="J47" s="30">
        <f>'Mise A Jour BDD'!$A$16*745</f>
        <v>188.33600000000001</v>
      </c>
      <c r="K47" s="31" t="s">
        <v>112</v>
      </c>
      <c r="L47" s="32" t="s">
        <v>110</v>
      </c>
      <c r="M47" s="33" t="s">
        <v>114</v>
      </c>
    </row>
    <row r="48" spans="1:13" ht="20.25" customHeight="1" x14ac:dyDescent="0.35">
      <c r="A48" s="22" t="s">
        <v>70</v>
      </c>
      <c r="B48" s="23">
        <v>860</v>
      </c>
      <c r="C48" s="34">
        <v>1222</v>
      </c>
      <c r="D48" s="35">
        <v>1222</v>
      </c>
      <c r="E48" s="26">
        <v>0</v>
      </c>
      <c r="F48" s="27">
        <v>0</v>
      </c>
      <c r="G48" s="28">
        <v>0</v>
      </c>
      <c r="H48" s="23">
        <v>0</v>
      </c>
      <c r="I48" s="29">
        <f>'Mise A Jour BDD'!$A$16*310</f>
        <v>78.368000000000009</v>
      </c>
      <c r="J48" s="30">
        <f>'Mise A Jour BDD'!$A$16*745</f>
        <v>188.33600000000001</v>
      </c>
      <c r="K48" s="31" t="s">
        <v>112</v>
      </c>
      <c r="L48" s="32" t="s">
        <v>110</v>
      </c>
      <c r="M48" s="33" t="s">
        <v>114</v>
      </c>
    </row>
    <row r="49" spans="1:14" ht="20.25" customHeight="1" x14ac:dyDescent="0.35">
      <c r="A49" s="22" t="s">
        <v>69</v>
      </c>
      <c r="B49" s="23">
        <v>875</v>
      </c>
      <c r="C49" s="34">
        <v>1262</v>
      </c>
      <c r="D49" s="35">
        <v>1262</v>
      </c>
      <c r="E49" s="26">
        <v>0</v>
      </c>
      <c r="F49" s="27">
        <v>0</v>
      </c>
      <c r="G49" s="28">
        <v>0</v>
      </c>
      <c r="H49" s="23">
        <v>0</v>
      </c>
      <c r="I49" s="29">
        <f>'Mise A Jour BDD'!$A$16*310</f>
        <v>78.368000000000009</v>
      </c>
      <c r="J49" s="30">
        <f>'Mise A Jour BDD'!$A$16*745</f>
        <v>188.33600000000001</v>
      </c>
      <c r="K49" s="31" t="s">
        <v>112</v>
      </c>
      <c r="L49" s="32" t="s">
        <v>110</v>
      </c>
      <c r="M49" s="33" t="s">
        <v>114</v>
      </c>
    </row>
    <row r="50" spans="1:14" ht="20.25" customHeight="1" x14ac:dyDescent="0.35">
      <c r="A50" s="22" t="s">
        <v>66</v>
      </c>
      <c r="B50" s="23">
        <v>1060</v>
      </c>
      <c r="C50" s="34">
        <v>1751</v>
      </c>
      <c r="D50" s="35">
        <v>1751</v>
      </c>
      <c r="E50" s="26">
        <v>0</v>
      </c>
      <c r="F50" s="27">
        <v>0</v>
      </c>
      <c r="G50" s="28">
        <v>0</v>
      </c>
      <c r="H50" s="23">
        <v>0</v>
      </c>
      <c r="I50" s="29">
        <v>0</v>
      </c>
      <c r="J50" s="30">
        <f>'Mise A Jour BDD'!$A$12*85</f>
        <v>75.361000000000004</v>
      </c>
      <c r="K50" s="31" t="s">
        <v>115</v>
      </c>
      <c r="L50" s="32" t="s">
        <v>116</v>
      </c>
      <c r="M50" s="33" t="s">
        <v>117</v>
      </c>
    </row>
    <row r="51" spans="1:14" ht="20.25" customHeight="1" x14ac:dyDescent="0.35">
      <c r="A51" s="22" t="s">
        <v>71</v>
      </c>
      <c r="B51" s="23">
        <v>1472</v>
      </c>
      <c r="C51" s="24">
        <v>2531</v>
      </c>
      <c r="D51" s="25">
        <v>2531</v>
      </c>
      <c r="E51" s="26">
        <v>0</v>
      </c>
      <c r="F51" s="27">
        <v>0</v>
      </c>
      <c r="G51" s="28">
        <v>0</v>
      </c>
      <c r="H51" s="23">
        <v>0</v>
      </c>
      <c r="I51" s="29">
        <v>0</v>
      </c>
      <c r="J51" s="30">
        <f>'Mise A Jour BDD'!$A$12*85</f>
        <v>75.361000000000004</v>
      </c>
      <c r="K51" s="31" t="s">
        <v>115</v>
      </c>
      <c r="L51" s="32" t="s">
        <v>116</v>
      </c>
      <c r="M51" s="33" t="s">
        <v>117</v>
      </c>
    </row>
    <row r="52" spans="1:14" ht="20.25" customHeight="1" x14ac:dyDescent="0.35">
      <c r="A52" s="22" t="s">
        <v>70</v>
      </c>
      <c r="B52" s="23">
        <v>1075</v>
      </c>
      <c r="C52" s="34">
        <v>1766</v>
      </c>
      <c r="D52" s="35">
        <v>1766</v>
      </c>
      <c r="E52" s="26">
        <v>0</v>
      </c>
      <c r="F52" s="27">
        <v>0</v>
      </c>
      <c r="G52" s="28">
        <v>0</v>
      </c>
      <c r="H52" s="23">
        <v>0</v>
      </c>
      <c r="I52" s="29">
        <v>0</v>
      </c>
      <c r="J52" s="30">
        <f>'Mise A Jour BDD'!$A$12*85</f>
        <v>75.361000000000004</v>
      </c>
      <c r="K52" s="31" t="s">
        <v>115</v>
      </c>
      <c r="L52" s="32" t="s">
        <v>116</v>
      </c>
      <c r="M52" s="33" t="s">
        <v>117</v>
      </c>
    </row>
    <row r="53" spans="1:14" ht="20.25" customHeight="1" x14ac:dyDescent="0.35">
      <c r="A53" s="22" t="s">
        <v>69</v>
      </c>
      <c r="B53" s="23">
        <v>1212</v>
      </c>
      <c r="C53" s="34">
        <v>1951</v>
      </c>
      <c r="D53" s="35">
        <v>1951</v>
      </c>
      <c r="E53" s="26">
        <v>0</v>
      </c>
      <c r="F53" s="27">
        <v>0</v>
      </c>
      <c r="G53" s="28">
        <v>0</v>
      </c>
      <c r="H53" s="23">
        <v>0</v>
      </c>
      <c r="I53" s="29">
        <v>0</v>
      </c>
      <c r="J53" s="30">
        <f>'Mise A Jour BDD'!$A$12*85</f>
        <v>75.361000000000004</v>
      </c>
      <c r="K53" s="31" t="s">
        <v>115</v>
      </c>
      <c r="L53" s="32" t="s">
        <v>116</v>
      </c>
      <c r="M53" s="33" t="s">
        <v>117</v>
      </c>
    </row>
    <row r="54" spans="1:14" ht="20.25" customHeight="1" x14ac:dyDescent="0.25">
      <c r="A54" s="22" t="s">
        <v>66</v>
      </c>
      <c r="B54" s="23">
        <v>1499</v>
      </c>
      <c r="C54" s="34">
        <v>2434</v>
      </c>
      <c r="D54" s="35">
        <v>2434</v>
      </c>
      <c r="E54" s="26">
        <v>0</v>
      </c>
      <c r="F54" s="27">
        <v>0</v>
      </c>
      <c r="G54" s="28">
        <v>0</v>
      </c>
      <c r="H54" s="23">
        <v>0</v>
      </c>
      <c r="I54" s="29">
        <v>0</v>
      </c>
      <c r="J54" s="30">
        <f>'Mise A Jour BDD'!$A$12*85</f>
        <v>75.361000000000004</v>
      </c>
      <c r="K54" s="31" t="s">
        <v>118</v>
      </c>
      <c r="L54" s="32" t="s">
        <v>116</v>
      </c>
      <c r="M54" s="33" t="s">
        <v>119</v>
      </c>
    </row>
    <row r="55" spans="1:14" ht="20.25" customHeight="1" x14ac:dyDescent="0.25">
      <c r="A55" s="22" t="s">
        <v>71</v>
      </c>
      <c r="B55" s="23">
        <v>3347</v>
      </c>
      <c r="C55" s="24">
        <v>4430</v>
      </c>
      <c r="D55" s="25">
        <v>4430</v>
      </c>
      <c r="E55" s="26">
        <v>3516</v>
      </c>
      <c r="F55" s="27">
        <v>2333</v>
      </c>
      <c r="G55" s="28">
        <v>2333</v>
      </c>
      <c r="H55" s="23">
        <v>3516</v>
      </c>
      <c r="I55" s="29">
        <v>0</v>
      </c>
      <c r="J55" s="30">
        <f>'Mise A Jour BDD'!$A$12*85</f>
        <v>75.361000000000004</v>
      </c>
      <c r="K55" s="31" t="s">
        <v>118</v>
      </c>
      <c r="L55" s="32" t="s">
        <v>116</v>
      </c>
      <c r="M55" s="33" t="s">
        <v>119</v>
      </c>
    </row>
    <row r="56" spans="1:14" ht="20.25" customHeight="1" x14ac:dyDescent="0.25">
      <c r="A56" s="22" t="s">
        <v>70</v>
      </c>
      <c r="B56" s="23">
        <v>1514</v>
      </c>
      <c r="C56" s="34">
        <v>2449</v>
      </c>
      <c r="D56" s="35">
        <v>2449</v>
      </c>
      <c r="E56" s="26">
        <v>0</v>
      </c>
      <c r="F56" s="27">
        <v>0</v>
      </c>
      <c r="G56" s="28">
        <v>0</v>
      </c>
      <c r="H56" s="23">
        <v>0</v>
      </c>
      <c r="I56" s="29">
        <v>0</v>
      </c>
      <c r="J56" s="30">
        <f>'Mise A Jour BDD'!$A$12*85</f>
        <v>75.361000000000004</v>
      </c>
      <c r="K56" s="31" t="s">
        <v>118</v>
      </c>
      <c r="L56" s="32" t="s">
        <v>116</v>
      </c>
      <c r="M56" s="33" t="s">
        <v>119</v>
      </c>
    </row>
    <row r="57" spans="1:14" ht="20.25" customHeight="1" x14ac:dyDescent="0.25">
      <c r="A57" s="22" t="s">
        <v>69</v>
      </c>
      <c r="B57" s="23">
        <v>1504</v>
      </c>
      <c r="C57" s="34">
        <v>2439</v>
      </c>
      <c r="D57" s="35">
        <v>2439</v>
      </c>
      <c r="E57" s="26">
        <v>0</v>
      </c>
      <c r="F57" s="27">
        <v>0</v>
      </c>
      <c r="G57" s="28">
        <v>0</v>
      </c>
      <c r="H57" s="23">
        <v>0</v>
      </c>
      <c r="I57" s="29">
        <v>0</v>
      </c>
      <c r="J57" s="30">
        <f>'Mise A Jour BDD'!$A$12*85</f>
        <v>75.361000000000004</v>
      </c>
      <c r="K57" s="31" t="s">
        <v>118</v>
      </c>
      <c r="L57" s="32" t="s">
        <v>116</v>
      </c>
      <c r="M57" s="33" t="s">
        <v>119</v>
      </c>
    </row>
    <row r="58" spans="1:14" ht="20.25" customHeight="1" x14ac:dyDescent="0.25">
      <c r="A58" s="22" t="s">
        <v>66</v>
      </c>
      <c r="B58" s="23">
        <v>861.52</v>
      </c>
      <c r="C58" s="24">
        <v>1094.72</v>
      </c>
      <c r="D58" s="25">
        <v>1754.72</v>
      </c>
      <c r="E58" s="26">
        <v>0</v>
      </c>
      <c r="F58" s="27">
        <v>0</v>
      </c>
      <c r="G58" s="28">
        <v>0</v>
      </c>
      <c r="H58" s="23">
        <v>0</v>
      </c>
      <c r="I58" s="29">
        <v>0</v>
      </c>
      <c r="J58" s="30">
        <f>'Mise A Jour BDD'!$A$34*2700</f>
        <v>307.8</v>
      </c>
      <c r="K58" s="31" t="s">
        <v>120</v>
      </c>
      <c r="L58" s="32" t="s">
        <v>121</v>
      </c>
      <c r="M58" s="33" t="s">
        <v>122</v>
      </c>
      <c r="N58" s="196" t="s">
        <v>326</v>
      </c>
    </row>
    <row r="59" spans="1:14" ht="20.25" customHeight="1" x14ac:dyDescent="0.25">
      <c r="A59" s="22" t="s">
        <v>71</v>
      </c>
      <c r="B59" s="23">
        <f>'Mise A Jour BDD'!$A$12*817</f>
        <v>724.35220000000004</v>
      </c>
      <c r="C59" s="24">
        <f>'Mise A Jour BDD'!$A$12*939</f>
        <v>832.51740000000007</v>
      </c>
      <c r="D59" s="25">
        <f>'Mise A Jour BDD'!$A$12*939</f>
        <v>832.51740000000007</v>
      </c>
      <c r="E59" s="26">
        <v>0</v>
      </c>
      <c r="F59" s="27">
        <v>0</v>
      </c>
      <c r="G59" s="28">
        <v>0</v>
      </c>
      <c r="H59" s="23">
        <v>0</v>
      </c>
      <c r="I59" s="29">
        <v>0</v>
      </c>
      <c r="J59" s="30">
        <f>'Mise A Jour BDD'!$A$34*2700</f>
        <v>307.8</v>
      </c>
      <c r="K59" s="31" t="s">
        <v>120</v>
      </c>
      <c r="L59" s="32" t="s">
        <v>121</v>
      </c>
      <c r="M59" s="33" t="s">
        <v>122</v>
      </c>
      <c r="N59" s="196"/>
    </row>
    <row r="60" spans="1:14" ht="20.25" customHeight="1" x14ac:dyDescent="0.25">
      <c r="A60" s="22" t="s">
        <v>70</v>
      </c>
      <c r="B60" s="23">
        <v>877.36</v>
      </c>
      <c r="C60" s="24">
        <v>1109.68</v>
      </c>
      <c r="D60" s="25">
        <v>1109.68</v>
      </c>
      <c r="E60" s="26">
        <v>0</v>
      </c>
      <c r="F60" s="27">
        <v>0</v>
      </c>
      <c r="G60" s="28">
        <v>0</v>
      </c>
      <c r="H60" s="23">
        <v>0</v>
      </c>
      <c r="I60" s="29">
        <v>0</v>
      </c>
      <c r="J60" s="30">
        <f>'Mise A Jour BDD'!$A$34*2700</f>
        <v>307.8</v>
      </c>
      <c r="K60" s="31" t="s">
        <v>120</v>
      </c>
      <c r="L60" s="32" t="s">
        <v>121</v>
      </c>
      <c r="M60" s="33" t="s">
        <v>122</v>
      </c>
      <c r="N60" s="196"/>
    </row>
    <row r="61" spans="1:14" ht="20.25" customHeight="1" x14ac:dyDescent="0.25">
      <c r="A61" s="22" t="s">
        <v>69</v>
      </c>
      <c r="B61" s="23">
        <v>866.8</v>
      </c>
      <c r="C61" s="24">
        <v>1100</v>
      </c>
      <c r="D61" s="25">
        <v>1100</v>
      </c>
      <c r="E61" s="26">
        <v>0</v>
      </c>
      <c r="F61" s="27">
        <v>0</v>
      </c>
      <c r="G61" s="28">
        <v>0</v>
      </c>
      <c r="H61" s="23">
        <v>0</v>
      </c>
      <c r="I61" s="29">
        <v>0</v>
      </c>
      <c r="J61" s="30">
        <f>'Mise A Jour BDD'!$A$34*2700</f>
        <v>307.8</v>
      </c>
      <c r="K61" s="31" t="s">
        <v>120</v>
      </c>
      <c r="L61" s="32" t="s">
        <v>121</v>
      </c>
      <c r="M61" s="33" t="s">
        <v>122</v>
      </c>
      <c r="N61" s="196"/>
    </row>
    <row r="62" spans="1:14" ht="20.25" customHeight="1" x14ac:dyDescent="0.25">
      <c r="A62" s="22" t="s">
        <v>66</v>
      </c>
      <c r="B62" s="23">
        <f>'Mise A Jour BDD'!$A$12*718</f>
        <v>636.5788</v>
      </c>
      <c r="C62" s="24">
        <f>'Mise A Jour BDD'!$A$12*943</f>
        <v>836.06380000000001</v>
      </c>
      <c r="D62" s="25">
        <f>'Mise A Jour BDD'!$A$12*1693</f>
        <v>1501.0138000000002</v>
      </c>
      <c r="E62" s="26">
        <v>0</v>
      </c>
      <c r="F62" s="27">
        <v>0</v>
      </c>
      <c r="G62" s="28">
        <v>0</v>
      </c>
      <c r="H62" s="23">
        <v>0</v>
      </c>
      <c r="I62" s="29">
        <f>'Mise A Jour BDD'!$A$18*450</f>
        <v>61.514999999999993</v>
      </c>
      <c r="J62" s="30">
        <f>'Mise A Jour BDD'!$A$18*1000</f>
        <v>136.69999999999999</v>
      </c>
      <c r="K62" s="31" t="s">
        <v>120</v>
      </c>
      <c r="L62" s="32" t="s">
        <v>123</v>
      </c>
      <c r="M62" s="33" t="s">
        <v>124</v>
      </c>
      <c r="N62" s="196"/>
    </row>
    <row r="63" spans="1:14" ht="20.25" customHeight="1" x14ac:dyDescent="0.25">
      <c r="A63" s="22" t="s">
        <v>71</v>
      </c>
      <c r="B63" s="23">
        <f>'Mise A Jour BDD'!$A$12*655</f>
        <v>580.72300000000007</v>
      </c>
      <c r="C63" s="24">
        <f>'Mise A Jour BDD'!$A$12*736</f>
        <v>652.5376</v>
      </c>
      <c r="D63" s="25">
        <f>'Mise A Jour BDD'!$A$12*736</f>
        <v>652.5376</v>
      </c>
      <c r="E63" s="26">
        <v>0</v>
      </c>
      <c r="F63" s="27">
        <v>0</v>
      </c>
      <c r="G63" s="28">
        <v>0</v>
      </c>
      <c r="H63" s="23">
        <v>0</v>
      </c>
      <c r="I63" s="29">
        <f>'Mise A Jour BDD'!$A$18*450</f>
        <v>61.514999999999993</v>
      </c>
      <c r="J63" s="30">
        <f>'Mise A Jour BDD'!$A$18*1000</f>
        <v>136.69999999999999</v>
      </c>
      <c r="K63" s="31" t="s">
        <v>120</v>
      </c>
      <c r="L63" s="32" t="s">
        <v>123</v>
      </c>
      <c r="M63" s="33" t="s">
        <v>124</v>
      </c>
      <c r="N63" s="196"/>
    </row>
    <row r="64" spans="1:14" ht="20.25" customHeight="1" x14ac:dyDescent="0.25">
      <c r="A64" s="22" t="s">
        <v>70</v>
      </c>
      <c r="B64" s="23">
        <f>'Mise A Jour BDD'!$A$12*835</f>
        <v>740.31100000000004</v>
      </c>
      <c r="C64" s="24">
        <f>'Mise A Jour BDD'!$A$12*1060</f>
        <v>939.79600000000005</v>
      </c>
      <c r="D64" s="25">
        <f>'Mise A Jour BDD'!$A$12*1060</f>
        <v>939.79600000000005</v>
      </c>
      <c r="E64" s="26">
        <v>0</v>
      </c>
      <c r="F64" s="27">
        <v>0</v>
      </c>
      <c r="G64" s="28">
        <v>0</v>
      </c>
      <c r="H64" s="23">
        <v>0</v>
      </c>
      <c r="I64" s="29">
        <f>'Mise A Jour BDD'!$A$18*450</f>
        <v>61.514999999999993</v>
      </c>
      <c r="J64" s="30">
        <f>'Mise A Jour BDD'!$A$18*1000</f>
        <v>136.69999999999999</v>
      </c>
      <c r="K64" s="31" t="s">
        <v>120</v>
      </c>
      <c r="L64" s="32" t="s">
        <v>123</v>
      </c>
      <c r="M64" s="33" t="s">
        <v>124</v>
      </c>
      <c r="N64" s="196"/>
    </row>
    <row r="65" spans="1:14" ht="20.25" customHeight="1" x14ac:dyDescent="0.25">
      <c r="A65" s="22" t="s">
        <v>69</v>
      </c>
      <c r="B65" s="23">
        <f>'Mise A Jour BDD'!$A$12*824</f>
        <v>730.55840000000001</v>
      </c>
      <c r="C65" s="24">
        <f>'Mise A Jour BDD'!$A$12*1048</f>
        <v>929.15680000000009</v>
      </c>
      <c r="D65" s="25">
        <f>'Mise A Jour BDD'!$A$12*1048</f>
        <v>929.15680000000009</v>
      </c>
      <c r="E65" s="26">
        <v>0</v>
      </c>
      <c r="F65" s="27">
        <v>0</v>
      </c>
      <c r="G65" s="28">
        <v>0</v>
      </c>
      <c r="H65" s="23">
        <v>0</v>
      </c>
      <c r="I65" s="29">
        <f>'Mise A Jour BDD'!$A$18*450</f>
        <v>61.514999999999993</v>
      </c>
      <c r="J65" s="30">
        <f>'Mise A Jour BDD'!$A$18*1000</f>
        <v>136.69999999999999</v>
      </c>
      <c r="K65" s="31" t="s">
        <v>120</v>
      </c>
      <c r="L65" s="32" t="s">
        <v>123</v>
      </c>
      <c r="M65" s="33" t="s">
        <v>124</v>
      </c>
      <c r="N65" s="196"/>
    </row>
    <row r="66" spans="1:14" ht="20.25" customHeight="1" x14ac:dyDescent="0.25">
      <c r="A66" s="22" t="s">
        <v>66</v>
      </c>
      <c r="B66" s="23">
        <f>'Mise A Jour BDD'!$A$12*822</f>
        <v>728.78520000000003</v>
      </c>
      <c r="C66" s="24">
        <f>'Mise A Jour BDD'!$A$12*1048</f>
        <v>929.15680000000009</v>
      </c>
      <c r="D66" s="25">
        <f>'Mise A Jour BDD'!$A$12*1798</f>
        <v>1594.1068</v>
      </c>
      <c r="E66" s="26">
        <v>0</v>
      </c>
      <c r="F66" s="27">
        <v>0</v>
      </c>
      <c r="G66" s="28">
        <v>0</v>
      </c>
      <c r="H66" s="23">
        <v>0</v>
      </c>
      <c r="I66" s="29">
        <f>'Mise A Jour BDD'!$A$18*450</f>
        <v>61.514999999999993</v>
      </c>
      <c r="J66" s="30">
        <f>'Mise A Jour BDD'!$A$18*1000</f>
        <v>136.69999999999999</v>
      </c>
      <c r="K66" s="31" t="s">
        <v>120</v>
      </c>
      <c r="L66" s="32" t="s">
        <v>123</v>
      </c>
      <c r="M66" s="33" t="s">
        <v>125</v>
      </c>
      <c r="N66" s="196"/>
    </row>
    <row r="67" spans="1:14" ht="20.25" customHeight="1" x14ac:dyDescent="0.25">
      <c r="A67" s="22" t="s">
        <v>71</v>
      </c>
      <c r="B67" s="23">
        <f>'Mise A Jour BDD'!$A$12*659</f>
        <v>584.26940000000002</v>
      </c>
      <c r="C67" s="24">
        <f>'Mise A Jour BDD'!$A$12*742</f>
        <v>657.85720000000003</v>
      </c>
      <c r="D67" s="25">
        <f>'Mise A Jour BDD'!$A$12*742</f>
        <v>657.85720000000003</v>
      </c>
      <c r="E67" s="26">
        <v>0</v>
      </c>
      <c r="F67" s="27">
        <v>0</v>
      </c>
      <c r="G67" s="28">
        <v>0</v>
      </c>
      <c r="H67" s="23">
        <v>0</v>
      </c>
      <c r="I67" s="29">
        <f>'Mise A Jour BDD'!$A$18*450</f>
        <v>61.514999999999993</v>
      </c>
      <c r="J67" s="30">
        <f>'Mise A Jour BDD'!$A$18*1000</f>
        <v>136.69999999999999</v>
      </c>
      <c r="K67" s="31" t="s">
        <v>120</v>
      </c>
      <c r="L67" s="32" t="s">
        <v>123</v>
      </c>
      <c r="M67" s="33" t="s">
        <v>125</v>
      </c>
      <c r="N67" s="196"/>
    </row>
    <row r="68" spans="1:14" ht="20.25" customHeight="1" x14ac:dyDescent="0.25">
      <c r="A68" s="22" t="s">
        <v>70</v>
      </c>
      <c r="B68" s="23">
        <f>'Mise A Jour BDD'!$A$12*839</f>
        <v>743.8574000000001</v>
      </c>
      <c r="C68" s="24">
        <f>'Mise A Jour BDD'!$A$12*1065</f>
        <v>944.22900000000004</v>
      </c>
      <c r="D68" s="25">
        <f>'Mise A Jour BDD'!$A$12*1065</f>
        <v>944.22900000000004</v>
      </c>
      <c r="E68" s="26">
        <v>0</v>
      </c>
      <c r="F68" s="27">
        <v>0</v>
      </c>
      <c r="G68" s="28">
        <v>0</v>
      </c>
      <c r="H68" s="23">
        <v>0</v>
      </c>
      <c r="I68" s="29">
        <f>'Mise A Jour BDD'!$A$18*450</f>
        <v>61.514999999999993</v>
      </c>
      <c r="J68" s="30">
        <f>'Mise A Jour BDD'!$A$18*1000</f>
        <v>136.69999999999999</v>
      </c>
      <c r="K68" s="31" t="s">
        <v>120</v>
      </c>
      <c r="L68" s="32" t="s">
        <v>123</v>
      </c>
      <c r="M68" s="33" t="s">
        <v>125</v>
      </c>
      <c r="N68" s="196"/>
    </row>
    <row r="69" spans="1:14" ht="20.25" customHeight="1" x14ac:dyDescent="0.25">
      <c r="A69" s="22" t="s">
        <v>69</v>
      </c>
      <c r="B69" s="23">
        <f>'Mise A Jour BDD'!$A$12*825</f>
        <v>731.44500000000005</v>
      </c>
      <c r="C69" s="24">
        <f>'Mise A Jour BDD'!$A$12*1054</f>
        <v>934.47640000000001</v>
      </c>
      <c r="D69" s="25">
        <f>'Mise A Jour BDD'!$A$12*1054</f>
        <v>934.47640000000001</v>
      </c>
      <c r="E69" s="26">
        <v>0</v>
      </c>
      <c r="F69" s="27">
        <v>0</v>
      </c>
      <c r="G69" s="28">
        <v>0</v>
      </c>
      <c r="H69" s="23">
        <v>0</v>
      </c>
      <c r="I69" s="29">
        <f>'Mise A Jour BDD'!$A$18*450</f>
        <v>61.514999999999993</v>
      </c>
      <c r="J69" s="30">
        <f>'Mise A Jour BDD'!$A$18*1000</f>
        <v>136.69999999999999</v>
      </c>
      <c r="K69" s="31" t="s">
        <v>120</v>
      </c>
      <c r="L69" s="32" t="s">
        <v>123</v>
      </c>
      <c r="M69" s="33" t="s">
        <v>125</v>
      </c>
      <c r="N69" s="196"/>
    </row>
    <row r="70" spans="1:14" ht="20.25" customHeight="1" x14ac:dyDescent="0.25">
      <c r="A70" s="22" t="s">
        <v>66</v>
      </c>
      <c r="B70" s="23">
        <f>'Mise A Jour BDD'!$A$12*816</f>
        <v>723.46559999999999</v>
      </c>
      <c r="C70" s="24">
        <f>'Mise A Jour BDD'!$A$12*1039</f>
        <v>921.17740000000003</v>
      </c>
      <c r="D70" s="25">
        <f>'Mise A Jour BDD'!$A$12*1789</f>
        <v>1586.1274000000001</v>
      </c>
      <c r="E70" s="26">
        <v>0</v>
      </c>
      <c r="F70" s="27">
        <v>0</v>
      </c>
      <c r="G70" s="28">
        <v>0</v>
      </c>
      <c r="H70" s="23">
        <v>0</v>
      </c>
      <c r="I70" s="29">
        <f>'Mise A Jour BDD'!$A$18*450</f>
        <v>61.514999999999993</v>
      </c>
      <c r="J70" s="30">
        <f>'Mise A Jour BDD'!$A$18*1000</f>
        <v>136.69999999999999</v>
      </c>
      <c r="K70" s="31" t="s">
        <v>120</v>
      </c>
      <c r="L70" s="32" t="s">
        <v>123</v>
      </c>
      <c r="M70" s="33" t="s">
        <v>126</v>
      </c>
      <c r="N70" s="196"/>
    </row>
    <row r="71" spans="1:14" ht="20.25" customHeight="1" x14ac:dyDescent="0.25">
      <c r="A71" s="22" t="s">
        <v>71</v>
      </c>
      <c r="B71" s="23">
        <f>'Mise A Jour BDD'!$A$12*653</f>
        <v>578.94979999999998</v>
      </c>
      <c r="C71" s="24">
        <f>'Mise A Jour BDD'!$A$12*733</f>
        <v>649.87780000000009</v>
      </c>
      <c r="D71" s="25">
        <f>'Mise A Jour BDD'!$A$12*733</f>
        <v>649.87780000000009</v>
      </c>
      <c r="E71" s="26">
        <v>0</v>
      </c>
      <c r="F71" s="27">
        <v>0</v>
      </c>
      <c r="G71" s="28">
        <v>0</v>
      </c>
      <c r="H71" s="23">
        <v>0</v>
      </c>
      <c r="I71" s="29">
        <f>'Mise A Jour BDD'!$A$18*450</f>
        <v>61.514999999999993</v>
      </c>
      <c r="J71" s="30">
        <f>'Mise A Jour BDD'!$A$18*1000</f>
        <v>136.69999999999999</v>
      </c>
      <c r="K71" s="31" t="s">
        <v>120</v>
      </c>
      <c r="L71" s="32" t="s">
        <v>123</v>
      </c>
      <c r="M71" s="33" t="s">
        <v>126</v>
      </c>
      <c r="N71" s="196"/>
    </row>
    <row r="72" spans="1:14" ht="20.25" customHeight="1" x14ac:dyDescent="0.25">
      <c r="A72" s="22" t="s">
        <v>70</v>
      </c>
      <c r="B72" s="23">
        <f>'Mise A Jour BDD'!$A$12*833</f>
        <v>738.53780000000006</v>
      </c>
      <c r="C72" s="24">
        <f>'Mise A Jour BDD'!$A$12*1056</f>
        <v>936.2496000000001</v>
      </c>
      <c r="D72" s="25">
        <f>'Mise A Jour BDD'!$A$12*1056</f>
        <v>936.2496000000001</v>
      </c>
      <c r="E72" s="26">
        <v>0</v>
      </c>
      <c r="F72" s="27">
        <v>0</v>
      </c>
      <c r="G72" s="28">
        <v>0</v>
      </c>
      <c r="H72" s="23">
        <v>0</v>
      </c>
      <c r="I72" s="29">
        <f>'Mise A Jour BDD'!$A$18*450</f>
        <v>61.514999999999993</v>
      </c>
      <c r="J72" s="30">
        <f>'Mise A Jour BDD'!$A$18*1000</f>
        <v>136.69999999999999</v>
      </c>
      <c r="K72" s="31" t="s">
        <v>120</v>
      </c>
      <c r="L72" s="32" t="s">
        <v>123</v>
      </c>
      <c r="M72" s="33" t="s">
        <v>126</v>
      </c>
      <c r="N72" s="196"/>
    </row>
    <row r="73" spans="1:14" ht="20.25" customHeight="1" x14ac:dyDescent="0.25">
      <c r="A73" s="22" t="s">
        <v>69</v>
      </c>
      <c r="B73" s="23">
        <f>'Mise A Jour BDD'!$A$12*822</f>
        <v>728.78520000000003</v>
      </c>
      <c r="C73" s="24">
        <f>'Mise A Jour BDD'!$A$12*1045</f>
        <v>926.49700000000007</v>
      </c>
      <c r="D73" s="25">
        <f>'Mise A Jour BDD'!$A$12*1045</f>
        <v>926.49700000000007</v>
      </c>
      <c r="E73" s="26">
        <v>0</v>
      </c>
      <c r="F73" s="27">
        <v>0</v>
      </c>
      <c r="G73" s="28">
        <v>0</v>
      </c>
      <c r="H73" s="23">
        <v>0</v>
      </c>
      <c r="I73" s="29">
        <f>'Mise A Jour BDD'!$A$18*450</f>
        <v>61.514999999999993</v>
      </c>
      <c r="J73" s="30">
        <f>'Mise A Jour BDD'!$A$18*1000</f>
        <v>136.69999999999999</v>
      </c>
      <c r="K73" s="31" t="s">
        <v>120</v>
      </c>
      <c r="L73" s="32" t="s">
        <v>123</v>
      </c>
      <c r="M73" s="33" t="s">
        <v>126</v>
      </c>
      <c r="N73" s="196"/>
    </row>
    <row r="74" spans="1:14" ht="20.25" customHeight="1" x14ac:dyDescent="0.25">
      <c r="A74" s="22" t="s">
        <v>66</v>
      </c>
      <c r="B74" s="23">
        <v>1511</v>
      </c>
      <c r="C74" s="24">
        <v>2445</v>
      </c>
      <c r="D74" s="25">
        <v>2445</v>
      </c>
      <c r="E74" s="26">
        <v>0</v>
      </c>
      <c r="F74" s="27">
        <v>0</v>
      </c>
      <c r="G74" s="28">
        <v>0</v>
      </c>
      <c r="H74" s="23">
        <v>0</v>
      </c>
      <c r="I74" s="29">
        <v>0</v>
      </c>
      <c r="J74" s="30">
        <f>'Mise A Jour BDD'!$A$12*98</f>
        <v>86.886800000000008</v>
      </c>
      <c r="K74" s="31" t="s">
        <v>127</v>
      </c>
      <c r="L74" s="32" t="s">
        <v>128</v>
      </c>
      <c r="M74" s="33" t="s">
        <v>129</v>
      </c>
    </row>
    <row r="75" spans="1:14" ht="20.25" customHeight="1" x14ac:dyDescent="0.25">
      <c r="A75" s="22" t="s">
        <v>71</v>
      </c>
      <c r="B75" s="23">
        <v>1483</v>
      </c>
      <c r="C75" s="24">
        <v>2542</v>
      </c>
      <c r="D75" s="25">
        <v>2542</v>
      </c>
      <c r="E75" s="26">
        <v>2942</v>
      </c>
      <c r="F75" s="27">
        <v>1783</v>
      </c>
      <c r="G75" s="28">
        <v>1783</v>
      </c>
      <c r="H75" s="23">
        <v>2942</v>
      </c>
      <c r="I75" s="29">
        <v>0</v>
      </c>
      <c r="J75" s="30">
        <f>'Mise A Jour BDD'!$A$12*98</f>
        <v>86.886800000000008</v>
      </c>
      <c r="K75" s="31" t="s">
        <v>127</v>
      </c>
      <c r="L75" s="32" t="s">
        <v>128</v>
      </c>
      <c r="M75" s="33" t="s">
        <v>129</v>
      </c>
    </row>
    <row r="76" spans="1:14" ht="20.25" customHeight="1" x14ac:dyDescent="0.25">
      <c r="A76" s="22" t="s">
        <v>70</v>
      </c>
      <c r="B76" s="23">
        <v>1526</v>
      </c>
      <c r="C76" s="34">
        <v>2460</v>
      </c>
      <c r="D76" s="35">
        <v>2460</v>
      </c>
      <c r="E76" s="26">
        <v>0</v>
      </c>
      <c r="F76" s="27">
        <v>0</v>
      </c>
      <c r="G76" s="28">
        <v>0</v>
      </c>
      <c r="H76" s="23">
        <v>0</v>
      </c>
      <c r="I76" s="29">
        <v>0</v>
      </c>
      <c r="J76" s="30">
        <f>'Mise A Jour BDD'!$A$12*98</f>
        <v>86.886800000000008</v>
      </c>
      <c r="K76" s="31" t="s">
        <v>127</v>
      </c>
      <c r="L76" s="32" t="s">
        <v>128</v>
      </c>
      <c r="M76" s="33" t="s">
        <v>129</v>
      </c>
    </row>
    <row r="77" spans="1:14" ht="20.25" customHeight="1" x14ac:dyDescent="0.25">
      <c r="A77" s="22" t="s">
        <v>69</v>
      </c>
      <c r="B77" s="23">
        <v>1516</v>
      </c>
      <c r="C77" s="24">
        <v>2450</v>
      </c>
      <c r="D77" s="25">
        <v>2450</v>
      </c>
      <c r="E77" s="26">
        <v>0</v>
      </c>
      <c r="F77" s="27">
        <v>0</v>
      </c>
      <c r="G77" s="28">
        <v>0</v>
      </c>
      <c r="H77" s="23">
        <v>0</v>
      </c>
      <c r="I77" s="29">
        <v>0</v>
      </c>
      <c r="J77" s="30">
        <f>'Mise A Jour BDD'!$A$12*98</f>
        <v>86.886800000000008</v>
      </c>
      <c r="K77" s="31" t="s">
        <v>127</v>
      </c>
      <c r="L77" s="32" t="s">
        <v>128</v>
      </c>
      <c r="M77" s="33" t="s">
        <v>129</v>
      </c>
    </row>
    <row r="78" spans="1:14" ht="20.25" customHeight="1" x14ac:dyDescent="0.25">
      <c r="A78" s="22" t="s">
        <v>66</v>
      </c>
      <c r="B78" s="23">
        <f>'Mise A Jour BDD'!$A$12*1226</f>
        <v>1086.9716000000001</v>
      </c>
      <c r="C78" s="34">
        <f>'Mise A Jour BDD'!$A$12*1945</f>
        <v>1724.4370000000001</v>
      </c>
      <c r="D78" s="35">
        <f>'Mise A Jour BDD'!$A$12*1945</f>
        <v>1724.4370000000001</v>
      </c>
      <c r="E78" s="26">
        <v>0</v>
      </c>
      <c r="F78" s="27">
        <v>0</v>
      </c>
      <c r="G78" s="28">
        <v>0</v>
      </c>
      <c r="H78" s="23">
        <v>0</v>
      </c>
      <c r="I78" s="29">
        <v>0</v>
      </c>
      <c r="J78" s="30">
        <v>0</v>
      </c>
      <c r="K78" s="31" t="s">
        <v>130</v>
      </c>
      <c r="L78" s="32" t="s">
        <v>131</v>
      </c>
      <c r="M78" s="33" t="s">
        <v>132</v>
      </c>
    </row>
    <row r="79" spans="1:14" ht="20.25" customHeight="1" x14ac:dyDescent="0.25">
      <c r="A79" s="22" t="s">
        <v>71</v>
      </c>
      <c r="B79" s="23">
        <f>'Mise A Jour BDD'!$A$12*1133</f>
        <v>1004.5178000000001</v>
      </c>
      <c r="C79" s="24">
        <f>'Mise A Jour BDD'!$A$12*1733</f>
        <v>1536.4778000000001</v>
      </c>
      <c r="D79" s="25">
        <f>'Mise A Jour BDD'!$A$12*1733</f>
        <v>1536.4778000000001</v>
      </c>
      <c r="E79" s="26">
        <v>0</v>
      </c>
      <c r="F79" s="27">
        <v>0</v>
      </c>
      <c r="G79" s="28">
        <v>0</v>
      </c>
      <c r="H79" s="23">
        <v>0</v>
      </c>
      <c r="I79" s="29">
        <v>0</v>
      </c>
      <c r="J79" s="30">
        <v>0</v>
      </c>
      <c r="K79" s="31" t="s">
        <v>130</v>
      </c>
      <c r="L79" s="32" t="s">
        <v>131</v>
      </c>
      <c r="M79" s="33" t="s">
        <v>132</v>
      </c>
    </row>
    <row r="80" spans="1:14" ht="20.25" customHeight="1" x14ac:dyDescent="0.25">
      <c r="A80" s="22" t="s">
        <v>70</v>
      </c>
      <c r="B80" s="23">
        <f>'Mise A Jour BDD'!$A$12*1243</f>
        <v>1102.0438000000001</v>
      </c>
      <c r="C80" s="24">
        <f>'Mise A Jour BDD'!$A$12*1962</f>
        <v>1739.5092000000002</v>
      </c>
      <c r="D80" s="25">
        <f>'Mise A Jour BDD'!$A$12*1962</f>
        <v>1739.5092000000002</v>
      </c>
      <c r="E80" s="26">
        <v>0</v>
      </c>
      <c r="F80" s="27">
        <v>0</v>
      </c>
      <c r="G80" s="28">
        <v>0</v>
      </c>
      <c r="H80" s="23">
        <v>0</v>
      </c>
      <c r="I80" s="29">
        <v>0</v>
      </c>
      <c r="J80" s="30">
        <v>0</v>
      </c>
      <c r="K80" s="31" t="s">
        <v>130</v>
      </c>
      <c r="L80" s="32" t="s">
        <v>131</v>
      </c>
      <c r="M80" s="33" t="s">
        <v>132</v>
      </c>
    </row>
    <row r="81" spans="1:13" ht="20.25" customHeight="1" x14ac:dyDescent="0.25">
      <c r="A81" s="22" t="s">
        <v>69</v>
      </c>
      <c r="B81" s="23">
        <f>'Mise A Jour BDD'!$A$12*1232</f>
        <v>1092.2912000000001</v>
      </c>
      <c r="C81" s="34">
        <f>'Mise A Jour BDD'!$A$12*1950</f>
        <v>1728.8700000000001</v>
      </c>
      <c r="D81" s="35">
        <f>'Mise A Jour BDD'!$A$12*1950</f>
        <v>1728.8700000000001</v>
      </c>
      <c r="E81" s="26">
        <v>0</v>
      </c>
      <c r="F81" s="27">
        <v>0</v>
      </c>
      <c r="G81" s="28">
        <v>0</v>
      </c>
      <c r="H81" s="23">
        <v>0</v>
      </c>
      <c r="I81" s="29">
        <v>0</v>
      </c>
      <c r="J81" s="30">
        <v>0</v>
      </c>
      <c r="K81" s="31" t="s">
        <v>130</v>
      </c>
      <c r="L81" s="32" t="s">
        <v>131</v>
      </c>
      <c r="M81" s="33" t="s">
        <v>132</v>
      </c>
    </row>
    <row r="82" spans="1:13" ht="20.25" customHeight="1" x14ac:dyDescent="0.25">
      <c r="A82" s="22" t="s">
        <v>66</v>
      </c>
      <c r="B82" s="23">
        <f>'Mise A Jour BDD'!$A$12*1474</f>
        <v>1306.8484000000001</v>
      </c>
      <c r="C82" s="34">
        <f>'Mise A Jour BDD'!$A$12*2548</f>
        <v>2259.0568000000003</v>
      </c>
      <c r="D82" s="35">
        <f>'Mise A Jour BDD'!$A$12*2548</f>
        <v>2259.0568000000003</v>
      </c>
      <c r="E82" s="26">
        <v>0</v>
      </c>
      <c r="F82" s="27">
        <v>0</v>
      </c>
      <c r="G82" s="28">
        <v>0</v>
      </c>
      <c r="H82" s="23">
        <v>0</v>
      </c>
      <c r="I82" s="29">
        <v>0</v>
      </c>
      <c r="J82" s="30">
        <f>'Mise A Jour BDD'!$A$12*120</f>
        <v>106.39200000000001</v>
      </c>
      <c r="K82" s="31" t="s">
        <v>130</v>
      </c>
      <c r="L82" s="32" t="s">
        <v>133</v>
      </c>
      <c r="M82" s="33" t="s">
        <v>134</v>
      </c>
    </row>
    <row r="83" spans="1:13" ht="20.25" customHeight="1" x14ac:dyDescent="0.25">
      <c r="A83" s="22" t="s">
        <v>71</v>
      </c>
      <c r="B83" s="23">
        <f>'Mise A Jour BDD'!$A$12*1249</f>
        <v>1107.3634</v>
      </c>
      <c r="C83" s="24">
        <f>'Mise A Jour BDD'!$A$12*2198</f>
        <v>1948.7468000000001</v>
      </c>
      <c r="D83" s="25">
        <f>'Mise A Jour BDD'!$A$12*2198</f>
        <v>1948.7468000000001</v>
      </c>
      <c r="E83" s="26">
        <v>0</v>
      </c>
      <c r="F83" s="27">
        <v>0</v>
      </c>
      <c r="G83" s="28">
        <v>0</v>
      </c>
      <c r="H83" s="23">
        <v>0</v>
      </c>
      <c r="I83" s="29">
        <v>0</v>
      </c>
      <c r="J83" s="30">
        <f>'Mise A Jour BDD'!$A$12*120</f>
        <v>106.39200000000001</v>
      </c>
      <c r="K83" s="31" t="s">
        <v>130</v>
      </c>
      <c r="L83" s="32" t="s">
        <v>133</v>
      </c>
      <c r="M83" s="33" t="s">
        <v>134</v>
      </c>
    </row>
    <row r="84" spans="1:13" ht="20.25" customHeight="1" x14ac:dyDescent="0.25">
      <c r="A84" s="22" t="s">
        <v>70</v>
      </c>
      <c r="B84" s="23">
        <f>'Mise A Jour BDD'!$A$12*1474</f>
        <v>1306.8484000000001</v>
      </c>
      <c r="C84" s="34">
        <f>'Mise A Jour BDD'!$A$12*2548</f>
        <v>2259.0568000000003</v>
      </c>
      <c r="D84" s="35">
        <f>'Mise A Jour BDD'!$A$12*2548</f>
        <v>2259.0568000000003</v>
      </c>
      <c r="E84" s="26">
        <v>0</v>
      </c>
      <c r="F84" s="27">
        <v>0</v>
      </c>
      <c r="G84" s="28">
        <v>0</v>
      </c>
      <c r="H84" s="23">
        <v>0</v>
      </c>
      <c r="I84" s="29">
        <v>0</v>
      </c>
      <c r="J84" s="30">
        <f>'Mise A Jour BDD'!$A$12*120</f>
        <v>106.39200000000001</v>
      </c>
      <c r="K84" s="31" t="s">
        <v>130</v>
      </c>
      <c r="L84" s="32" t="s">
        <v>133</v>
      </c>
      <c r="M84" s="33" t="s">
        <v>134</v>
      </c>
    </row>
    <row r="85" spans="1:13" ht="20.25" customHeight="1" x14ac:dyDescent="0.25">
      <c r="A85" s="22" t="s">
        <v>69</v>
      </c>
      <c r="B85" s="23">
        <f>'Mise A Jour BDD'!$A$12*1349</f>
        <v>1196.0234</v>
      </c>
      <c r="C85" s="34">
        <f>'Mise A Jour BDD'!$A$12*2198</f>
        <v>1948.7468000000001</v>
      </c>
      <c r="D85" s="35">
        <f>'Mise A Jour BDD'!$A$12*2198</f>
        <v>1948.7468000000001</v>
      </c>
      <c r="E85" s="26">
        <v>0</v>
      </c>
      <c r="F85" s="27">
        <v>0</v>
      </c>
      <c r="G85" s="28">
        <v>0</v>
      </c>
      <c r="H85" s="23">
        <v>0</v>
      </c>
      <c r="I85" s="29">
        <v>0</v>
      </c>
      <c r="J85" s="30">
        <f>'Mise A Jour BDD'!$A$12*120</f>
        <v>106.39200000000001</v>
      </c>
      <c r="K85" s="31" t="s">
        <v>130</v>
      </c>
      <c r="L85" s="32" t="s">
        <v>133</v>
      </c>
      <c r="M85" s="33" t="s">
        <v>134</v>
      </c>
    </row>
    <row r="86" spans="1:13" ht="20.25" customHeight="1" x14ac:dyDescent="0.25">
      <c r="A86" s="22" t="s">
        <v>66</v>
      </c>
      <c r="B86" s="23">
        <f>'Mise A Jour BDD'!$A$12*1302</f>
        <v>1154.3532</v>
      </c>
      <c r="C86" s="34">
        <f>'Mise A Jour BDD'!$A$12*1970</f>
        <v>1746.6020000000001</v>
      </c>
      <c r="D86" s="35">
        <f>'Mise A Jour BDD'!$A$12*1970</f>
        <v>1746.6020000000001</v>
      </c>
      <c r="E86" s="26">
        <v>0</v>
      </c>
      <c r="F86" s="27">
        <v>0</v>
      </c>
      <c r="G86" s="28">
        <v>0</v>
      </c>
      <c r="H86" s="23">
        <v>0</v>
      </c>
      <c r="I86" s="29">
        <v>0</v>
      </c>
      <c r="J86" s="30">
        <v>0</v>
      </c>
      <c r="K86" s="31" t="s">
        <v>130</v>
      </c>
      <c r="L86" s="32" t="s">
        <v>135</v>
      </c>
      <c r="M86" s="33" t="s">
        <v>136</v>
      </c>
    </row>
    <row r="87" spans="1:13" ht="20.25" customHeight="1" x14ac:dyDescent="0.25">
      <c r="A87" s="22" t="s">
        <v>71</v>
      </c>
      <c r="B87" s="23">
        <f>'Mise A Jour BDD'!$A$12*1233</f>
        <v>1093.1778000000002</v>
      </c>
      <c r="C87" s="24">
        <f>'Mise A Jour BDD'!$A$12*1833</f>
        <v>1625.1378000000002</v>
      </c>
      <c r="D87" s="25">
        <f>'Mise A Jour BDD'!$A$12*1833</f>
        <v>1625.1378000000002</v>
      </c>
      <c r="E87" s="26">
        <v>0</v>
      </c>
      <c r="F87" s="27">
        <v>0</v>
      </c>
      <c r="G87" s="28">
        <v>0</v>
      </c>
      <c r="H87" s="23">
        <v>0</v>
      </c>
      <c r="I87" s="29">
        <v>0</v>
      </c>
      <c r="J87" s="30">
        <v>0</v>
      </c>
      <c r="K87" s="31" t="s">
        <v>130</v>
      </c>
      <c r="L87" s="32" t="s">
        <v>135</v>
      </c>
      <c r="M87" s="33" t="s">
        <v>136</v>
      </c>
    </row>
    <row r="88" spans="1:13" ht="20.25" customHeight="1" x14ac:dyDescent="0.25">
      <c r="A88" s="22" t="s">
        <v>70</v>
      </c>
      <c r="B88" s="23">
        <f>'Mise A Jour BDD'!$A$12*1319</f>
        <v>1169.4254000000001</v>
      </c>
      <c r="C88" s="34">
        <f>'Mise A Jour BDD'!$A$12*1987</f>
        <v>1761.6742000000002</v>
      </c>
      <c r="D88" s="35">
        <f>'Mise A Jour BDD'!$A$12*1987</f>
        <v>1761.6742000000002</v>
      </c>
      <c r="E88" s="26">
        <v>0</v>
      </c>
      <c r="F88" s="27">
        <v>0</v>
      </c>
      <c r="G88" s="28">
        <v>0</v>
      </c>
      <c r="H88" s="23">
        <v>0</v>
      </c>
      <c r="I88" s="29">
        <v>0</v>
      </c>
      <c r="J88" s="30">
        <v>0</v>
      </c>
      <c r="K88" s="31" t="s">
        <v>130</v>
      </c>
      <c r="L88" s="32" t="s">
        <v>135</v>
      </c>
      <c r="M88" s="33" t="s">
        <v>136</v>
      </c>
    </row>
    <row r="89" spans="1:13" ht="20.25" customHeight="1" x14ac:dyDescent="0.25">
      <c r="A89" s="22" t="s">
        <v>69</v>
      </c>
      <c r="B89" s="23">
        <f>'Mise A Jour BDD'!$A$12*1308</f>
        <v>1159.6728000000001</v>
      </c>
      <c r="C89" s="34">
        <f>'Mise A Jour BDD'!$A$12*1976</f>
        <v>1751.9216000000001</v>
      </c>
      <c r="D89" s="35">
        <f>'Mise A Jour BDD'!$A$12*1976</f>
        <v>1751.9216000000001</v>
      </c>
      <c r="E89" s="26">
        <v>0</v>
      </c>
      <c r="F89" s="27">
        <v>0</v>
      </c>
      <c r="G89" s="28">
        <v>0</v>
      </c>
      <c r="H89" s="23">
        <v>0</v>
      </c>
      <c r="I89" s="29">
        <v>0</v>
      </c>
      <c r="J89" s="30">
        <v>0</v>
      </c>
      <c r="K89" s="31" t="s">
        <v>130</v>
      </c>
      <c r="L89" s="32" t="s">
        <v>135</v>
      </c>
      <c r="M89" s="33" t="s">
        <v>136</v>
      </c>
    </row>
    <row r="90" spans="1:13" ht="20.25" customHeight="1" x14ac:dyDescent="0.25">
      <c r="A90" s="22" t="s">
        <v>66</v>
      </c>
      <c r="B90" s="23">
        <v>1122</v>
      </c>
      <c r="C90" s="34">
        <v>1575</v>
      </c>
      <c r="D90" s="35">
        <v>1575</v>
      </c>
      <c r="E90" s="26">
        <v>0</v>
      </c>
      <c r="F90" s="27">
        <v>0</v>
      </c>
      <c r="G90" s="28">
        <v>0</v>
      </c>
      <c r="H90" s="23">
        <v>0</v>
      </c>
      <c r="I90" s="29">
        <v>0</v>
      </c>
      <c r="J90" s="30">
        <v>140</v>
      </c>
      <c r="K90" s="31" t="s">
        <v>137</v>
      </c>
      <c r="L90" s="32" t="s">
        <v>138</v>
      </c>
      <c r="M90" s="33" t="s">
        <v>139</v>
      </c>
    </row>
    <row r="91" spans="1:13" ht="20.25" customHeight="1" x14ac:dyDescent="0.25">
      <c r="A91" s="22" t="s">
        <v>71</v>
      </c>
      <c r="B91" s="23">
        <v>1164</v>
      </c>
      <c r="C91" s="24">
        <v>1712</v>
      </c>
      <c r="D91" s="25">
        <v>1712</v>
      </c>
      <c r="E91" s="26">
        <v>0</v>
      </c>
      <c r="F91" s="27">
        <v>0</v>
      </c>
      <c r="G91" s="28">
        <v>0</v>
      </c>
      <c r="H91" s="23">
        <v>0</v>
      </c>
      <c r="I91" s="29">
        <v>0</v>
      </c>
      <c r="J91" s="30">
        <v>140</v>
      </c>
      <c r="K91" s="31" t="s">
        <v>137</v>
      </c>
      <c r="L91" s="32" t="s">
        <v>138</v>
      </c>
      <c r="M91" s="33" t="s">
        <v>139</v>
      </c>
    </row>
    <row r="92" spans="1:13" ht="20.25" customHeight="1" x14ac:dyDescent="0.25">
      <c r="A92" s="22" t="s">
        <v>71</v>
      </c>
      <c r="B92" s="23">
        <v>1164</v>
      </c>
      <c r="C92" s="24">
        <v>1712</v>
      </c>
      <c r="D92" s="25">
        <v>1712</v>
      </c>
      <c r="E92" s="26">
        <v>0</v>
      </c>
      <c r="F92" s="27">
        <v>0</v>
      </c>
      <c r="G92" s="28">
        <v>0</v>
      </c>
      <c r="H92" s="23">
        <v>0</v>
      </c>
      <c r="I92" s="29">
        <v>0</v>
      </c>
      <c r="J92" s="30">
        <v>140</v>
      </c>
      <c r="K92" s="31" t="s">
        <v>137</v>
      </c>
      <c r="L92" s="32" t="s">
        <v>138</v>
      </c>
      <c r="M92" s="33" t="s">
        <v>139</v>
      </c>
    </row>
    <row r="93" spans="1:13" ht="20.25" customHeight="1" x14ac:dyDescent="0.25">
      <c r="A93" s="22" t="s">
        <v>56</v>
      </c>
      <c r="B93" s="23">
        <v>1186</v>
      </c>
      <c r="C93" s="34">
        <v>1696</v>
      </c>
      <c r="D93" s="35">
        <v>1696</v>
      </c>
      <c r="E93" s="26">
        <v>0</v>
      </c>
      <c r="F93" s="27">
        <v>0</v>
      </c>
      <c r="G93" s="28">
        <v>0</v>
      </c>
      <c r="H93" s="23">
        <v>0</v>
      </c>
      <c r="I93" s="29">
        <v>0</v>
      </c>
      <c r="J93" s="30">
        <v>140</v>
      </c>
      <c r="K93" s="31" t="s">
        <v>137</v>
      </c>
      <c r="L93" s="32" t="s">
        <v>138</v>
      </c>
      <c r="M93" s="33" t="s">
        <v>139</v>
      </c>
    </row>
    <row r="94" spans="1:13" ht="20.25" customHeight="1" x14ac:dyDescent="0.25">
      <c r="A94" s="22" t="s">
        <v>69</v>
      </c>
      <c r="B94" s="23">
        <v>1199</v>
      </c>
      <c r="C94" s="34">
        <v>1782</v>
      </c>
      <c r="D94" s="35">
        <v>1782</v>
      </c>
      <c r="E94" s="26">
        <v>0</v>
      </c>
      <c r="F94" s="27">
        <v>0</v>
      </c>
      <c r="G94" s="28">
        <v>0</v>
      </c>
      <c r="H94" s="23">
        <v>0</v>
      </c>
      <c r="I94" s="29">
        <v>0</v>
      </c>
      <c r="J94" s="30">
        <v>140</v>
      </c>
      <c r="K94" s="31" t="s">
        <v>137</v>
      </c>
      <c r="L94" s="32" t="s">
        <v>138</v>
      </c>
      <c r="M94" s="33" t="s">
        <v>139</v>
      </c>
    </row>
    <row r="95" spans="1:13" ht="20.25" customHeight="1" x14ac:dyDescent="0.25">
      <c r="A95" s="22" t="s">
        <v>66</v>
      </c>
      <c r="B95" s="23">
        <v>1200</v>
      </c>
      <c r="C95" s="34">
        <v>2384</v>
      </c>
      <c r="D95" s="35">
        <v>2384</v>
      </c>
      <c r="E95" s="26">
        <v>0</v>
      </c>
      <c r="F95" s="27">
        <v>0</v>
      </c>
      <c r="G95" s="28">
        <v>0</v>
      </c>
      <c r="H95" s="23">
        <v>0</v>
      </c>
      <c r="I95" s="29">
        <v>0</v>
      </c>
      <c r="J95" s="30">
        <v>0</v>
      </c>
      <c r="K95" s="31" t="s">
        <v>137</v>
      </c>
      <c r="L95" s="32" t="s">
        <v>140</v>
      </c>
      <c r="M95" s="33" t="s">
        <v>141</v>
      </c>
    </row>
    <row r="96" spans="1:13" ht="20.25" customHeight="1" x14ac:dyDescent="0.25">
      <c r="A96" s="22" t="s">
        <v>56</v>
      </c>
      <c r="B96" s="23">
        <v>1384</v>
      </c>
      <c r="C96" s="34">
        <v>2124</v>
      </c>
      <c r="D96" s="35">
        <v>2207</v>
      </c>
      <c r="E96" s="26">
        <v>0</v>
      </c>
      <c r="F96" s="27">
        <v>0</v>
      </c>
      <c r="G96" s="28">
        <v>0</v>
      </c>
      <c r="H96" s="23">
        <v>0</v>
      </c>
      <c r="I96" s="29">
        <v>0</v>
      </c>
      <c r="J96" s="30">
        <v>0</v>
      </c>
      <c r="K96" s="31" t="s">
        <v>137</v>
      </c>
      <c r="L96" s="32" t="s">
        <v>140</v>
      </c>
      <c r="M96" s="33" t="s">
        <v>141</v>
      </c>
    </row>
    <row r="97" spans="1:13" ht="20.25" customHeight="1" x14ac:dyDescent="0.25">
      <c r="A97" s="22" t="s">
        <v>70</v>
      </c>
      <c r="B97" s="23">
        <v>1216</v>
      </c>
      <c r="C97" s="34">
        <v>2398</v>
      </c>
      <c r="D97" s="35">
        <v>2398</v>
      </c>
      <c r="E97" s="26">
        <v>0</v>
      </c>
      <c r="F97" s="27">
        <v>0</v>
      </c>
      <c r="G97" s="28">
        <v>0</v>
      </c>
      <c r="H97" s="23">
        <v>0</v>
      </c>
      <c r="I97" s="29">
        <v>0</v>
      </c>
      <c r="J97" s="30">
        <v>0</v>
      </c>
      <c r="K97" s="31" t="s">
        <v>137</v>
      </c>
      <c r="L97" s="32" t="s">
        <v>140</v>
      </c>
      <c r="M97" s="33" t="s">
        <v>141</v>
      </c>
    </row>
    <row r="98" spans="1:13" ht="20.25" customHeight="1" x14ac:dyDescent="0.25">
      <c r="A98" s="22" t="s">
        <v>69</v>
      </c>
      <c r="B98" s="23">
        <v>1206</v>
      </c>
      <c r="C98" s="34">
        <v>2388</v>
      </c>
      <c r="D98" s="35">
        <v>2388</v>
      </c>
      <c r="E98" s="26">
        <v>0</v>
      </c>
      <c r="F98" s="27">
        <v>0</v>
      </c>
      <c r="G98" s="28">
        <v>0</v>
      </c>
      <c r="H98" s="23">
        <v>0</v>
      </c>
      <c r="I98" s="29">
        <v>0</v>
      </c>
      <c r="J98" s="30">
        <v>0</v>
      </c>
      <c r="K98" s="31" t="s">
        <v>137</v>
      </c>
      <c r="L98" s="32" t="s">
        <v>140</v>
      </c>
      <c r="M98" s="33" t="s">
        <v>141</v>
      </c>
    </row>
    <row r="99" spans="1:13" ht="20.25" customHeight="1" x14ac:dyDescent="0.25">
      <c r="A99" s="22" t="s">
        <v>66</v>
      </c>
      <c r="B99" s="23">
        <v>1735</v>
      </c>
      <c r="C99" s="34">
        <v>2787</v>
      </c>
      <c r="D99" s="35">
        <v>2789</v>
      </c>
      <c r="E99" s="26">
        <v>0</v>
      </c>
      <c r="F99" s="27">
        <v>0</v>
      </c>
      <c r="G99" s="28">
        <v>0</v>
      </c>
      <c r="H99" s="23">
        <v>0</v>
      </c>
      <c r="I99" s="29">
        <v>0</v>
      </c>
      <c r="J99" s="30">
        <v>0</v>
      </c>
      <c r="K99" s="31" t="s">
        <v>137</v>
      </c>
      <c r="L99" s="32" t="s">
        <v>142</v>
      </c>
      <c r="M99" s="33" t="s">
        <v>143</v>
      </c>
    </row>
    <row r="100" spans="1:13" ht="20.25" customHeight="1" x14ac:dyDescent="0.25">
      <c r="A100" s="22" t="s">
        <v>71</v>
      </c>
      <c r="B100" s="23">
        <v>2120</v>
      </c>
      <c r="C100" s="34">
        <v>3103</v>
      </c>
      <c r="D100" s="35">
        <v>3103</v>
      </c>
      <c r="E100" s="26">
        <v>0</v>
      </c>
      <c r="F100" s="27">
        <v>0</v>
      </c>
      <c r="G100" s="28">
        <v>0</v>
      </c>
      <c r="H100" s="23">
        <v>0</v>
      </c>
      <c r="I100" s="29">
        <v>0</v>
      </c>
      <c r="J100" s="30">
        <v>0</v>
      </c>
      <c r="K100" s="31" t="s">
        <v>137</v>
      </c>
      <c r="L100" s="32" t="s">
        <v>142</v>
      </c>
      <c r="M100" s="33" t="s">
        <v>143</v>
      </c>
    </row>
    <row r="101" spans="1:13" ht="20.25" customHeight="1" x14ac:dyDescent="0.25">
      <c r="A101" s="22" t="s">
        <v>56</v>
      </c>
      <c r="B101" s="23">
        <v>2013</v>
      </c>
      <c r="C101" s="34">
        <v>3087</v>
      </c>
      <c r="D101" s="35">
        <v>3087</v>
      </c>
      <c r="E101" s="26">
        <v>0</v>
      </c>
      <c r="F101" s="27">
        <v>0</v>
      </c>
      <c r="G101" s="28">
        <v>0</v>
      </c>
      <c r="H101" s="23">
        <v>0</v>
      </c>
      <c r="I101" s="29">
        <v>0</v>
      </c>
      <c r="J101" s="30">
        <v>0</v>
      </c>
      <c r="K101" s="31" t="s">
        <v>137</v>
      </c>
      <c r="L101" s="32" t="s">
        <v>142</v>
      </c>
      <c r="M101" s="33" t="s">
        <v>143</v>
      </c>
    </row>
    <row r="102" spans="1:13" ht="20.25" customHeight="1" x14ac:dyDescent="0.25">
      <c r="A102" s="22" t="s">
        <v>69</v>
      </c>
      <c r="B102" s="23">
        <v>2155</v>
      </c>
      <c r="C102" s="34">
        <v>3173</v>
      </c>
      <c r="D102" s="35">
        <v>3173</v>
      </c>
      <c r="E102" s="26">
        <v>0</v>
      </c>
      <c r="F102" s="27">
        <v>0</v>
      </c>
      <c r="G102" s="28">
        <v>0</v>
      </c>
      <c r="H102" s="23">
        <v>0</v>
      </c>
      <c r="I102" s="29">
        <v>0</v>
      </c>
      <c r="J102" s="30">
        <v>0</v>
      </c>
      <c r="K102" s="31" t="s">
        <v>137</v>
      </c>
      <c r="L102" s="32" t="s">
        <v>142</v>
      </c>
      <c r="M102" s="33" t="s">
        <v>143</v>
      </c>
    </row>
    <row r="103" spans="1:13" ht="20.25" customHeight="1" x14ac:dyDescent="0.25">
      <c r="A103" s="22" t="s">
        <v>66</v>
      </c>
      <c r="B103" s="23">
        <v>1581</v>
      </c>
      <c r="C103" s="34">
        <v>2363</v>
      </c>
      <c r="D103" s="35">
        <v>2363</v>
      </c>
      <c r="E103" s="26">
        <v>0</v>
      </c>
      <c r="F103" s="27">
        <v>0</v>
      </c>
      <c r="G103" s="28">
        <v>0</v>
      </c>
      <c r="H103" s="23">
        <v>0</v>
      </c>
      <c r="I103" s="29">
        <v>0</v>
      </c>
      <c r="J103" s="30">
        <v>0</v>
      </c>
      <c r="K103" s="31" t="s">
        <v>137</v>
      </c>
      <c r="L103" s="32" t="s">
        <v>144</v>
      </c>
      <c r="M103" s="33" t="s">
        <v>145</v>
      </c>
    </row>
    <row r="104" spans="1:13" ht="20.25" customHeight="1" x14ac:dyDescent="0.25">
      <c r="A104" s="22" t="s">
        <v>56</v>
      </c>
      <c r="B104" s="23">
        <v>1478</v>
      </c>
      <c r="C104" s="34">
        <v>2186</v>
      </c>
      <c r="D104" s="35">
        <v>2186</v>
      </c>
      <c r="E104" s="26">
        <v>0</v>
      </c>
      <c r="F104" s="27">
        <v>0</v>
      </c>
      <c r="G104" s="28">
        <v>0</v>
      </c>
      <c r="H104" s="23">
        <v>0</v>
      </c>
      <c r="I104" s="29">
        <v>0</v>
      </c>
      <c r="J104" s="30">
        <v>0</v>
      </c>
      <c r="K104" s="31" t="s">
        <v>137</v>
      </c>
      <c r="L104" s="32" t="s">
        <v>144</v>
      </c>
      <c r="M104" s="33" t="s">
        <v>145</v>
      </c>
    </row>
    <row r="105" spans="1:13" ht="20.25" customHeight="1" x14ac:dyDescent="0.25">
      <c r="A105" s="22" t="s">
        <v>71</v>
      </c>
      <c r="B105" s="23">
        <v>1388</v>
      </c>
      <c r="C105" s="34">
        <v>2237</v>
      </c>
      <c r="D105" s="35">
        <v>2237</v>
      </c>
      <c r="E105" s="26">
        <v>0</v>
      </c>
      <c r="F105" s="27">
        <v>0</v>
      </c>
      <c r="G105" s="28">
        <v>0</v>
      </c>
      <c r="H105" s="23">
        <v>0</v>
      </c>
      <c r="I105" s="29">
        <v>0</v>
      </c>
      <c r="J105" s="30">
        <v>0</v>
      </c>
      <c r="K105" s="31" t="s">
        <v>137</v>
      </c>
      <c r="L105" s="32" t="s">
        <v>144</v>
      </c>
      <c r="M105" s="33" t="s">
        <v>145</v>
      </c>
    </row>
    <row r="106" spans="1:13" ht="20.25" customHeight="1" x14ac:dyDescent="0.25">
      <c r="A106" s="22" t="s">
        <v>69</v>
      </c>
      <c r="B106" s="23">
        <v>1423</v>
      </c>
      <c r="C106" s="34">
        <v>2307</v>
      </c>
      <c r="D106" s="35">
        <v>2307</v>
      </c>
      <c r="E106" s="26">
        <v>0</v>
      </c>
      <c r="F106" s="27">
        <v>0</v>
      </c>
      <c r="G106" s="28">
        <v>0</v>
      </c>
      <c r="H106" s="23">
        <v>0</v>
      </c>
      <c r="I106" s="29">
        <v>0</v>
      </c>
      <c r="J106" s="30">
        <v>0</v>
      </c>
      <c r="K106" s="31" t="s">
        <v>137</v>
      </c>
      <c r="L106" s="32" t="s">
        <v>144</v>
      </c>
      <c r="M106" s="33" t="s">
        <v>145</v>
      </c>
    </row>
    <row r="107" spans="1:13" ht="20.25" customHeight="1" x14ac:dyDescent="0.25">
      <c r="A107" s="22" t="s">
        <v>66</v>
      </c>
      <c r="B107" s="23">
        <v>2070</v>
      </c>
      <c r="C107" s="34">
        <v>3619</v>
      </c>
      <c r="D107" s="35">
        <v>3622</v>
      </c>
      <c r="E107" s="26">
        <v>0</v>
      </c>
      <c r="F107" s="27">
        <v>0</v>
      </c>
      <c r="G107" s="28">
        <v>0</v>
      </c>
      <c r="H107" s="23">
        <v>0</v>
      </c>
      <c r="I107" s="29">
        <v>0</v>
      </c>
      <c r="J107" s="30">
        <v>0</v>
      </c>
      <c r="K107" s="31" t="s">
        <v>137</v>
      </c>
      <c r="L107" s="32" t="s">
        <v>146</v>
      </c>
      <c r="M107" s="33" t="s">
        <v>147</v>
      </c>
    </row>
    <row r="108" spans="1:13" ht="20.25" customHeight="1" x14ac:dyDescent="0.25">
      <c r="A108" s="22" t="s">
        <v>71</v>
      </c>
      <c r="B108" s="23">
        <v>1940</v>
      </c>
      <c r="C108" s="34">
        <v>3393</v>
      </c>
      <c r="D108" s="35">
        <v>3393</v>
      </c>
      <c r="E108" s="26">
        <v>0</v>
      </c>
      <c r="F108" s="27">
        <v>0</v>
      </c>
      <c r="G108" s="28">
        <v>0</v>
      </c>
      <c r="H108" s="23">
        <v>0</v>
      </c>
      <c r="I108" s="29">
        <v>0</v>
      </c>
      <c r="J108" s="30">
        <v>0</v>
      </c>
      <c r="K108" s="31" t="s">
        <v>137</v>
      </c>
      <c r="L108" s="32" t="s">
        <v>146</v>
      </c>
      <c r="M108" s="33" t="s">
        <v>147</v>
      </c>
    </row>
    <row r="109" spans="1:13" ht="20.25" customHeight="1" x14ac:dyDescent="0.25">
      <c r="A109" s="22" t="s">
        <v>56</v>
      </c>
      <c r="B109" s="23">
        <v>1967</v>
      </c>
      <c r="C109" s="34">
        <v>3448</v>
      </c>
      <c r="D109" s="35">
        <v>3448</v>
      </c>
      <c r="E109" s="26">
        <v>0</v>
      </c>
      <c r="F109" s="27">
        <v>0</v>
      </c>
      <c r="G109" s="28">
        <v>0</v>
      </c>
      <c r="H109" s="23">
        <v>0</v>
      </c>
      <c r="I109" s="29">
        <v>0</v>
      </c>
      <c r="J109" s="30">
        <v>0</v>
      </c>
      <c r="K109" s="31" t="s">
        <v>137</v>
      </c>
      <c r="L109" s="32" t="s">
        <v>146</v>
      </c>
      <c r="M109" s="33" t="s">
        <v>147</v>
      </c>
    </row>
    <row r="110" spans="1:13" ht="20.25" customHeight="1" x14ac:dyDescent="0.25">
      <c r="A110" s="22" t="s">
        <v>69</v>
      </c>
      <c r="B110" s="23">
        <v>1975</v>
      </c>
      <c r="C110" s="34">
        <v>3463</v>
      </c>
      <c r="D110" s="35">
        <v>3463</v>
      </c>
      <c r="E110" s="26">
        <v>0</v>
      </c>
      <c r="F110" s="27">
        <v>0</v>
      </c>
      <c r="G110" s="28">
        <v>0</v>
      </c>
      <c r="H110" s="23">
        <v>0</v>
      </c>
      <c r="I110" s="29">
        <v>0</v>
      </c>
      <c r="J110" s="30">
        <v>0</v>
      </c>
      <c r="K110" s="31" t="s">
        <v>137</v>
      </c>
      <c r="L110" s="32" t="s">
        <v>146</v>
      </c>
      <c r="M110" s="33" t="s">
        <v>147</v>
      </c>
    </row>
    <row r="111" spans="1:13" ht="20.25" customHeight="1" x14ac:dyDescent="0.25">
      <c r="A111" s="22" t="s">
        <v>66</v>
      </c>
      <c r="B111" s="23">
        <v>981</v>
      </c>
      <c r="C111" s="34">
        <v>1591</v>
      </c>
      <c r="D111" s="35">
        <v>1591</v>
      </c>
      <c r="E111" s="26">
        <v>0</v>
      </c>
      <c r="F111" s="27">
        <v>0</v>
      </c>
      <c r="G111" s="28">
        <v>0</v>
      </c>
      <c r="H111" s="23">
        <v>0</v>
      </c>
      <c r="I111" s="29">
        <v>0</v>
      </c>
      <c r="J111" s="30">
        <v>0</v>
      </c>
      <c r="K111" s="31" t="s">
        <v>148</v>
      </c>
      <c r="L111" s="32" t="s">
        <v>149</v>
      </c>
      <c r="M111" s="33" t="s">
        <v>150</v>
      </c>
    </row>
    <row r="112" spans="1:13" ht="20.25" customHeight="1" x14ac:dyDescent="0.25">
      <c r="A112" s="22" t="s">
        <v>70</v>
      </c>
      <c r="B112" s="23">
        <v>996</v>
      </c>
      <c r="C112" s="34">
        <v>1606</v>
      </c>
      <c r="D112" s="35">
        <v>1606</v>
      </c>
      <c r="E112" s="26">
        <v>0</v>
      </c>
      <c r="F112" s="27">
        <v>1446</v>
      </c>
      <c r="G112" s="28">
        <v>0</v>
      </c>
      <c r="H112" s="23">
        <v>0</v>
      </c>
      <c r="I112" s="29">
        <v>0</v>
      </c>
      <c r="J112" s="30">
        <v>0</v>
      </c>
      <c r="K112" s="31" t="s">
        <v>148</v>
      </c>
      <c r="L112" s="32" t="s">
        <v>149</v>
      </c>
      <c r="M112" s="33" t="s">
        <v>150</v>
      </c>
    </row>
    <row r="113" spans="1:13" ht="20.25" customHeight="1" x14ac:dyDescent="0.25">
      <c r="A113" s="22" t="s">
        <v>69</v>
      </c>
      <c r="B113" s="23">
        <v>986</v>
      </c>
      <c r="C113" s="34">
        <v>1596</v>
      </c>
      <c r="D113" s="35">
        <v>1596</v>
      </c>
      <c r="E113" s="26">
        <v>0</v>
      </c>
      <c r="F113" s="27">
        <v>0</v>
      </c>
      <c r="G113" s="28">
        <v>0</v>
      </c>
      <c r="H113" s="23">
        <v>0</v>
      </c>
      <c r="I113" s="29">
        <v>0</v>
      </c>
      <c r="J113" s="30">
        <v>0</v>
      </c>
      <c r="K113" s="31" t="s">
        <v>148</v>
      </c>
      <c r="L113" s="32" t="s">
        <v>149</v>
      </c>
      <c r="M113" s="33" t="s">
        <v>150</v>
      </c>
    </row>
    <row r="114" spans="1:13" ht="20.25" customHeight="1" x14ac:dyDescent="0.25">
      <c r="A114" s="22" t="s">
        <v>66</v>
      </c>
      <c r="B114" s="23">
        <f>'Mise A Jour BDD'!$A$12*836</f>
        <v>741.19760000000008</v>
      </c>
      <c r="C114" s="34">
        <f>'Mise A Jour BDD'!$A$12*1065</f>
        <v>944.22900000000004</v>
      </c>
      <c r="D114" s="35">
        <f>'Mise A Jour BDD'!$A$12*1815</f>
        <v>1609.1790000000001</v>
      </c>
      <c r="E114" s="26">
        <v>0</v>
      </c>
      <c r="F114" s="27">
        <v>0</v>
      </c>
      <c r="G114" s="28">
        <v>0</v>
      </c>
      <c r="H114" s="23">
        <v>0</v>
      </c>
      <c r="I114" s="29">
        <v>0</v>
      </c>
      <c r="J114" s="30">
        <f>'Mise A Jour BDD'!$A$20*170000</f>
        <v>130.9</v>
      </c>
      <c r="K114" s="31" t="s">
        <v>151</v>
      </c>
      <c r="L114" s="32" t="s">
        <v>152</v>
      </c>
      <c r="M114" s="33" t="s">
        <v>153</v>
      </c>
    </row>
    <row r="115" spans="1:13" ht="20.25" customHeight="1" x14ac:dyDescent="0.25">
      <c r="A115" s="22" t="s">
        <v>71</v>
      </c>
      <c r="B115" s="23">
        <f>'Mise A Jour BDD'!$A$12*671</f>
        <v>594.90860000000009</v>
      </c>
      <c r="C115" s="24">
        <f>'Mise A Jour BDD'!$A$12*757</f>
        <v>671.15620000000001</v>
      </c>
      <c r="D115" s="25">
        <f>'Mise A Jour BDD'!$A$12*757</f>
        <v>671.15620000000001</v>
      </c>
      <c r="E115" s="26">
        <v>0</v>
      </c>
      <c r="F115" s="27">
        <v>0</v>
      </c>
      <c r="G115" s="28">
        <v>0</v>
      </c>
      <c r="H115" s="23">
        <v>0</v>
      </c>
      <c r="I115" s="29">
        <v>0</v>
      </c>
      <c r="J115" s="30">
        <f>'Mise A Jour BDD'!$A$20*170000</f>
        <v>130.9</v>
      </c>
      <c r="K115" s="31" t="s">
        <v>151</v>
      </c>
      <c r="L115" s="32" t="s">
        <v>152</v>
      </c>
      <c r="M115" s="33" t="s">
        <v>153</v>
      </c>
    </row>
    <row r="116" spans="1:13" ht="20.25" customHeight="1" x14ac:dyDescent="0.25">
      <c r="A116" s="22" t="s">
        <v>70</v>
      </c>
      <c r="B116" s="23">
        <f>'Mise A Jour BDD'!$A$12*1028</f>
        <v>911.4248</v>
      </c>
      <c r="C116" s="34">
        <f>'Mise A Jour BDD'!$A$12*1357</f>
        <v>1203.1162000000002</v>
      </c>
      <c r="D116" s="35">
        <f>'Mise A Jour BDD'!$A$12*1357</f>
        <v>1203.1162000000002</v>
      </c>
      <c r="E116" s="26">
        <v>0</v>
      </c>
      <c r="F116" s="27">
        <v>0</v>
      </c>
      <c r="G116" s="28">
        <v>0</v>
      </c>
      <c r="H116" s="23">
        <v>0</v>
      </c>
      <c r="I116" s="29">
        <v>0</v>
      </c>
      <c r="J116" s="30">
        <f>'Mise A Jour BDD'!$A$20*170000</f>
        <v>130.9</v>
      </c>
      <c r="K116" s="31" t="s">
        <v>151</v>
      </c>
      <c r="L116" s="32" t="s">
        <v>152</v>
      </c>
      <c r="M116" s="33" t="s">
        <v>153</v>
      </c>
    </row>
    <row r="117" spans="1:13" ht="20.25" customHeight="1" x14ac:dyDescent="0.25">
      <c r="A117" s="22" t="s">
        <v>69</v>
      </c>
      <c r="B117" s="23">
        <f>'Mise A Jour BDD'!$A$12*847</f>
        <v>750.9502</v>
      </c>
      <c r="C117" s="34">
        <f>'Mise A Jour BDD'!$A$12*1070</f>
        <v>948.66200000000003</v>
      </c>
      <c r="D117" s="35">
        <f>'Mise A Jour BDD'!$A$12*1070</f>
        <v>948.66200000000003</v>
      </c>
      <c r="E117" s="26">
        <v>0</v>
      </c>
      <c r="F117" s="27">
        <v>0</v>
      </c>
      <c r="G117" s="28">
        <v>0</v>
      </c>
      <c r="H117" s="23">
        <v>0</v>
      </c>
      <c r="I117" s="29">
        <v>0</v>
      </c>
      <c r="J117" s="30">
        <f>'Mise A Jour BDD'!$A$20*170000</f>
        <v>130.9</v>
      </c>
      <c r="K117" s="31" t="s">
        <v>151</v>
      </c>
      <c r="L117" s="32" t="s">
        <v>152</v>
      </c>
      <c r="M117" s="33" t="s">
        <v>153</v>
      </c>
    </row>
    <row r="118" spans="1:13" ht="20.25" customHeight="1" x14ac:dyDescent="0.25">
      <c r="A118" s="22" t="s">
        <v>66</v>
      </c>
      <c r="B118" s="23">
        <f>'Mise A Jour BDD'!$A$12*1011</f>
        <v>896.35260000000005</v>
      </c>
      <c r="C118" s="24">
        <f>'Mise A Jour BDD'!$A$12*1340</f>
        <v>1188.0440000000001</v>
      </c>
      <c r="D118" s="25">
        <f>'Mise A Jour BDD'!$A$12*2090</f>
        <v>1852.9940000000001</v>
      </c>
      <c r="E118" s="26">
        <v>0</v>
      </c>
      <c r="F118" s="27">
        <v>0</v>
      </c>
      <c r="G118" s="28">
        <v>0</v>
      </c>
      <c r="H118" s="23">
        <v>0</v>
      </c>
      <c r="I118" s="29">
        <v>0</v>
      </c>
      <c r="J118" s="30">
        <f>'Mise A Jour BDD'!$A$20*135000</f>
        <v>103.94999999999999</v>
      </c>
      <c r="K118" s="31" t="s">
        <v>151</v>
      </c>
      <c r="L118" s="32" t="s">
        <v>152</v>
      </c>
      <c r="M118" s="33" t="s">
        <v>154</v>
      </c>
    </row>
    <row r="119" spans="1:13" ht="20.25" customHeight="1" x14ac:dyDescent="0.25">
      <c r="A119" s="22" t="s">
        <v>71</v>
      </c>
      <c r="B119" s="23">
        <f>'Mise A Jour BDD'!$A$12*954</f>
        <v>845.81640000000004</v>
      </c>
      <c r="C119" s="24">
        <f>'Mise A Jour BDD'!$A$12*1001</f>
        <v>887.48660000000007</v>
      </c>
      <c r="D119" s="25">
        <f>'Mise A Jour BDD'!$A$12*1001</f>
        <v>887.48660000000007</v>
      </c>
      <c r="E119" s="26">
        <v>0</v>
      </c>
      <c r="F119" s="27">
        <v>0</v>
      </c>
      <c r="G119" s="28">
        <v>0</v>
      </c>
      <c r="H119" s="23">
        <v>0</v>
      </c>
      <c r="I119" s="29">
        <v>0</v>
      </c>
      <c r="J119" s="30">
        <f>'Mise A Jour BDD'!$A$20*135000</f>
        <v>103.94999999999999</v>
      </c>
      <c r="K119" s="31" t="s">
        <v>151</v>
      </c>
      <c r="L119" s="32" t="s">
        <v>152</v>
      </c>
      <c r="M119" s="33" t="s">
        <v>154</v>
      </c>
    </row>
    <row r="120" spans="1:13" ht="20.25" customHeight="1" x14ac:dyDescent="0.25">
      <c r="A120" s="22" t="s">
        <v>70</v>
      </c>
      <c r="B120" s="23">
        <f>'Mise A Jour BDD'!$A$12*1028</f>
        <v>911.4248</v>
      </c>
      <c r="C120" s="34">
        <f>'Mise A Jour BDD'!$A$12*1357</f>
        <v>1203.1162000000002</v>
      </c>
      <c r="D120" s="35">
        <f>'Mise A Jour BDD'!$A$12*1357</f>
        <v>1203.1162000000002</v>
      </c>
      <c r="E120" s="26">
        <v>0</v>
      </c>
      <c r="F120" s="27">
        <v>0</v>
      </c>
      <c r="G120" s="28">
        <v>0</v>
      </c>
      <c r="H120" s="23">
        <v>0</v>
      </c>
      <c r="I120" s="29">
        <v>0</v>
      </c>
      <c r="J120" s="30">
        <f>'Mise A Jour BDD'!$A$20*135000</f>
        <v>103.94999999999999</v>
      </c>
      <c r="K120" s="31" t="s">
        <v>151</v>
      </c>
      <c r="L120" s="32" t="s">
        <v>152</v>
      </c>
      <c r="M120" s="33" t="s">
        <v>154</v>
      </c>
    </row>
    <row r="121" spans="1:13" ht="20.25" customHeight="1" x14ac:dyDescent="0.25">
      <c r="A121" s="22" t="s">
        <v>69</v>
      </c>
      <c r="B121" s="23">
        <f>'Mise A Jour BDD'!$A$12*1016</f>
        <v>900.78560000000004</v>
      </c>
      <c r="C121" s="34">
        <f>'Mise A Jour BDD'!$A$12*1345</f>
        <v>1192.4770000000001</v>
      </c>
      <c r="D121" s="35">
        <f>'Mise A Jour BDD'!$A$12*1345</f>
        <v>1192.4770000000001</v>
      </c>
      <c r="E121" s="26">
        <v>0</v>
      </c>
      <c r="F121" s="27">
        <v>0</v>
      </c>
      <c r="G121" s="28">
        <v>0</v>
      </c>
      <c r="H121" s="23">
        <v>0</v>
      </c>
      <c r="I121" s="29">
        <v>0</v>
      </c>
      <c r="J121" s="30">
        <f>'Mise A Jour BDD'!$A$20*135000</f>
        <v>103.94999999999999</v>
      </c>
      <c r="K121" s="31" t="s">
        <v>151</v>
      </c>
      <c r="L121" s="32" t="s">
        <v>152</v>
      </c>
      <c r="M121" s="33" t="s">
        <v>154</v>
      </c>
    </row>
    <row r="122" spans="1:13" ht="20.25" customHeight="1" x14ac:dyDescent="0.25">
      <c r="A122" s="22" t="s">
        <v>71</v>
      </c>
      <c r="B122" s="23">
        <v>656</v>
      </c>
      <c r="C122" s="24">
        <v>959</v>
      </c>
      <c r="D122" s="25">
        <v>959</v>
      </c>
      <c r="E122" s="26">
        <v>0</v>
      </c>
      <c r="F122" s="27">
        <v>0</v>
      </c>
      <c r="G122" s="28">
        <v>0</v>
      </c>
      <c r="H122" s="23">
        <v>0</v>
      </c>
      <c r="I122" s="29">
        <v>0</v>
      </c>
      <c r="J122" s="30">
        <v>0</v>
      </c>
      <c r="K122" s="31" t="s">
        <v>155</v>
      </c>
      <c r="L122" s="32" t="s">
        <v>156</v>
      </c>
      <c r="M122" s="33" t="s">
        <v>57</v>
      </c>
    </row>
    <row r="123" spans="1:13" ht="20.25" customHeight="1" x14ac:dyDescent="0.25">
      <c r="A123" s="22" t="s">
        <v>56</v>
      </c>
      <c r="B123" s="23">
        <v>716</v>
      </c>
      <c r="C123" s="34">
        <v>988</v>
      </c>
      <c r="D123" s="35">
        <v>988</v>
      </c>
      <c r="E123" s="26">
        <v>0</v>
      </c>
      <c r="F123" s="27">
        <v>0</v>
      </c>
      <c r="G123" s="28">
        <v>0</v>
      </c>
      <c r="H123" s="23">
        <v>0</v>
      </c>
      <c r="I123" s="29">
        <v>0</v>
      </c>
      <c r="J123" s="30">
        <v>0</v>
      </c>
      <c r="K123" s="31" t="s">
        <v>155</v>
      </c>
      <c r="L123" s="32" t="s">
        <v>156</v>
      </c>
      <c r="M123" s="33" t="s">
        <v>57</v>
      </c>
    </row>
    <row r="124" spans="1:13" ht="20.25" customHeight="1" x14ac:dyDescent="0.25">
      <c r="A124" s="22" t="s">
        <v>66</v>
      </c>
      <c r="B124" s="23">
        <v>1131</v>
      </c>
      <c r="C124" s="34">
        <v>1821</v>
      </c>
      <c r="D124" s="35">
        <v>1821</v>
      </c>
      <c r="E124" s="26">
        <v>0</v>
      </c>
      <c r="F124" s="27">
        <v>0</v>
      </c>
      <c r="G124" s="28">
        <v>0</v>
      </c>
      <c r="H124" s="23">
        <v>0</v>
      </c>
      <c r="I124" s="29">
        <v>0</v>
      </c>
      <c r="J124" s="30">
        <v>270</v>
      </c>
      <c r="K124" s="31" t="s">
        <v>157</v>
      </c>
      <c r="L124" s="32" t="s">
        <v>158</v>
      </c>
      <c r="M124" s="33" t="s">
        <v>159</v>
      </c>
    </row>
    <row r="125" spans="1:13" ht="20.25" customHeight="1" x14ac:dyDescent="0.25">
      <c r="A125" s="22" t="s">
        <v>71</v>
      </c>
      <c r="B125" s="23">
        <v>1372</v>
      </c>
      <c r="C125" s="24">
        <v>2065</v>
      </c>
      <c r="D125" s="25">
        <v>2065</v>
      </c>
      <c r="E125" s="26">
        <v>2465</v>
      </c>
      <c r="F125" s="27">
        <v>1672</v>
      </c>
      <c r="G125" s="28">
        <v>1672</v>
      </c>
      <c r="H125" s="23">
        <v>2465</v>
      </c>
      <c r="I125" s="29">
        <v>0</v>
      </c>
      <c r="J125" s="30">
        <v>270</v>
      </c>
      <c r="K125" s="31" t="s">
        <v>157</v>
      </c>
      <c r="L125" s="32" t="s">
        <v>158</v>
      </c>
      <c r="M125" s="33" t="s">
        <v>159</v>
      </c>
    </row>
    <row r="126" spans="1:13" ht="20.25" customHeight="1" x14ac:dyDescent="0.25">
      <c r="A126" s="22" t="s">
        <v>70</v>
      </c>
      <c r="B126" s="23">
        <v>1146</v>
      </c>
      <c r="C126" s="34">
        <v>1836</v>
      </c>
      <c r="D126" s="35">
        <v>1836</v>
      </c>
      <c r="E126" s="26">
        <v>0</v>
      </c>
      <c r="F126" s="27">
        <v>0</v>
      </c>
      <c r="G126" s="28">
        <v>0</v>
      </c>
      <c r="H126" s="23">
        <v>0</v>
      </c>
      <c r="I126" s="29">
        <v>0</v>
      </c>
      <c r="J126" s="30">
        <v>270</v>
      </c>
      <c r="K126" s="31" t="s">
        <v>157</v>
      </c>
      <c r="L126" s="32" t="s">
        <v>158</v>
      </c>
      <c r="M126" s="33" t="s">
        <v>159</v>
      </c>
    </row>
    <row r="127" spans="1:13" ht="20.25" customHeight="1" x14ac:dyDescent="0.25">
      <c r="A127" s="22" t="s">
        <v>69</v>
      </c>
      <c r="B127" s="23">
        <v>1136</v>
      </c>
      <c r="C127" s="34">
        <v>1826</v>
      </c>
      <c r="D127" s="35">
        <v>1826</v>
      </c>
      <c r="E127" s="26">
        <v>0</v>
      </c>
      <c r="F127" s="27">
        <v>0</v>
      </c>
      <c r="G127" s="28">
        <v>0</v>
      </c>
      <c r="H127" s="23">
        <v>0</v>
      </c>
      <c r="I127" s="29">
        <v>0</v>
      </c>
      <c r="J127" s="30">
        <v>270</v>
      </c>
      <c r="K127" s="31" t="s">
        <v>157</v>
      </c>
      <c r="L127" s="32" t="s">
        <v>158</v>
      </c>
      <c r="M127" s="33" t="s">
        <v>159</v>
      </c>
    </row>
    <row r="128" spans="1:13" ht="20.25" customHeight="1" x14ac:dyDescent="0.25">
      <c r="A128" s="22" t="s">
        <v>66</v>
      </c>
      <c r="B128" s="23">
        <v>1256</v>
      </c>
      <c r="C128" s="34">
        <v>1814</v>
      </c>
      <c r="D128" s="35">
        <v>1814</v>
      </c>
      <c r="E128" s="26">
        <v>0</v>
      </c>
      <c r="F128" s="27">
        <v>0</v>
      </c>
      <c r="G128" s="28">
        <v>0</v>
      </c>
      <c r="H128" s="23">
        <v>0</v>
      </c>
      <c r="I128" s="29">
        <v>0</v>
      </c>
      <c r="J128" s="30">
        <v>180</v>
      </c>
      <c r="K128" s="31" t="s">
        <v>105</v>
      </c>
      <c r="L128" s="32" t="s">
        <v>160</v>
      </c>
      <c r="M128" s="33" t="s">
        <v>161</v>
      </c>
    </row>
    <row r="129" spans="1:13" ht="20.25" customHeight="1" x14ac:dyDescent="0.25">
      <c r="A129" s="22" t="s">
        <v>70</v>
      </c>
      <c r="B129" s="23">
        <v>1270</v>
      </c>
      <c r="C129" s="34">
        <v>1828</v>
      </c>
      <c r="D129" s="35">
        <v>1828</v>
      </c>
      <c r="E129" s="26">
        <v>0</v>
      </c>
      <c r="F129" s="27">
        <v>0</v>
      </c>
      <c r="G129" s="28">
        <v>0</v>
      </c>
      <c r="H129" s="23">
        <v>0</v>
      </c>
      <c r="I129" s="29">
        <v>0</v>
      </c>
      <c r="J129" s="30">
        <v>180</v>
      </c>
      <c r="K129" s="31" t="s">
        <v>105</v>
      </c>
      <c r="L129" s="32" t="s">
        <v>160</v>
      </c>
      <c r="M129" s="33" t="s">
        <v>161</v>
      </c>
    </row>
    <row r="130" spans="1:13" ht="20.25" customHeight="1" x14ac:dyDescent="0.25">
      <c r="A130" s="22" t="s">
        <v>69</v>
      </c>
      <c r="B130" s="23">
        <v>1260</v>
      </c>
      <c r="C130" s="34">
        <v>1818</v>
      </c>
      <c r="D130" s="35">
        <v>1818</v>
      </c>
      <c r="E130" s="26">
        <v>0</v>
      </c>
      <c r="F130" s="27">
        <v>0</v>
      </c>
      <c r="G130" s="28">
        <v>0</v>
      </c>
      <c r="H130" s="23">
        <v>0</v>
      </c>
      <c r="I130" s="29">
        <v>0</v>
      </c>
      <c r="J130" s="30">
        <v>180</v>
      </c>
      <c r="K130" s="31" t="s">
        <v>105</v>
      </c>
      <c r="L130" s="32" t="s">
        <v>160</v>
      </c>
      <c r="M130" s="33" t="s">
        <v>161</v>
      </c>
    </row>
    <row r="131" spans="1:13" ht="20.25" customHeight="1" x14ac:dyDescent="0.25">
      <c r="A131" s="22" t="s">
        <v>66</v>
      </c>
      <c r="B131" s="23">
        <v>1256</v>
      </c>
      <c r="C131" s="34">
        <v>1814</v>
      </c>
      <c r="D131" s="35">
        <v>1814</v>
      </c>
      <c r="E131" s="26">
        <v>0</v>
      </c>
      <c r="F131" s="27">
        <v>0</v>
      </c>
      <c r="G131" s="28">
        <v>0</v>
      </c>
      <c r="H131" s="23">
        <v>0</v>
      </c>
      <c r="I131" s="29">
        <v>0</v>
      </c>
      <c r="J131" s="30">
        <v>180</v>
      </c>
      <c r="K131" s="31" t="s">
        <v>105</v>
      </c>
      <c r="L131" s="32" t="s">
        <v>160</v>
      </c>
      <c r="M131" s="33" t="s">
        <v>162</v>
      </c>
    </row>
    <row r="132" spans="1:13" ht="20.25" customHeight="1" x14ac:dyDescent="0.25">
      <c r="A132" s="22" t="s">
        <v>70</v>
      </c>
      <c r="B132" s="23">
        <v>1270</v>
      </c>
      <c r="C132" s="34">
        <v>1828</v>
      </c>
      <c r="D132" s="35">
        <v>1828</v>
      </c>
      <c r="E132" s="26">
        <v>0</v>
      </c>
      <c r="F132" s="27">
        <v>0</v>
      </c>
      <c r="G132" s="28">
        <v>0</v>
      </c>
      <c r="H132" s="23">
        <v>0</v>
      </c>
      <c r="I132" s="29">
        <v>0</v>
      </c>
      <c r="J132" s="30">
        <v>180</v>
      </c>
      <c r="K132" s="31" t="s">
        <v>105</v>
      </c>
      <c r="L132" s="32" t="s">
        <v>160</v>
      </c>
      <c r="M132" s="33" t="s">
        <v>162</v>
      </c>
    </row>
    <row r="133" spans="1:13" ht="20.25" customHeight="1" x14ac:dyDescent="0.25">
      <c r="A133" s="22" t="s">
        <v>69</v>
      </c>
      <c r="B133" s="23">
        <v>1260</v>
      </c>
      <c r="C133" s="34">
        <v>1818</v>
      </c>
      <c r="D133" s="35">
        <v>1818</v>
      </c>
      <c r="E133" s="26">
        <v>0</v>
      </c>
      <c r="F133" s="27">
        <v>0</v>
      </c>
      <c r="G133" s="28">
        <v>0</v>
      </c>
      <c r="H133" s="23">
        <v>0</v>
      </c>
      <c r="I133" s="29">
        <v>0</v>
      </c>
      <c r="J133" s="30">
        <v>180</v>
      </c>
      <c r="K133" s="31" t="s">
        <v>105</v>
      </c>
      <c r="L133" s="32" t="s">
        <v>160</v>
      </c>
      <c r="M133" s="33" t="s">
        <v>162</v>
      </c>
    </row>
    <row r="134" spans="1:13" ht="20.25" customHeight="1" x14ac:dyDescent="0.25">
      <c r="A134" s="22" t="s">
        <v>71</v>
      </c>
      <c r="B134" s="23">
        <v>1202</v>
      </c>
      <c r="C134" s="24">
        <v>1502</v>
      </c>
      <c r="D134" s="25">
        <v>1502</v>
      </c>
      <c r="E134" s="26">
        <v>0</v>
      </c>
      <c r="F134" s="27">
        <v>0</v>
      </c>
      <c r="G134" s="28">
        <v>0</v>
      </c>
      <c r="H134" s="23">
        <v>0</v>
      </c>
      <c r="I134" s="29">
        <v>0</v>
      </c>
      <c r="J134" s="30">
        <v>130</v>
      </c>
      <c r="K134" s="31" t="s">
        <v>108</v>
      </c>
      <c r="L134" s="32" t="s">
        <v>163</v>
      </c>
      <c r="M134" s="33" t="s">
        <v>164</v>
      </c>
    </row>
    <row r="135" spans="1:13" ht="20.25" customHeight="1" x14ac:dyDescent="0.25">
      <c r="A135" s="22" t="s">
        <v>71</v>
      </c>
      <c r="B135" s="23">
        <v>1202</v>
      </c>
      <c r="C135" s="24">
        <v>1502</v>
      </c>
      <c r="D135" s="25">
        <v>1502</v>
      </c>
      <c r="E135" s="26">
        <v>0</v>
      </c>
      <c r="F135" s="27">
        <v>0</v>
      </c>
      <c r="G135" s="28">
        <v>0</v>
      </c>
      <c r="H135" s="23">
        <v>0</v>
      </c>
      <c r="I135" s="29">
        <v>0</v>
      </c>
      <c r="J135" s="30">
        <v>130</v>
      </c>
      <c r="K135" s="31" t="s">
        <v>108</v>
      </c>
      <c r="L135" s="32" t="s">
        <v>163</v>
      </c>
      <c r="M135" s="33" t="s">
        <v>165</v>
      </c>
    </row>
    <row r="136" spans="1:13" ht="20.25" customHeight="1" x14ac:dyDescent="0.25">
      <c r="A136" s="22" t="s">
        <v>71</v>
      </c>
      <c r="B136" s="23">
        <v>1202</v>
      </c>
      <c r="C136" s="24">
        <v>1502</v>
      </c>
      <c r="D136" s="25">
        <v>1502</v>
      </c>
      <c r="E136" s="26">
        <v>0</v>
      </c>
      <c r="F136" s="27">
        <v>0</v>
      </c>
      <c r="G136" s="28">
        <v>0</v>
      </c>
      <c r="H136" s="23">
        <v>0</v>
      </c>
      <c r="I136" s="29">
        <v>0</v>
      </c>
      <c r="J136" s="30">
        <v>130</v>
      </c>
      <c r="K136" s="31" t="s">
        <v>108</v>
      </c>
      <c r="L136" s="32" t="s">
        <v>163</v>
      </c>
      <c r="M136" s="33" t="s">
        <v>166</v>
      </c>
    </row>
    <row r="137" spans="1:13" ht="20.25" customHeight="1" x14ac:dyDescent="0.25">
      <c r="A137" s="22" t="s">
        <v>71</v>
      </c>
      <c r="B137" s="23">
        <v>1359</v>
      </c>
      <c r="C137" s="24">
        <v>2058</v>
      </c>
      <c r="D137" s="25">
        <v>2058</v>
      </c>
      <c r="E137" s="26">
        <v>2458</v>
      </c>
      <c r="F137" s="27">
        <v>1659</v>
      </c>
      <c r="G137" s="28">
        <v>1672</v>
      </c>
      <c r="H137" s="23">
        <v>2458</v>
      </c>
      <c r="I137" s="29">
        <v>0</v>
      </c>
      <c r="J137" s="30">
        <f>'Mise A Jour BDD'!$A$12*145</f>
        <v>128.55700000000002</v>
      </c>
      <c r="K137" s="31" t="s">
        <v>167</v>
      </c>
      <c r="L137" s="32" t="s">
        <v>168</v>
      </c>
      <c r="M137" s="33" t="s">
        <v>169</v>
      </c>
    </row>
    <row r="138" spans="1:13" ht="20.25" customHeight="1" x14ac:dyDescent="0.25">
      <c r="A138" s="22" t="s">
        <v>70</v>
      </c>
      <c r="B138" s="23">
        <v>1244</v>
      </c>
      <c r="C138" s="24">
        <v>1972</v>
      </c>
      <c r="D138" s="25">
        <v>1972</v>
      </c>
      <c r="E138" s="26">
        <v>0</v>
      </c>
      <c r="F138" s="27">
        <v>0</v>
      </c>
      <c r="G138" s="28">
        <v>0</v>
      </c>
      <c r="H138" s="23">
        <v>0</v>
      </c>
      <c r="I138" s="29">
        <v>0</v>
      </c>
      <c r="J138" s="30">
        <f>'Mise A Jour BDD'!$A$12*145</f>
        <v>128.55700000000002</v>
      </c>
      <c r="K138" s="31" t="s">
        <v>167</v>
      </c>
      <c r="L138" s="32" t="s">
        <v>168</v>
      </c>
      <c r="M138" s="33" t="s">
        <v>169</v>
      </c>
    </row>
    <row r="139" spans="1:13" ht="20.25" customHeight="1" x14ac:dyDescent="0.25">
      <c r="A139" s="22" t="s">
        <v>69</v>
      </c>
      <c r="B139" s="23">
        <v>1234</v>
      </c>
      <c r="C139" s="24">
        <v>1962</v>
      </c>
      <c r="D139" s="25">
        <v>1962</v>
      </c>
      <c r="E139" s="26">
        <v>0</v>
      </c>
      <c r="F139" s="27">
        <v>0</v>
      </c>
      <c r="G139" s="28">
        <v>0</v>
      </c>
      <c r="H139" s="23">
        <v>0</v>
      </c>
      <c r="I139" s="29">
        <v>0</v>
      </c>
      <c r="J139" s="30">
        <f>'Mise A Jour BDD'!$A$12*145</f>
        <v>128.55700000000002</v>
      </c>
      <c r="K139" s="31" t="s">
        <v>167</v>
      </c>
      <c r="L139" s="32" t="s">
        <v>168</v>
      </c>
      <c r="M139" s="33" t="s">
        <v>169</v>
      </c>
    </row>
    <row r="140" spans="1:13" ht="20.25" customHeight="1" x14ac:dyDescent="0.25">
      <c r="A140" s="22" t="s">
        <v>71</v>
      </c>
      <c r="B140" s="23">
        <f>'Mise A Jour BDD'!$A$12*1009</f>
        <v>894.57940000000008</v>
      </c>
      <c r="C140" s="24">
        <f>'Mise A Jour BDD'!$A$12*1140</f>
        <v>1010.724</v>
      </c>
      <c r="D140" s="25">
        <f>'Mise A Jour BDD'!$A$12*1140</f>
        <v>1010.724</v>
      </c>
      <c r="E140" s="26">
        <v>0</v>
      </c>
      <c r="F140" s="27">
        <v>0</v>
      </c>
      <c r="G140" s="28">
        <v>0</v>
      </c>
      <c r="H140" s="23">
        <v>0</v>
      </c>
      <c r="I140" s="29">
        <v>0</v>
      </c>
      <c r="J140" s="30">
        <f>'Mise A Jour BDD'!$A$38*6000</f>
        <v>78</v>
      </c>
      <c r="K140" s="31" t="s">
        <v>170</v>
      </c>
      <c r="L140" s="32" t="s">
        <v>171</v>
      </c>
      <c r="M140" s="33" t="s">
        <v>172</v>
      </c>
    </row>
    <row r="141" spans="1:13" ht="20.25" customHeight="1" x14ac:dyDescent="0.25">
      <c r="A141" s="22" t="s">
        <v>71</v>
      </c>
      <c r="B141" s="23">
        <f>'Mise A Jour BDD'!$A$12*1544</f>
        <v>1368.9104</v>
      </c>
      <c r="C141" s="24">
        <f>'Mise A Jour BDD'!$A$12*2209</f>
        <v>1958.4994000000002</v>
      </c>
      <c r="D141" s="25">
        <f>'Mise A Jour BDD'!$A$12*2155</f>
        <v>1910.623</v>
      </c>
      <c r="E141" s="26">
        <v>0</v>
      </c>
      <c r="F141" s="27">
        <v>0</v>
      </c>
      <c r="G141" s="28">
        <v>0</v>
      </c>
      <c r="H141" s="23">
        <v>0</v>
      </c>
      <c r="I141" s="29">
        <v>0</v>
      </c>
      <c r="J141" s="30">
        <f>'Mise A Jour BDD'!$A$38*10000</f>
        <v>130</v>
      </c>
      <c r="K141" s="31" t="s">
        <v>170</v>
      </c>
      <c r="L141" s="32" t="s">
        <v>171</v>
      </c>
      <c r="M141" s="33" t="s">
        <v>173</v>
      </c>
    </row>
    <row r="142" spans="1:13" ht="20.25" customHeight="1" x14ac:dyDescent="0.25">
      <c r="A142" s="22" t="s">
        <v>71</v>
      </c>
      <c r="B142" s="23">
        <f>'Mise A Jour BDD'!$A$12*1566</f>
        <v>1388.4156</v>
      </c>
      <c r="C142" s="24">
        <f>'Mise A Jour BDD'!$A$12*2102</f>
        <v>1863.6332000000002</v>
      </c>
      <c r="D142" s="25">
        <f>'Mise A Jour BDD'!$A$12*2152</f>
        <v>1907.9632000000001</v>
      </c>
      <c r="E142" s="26">
        <v>0</v>
      </c>
      <c r="F142" s="27">
        <v>0</v>
      </c>
      <c r="G142" s="28">
        <v>0</v>
      </c>
      <c r="H142" s="23">
        <v>0</v>
      </c>
      <c r="I142" s="29">
        <v>0</v>
      </c>
      <c r="J142" s="30">
        <v>120</v>
      </c>
      <c r="K142" s="31" t="s">
        <v>170</v>
      </c>
      <c r="L142" s="32" t="s">
        <v>171</v>
      </c>
      <c r="M142" s="33" t="s">
        <v>174</v>
      </c>
    </row>
    <row r="143" spans="1:13" ht="20.25" customHeight="1" x14ac:dyDescent="0.25">
      <c r="A143" s="22" t="s">
        <v>66</v>
      </c>
      <c r="B143" s="23">
        <f>'Mise A Jour BDD'!$A$12*1216</f>
        <v>1078.1056000000001</v>
      </c>
      <c r="C143" s="34">
        <f>'Mise A Jour BDD'!$A$12*1734</f>
        <v>1537.3644000000002</v>
      </c>
      <c r="D143" s="35">
        <f>'Mise A Jour BDD'!$A$12*2484</f>
        <v>2202.3144000000002</v>
      </c>
      <c r="E143" s="26">
        <v>0</v>
      </c>
      <c r="F143" s="27">
        <v>0</v>
      </c>
      <c r="G143" s="28">
        <v>0</v>
      </c>
      <c r="H143" s="23">
        <v>0</v>
      </c>
      <c r="I143" s="29">
        <v>0</v>
      </c>
      <c r="J143" s="30">
        <f>'Mise A Jour BDD'!$A$12*130</f>
        <v>115.25800000000001</v>
      </c>
      <c r="K143" s="31" t="s">
        <v>175</v>
      </c>
      <c r="L143" s="32" t="s">
        <v>176</v>
      </c>
      <c r="M143" s="33" t="s">
        <v>177</v>
      </c>
    </row>
    <row r="144" spans="1:13" ht="20.25" customHeight="1" x14ac:dyDescent="0.25">
      <c r="A144" s="22" t="s">
        <v>71</v>
      </c>
      <c r="B144" s="23">
        <f>'Mise A Jour BDD'!$A$12*828</f>
        <v>734.10480000000007</v>
      </c>
      <c r="C144" s="24">
        <f>'Mise A Jour BDD'!$A$12*978</f>
        <v>867.09480000000008</v>
      </c>
      <c r="D144" s="25">
        <f>'Mise A Jour BDD'!$A$12*978</f>
        <v>867.09480000000008</v>
      </c>
      <c r="E144" s="26">
        <v>0</v>
      </c>
      <c r="F144" s="27">
        <v>0</v>
      </c>
      <c r="G144" s="28">
        <v>0</v>
      </c>
      <c r="H144" s="23">
        <v>0</v>
      </c>
      <c r="I144" s="29">
        <v>0</v>
      </c>
      <c r="J144" s="30">
        <f>'Mise A Jour BDD'!$A$12*130</f>
        <v>115.25800000000001</v>
      </c>
      <c r="K144" s="31" t="s">
        <v>175</v>
      </c>
      <c r="L144" s="32" t="s">
        <v>176</v>
      </c>
      <c r="M144" s="33" t="s">
        <v>177</v>
      </c>
    </row>
    <row r="145" spans="1:13" ht="20.25" customHeight="1" x14ac:dyDescent="0.25">
      <c r="A145" s="22" t="s">
        <v>70</v>
      </c>
      <c r="B145" s="23">
        <f>'Mise A Jour BDD'!$A$12*1234</f>
        <v>1094.0644</v>
      </c>
      <c r="C145" s="34">
        <f>'Mise A Jour BDD'!$A$12*1752</f>
        <v>1553.3232</v>
      </c>
      <c r="D145" s="35">
        <f>'Mise A Jour BDD'!$A$12*1752</f>
        <v>1553.3232</v>
      </c>
      <c r="E145" s="26">
        <v>0</v>
      </c>
      <c r="F145" s="27">
        <v>0</v>
      </c>
      <c r="G145" s="28">
        <v>0</v>
      </c>
      <c r="H145" s="23">
        <v>0</v>
      </c>
      <c r="I145" s="29">
        <v>0</v>
      </c>
      <c r="J145" s="30">
        <f>'Mise A Jour BDD'!$A$12*130</f>
        <v>115.25800000000001</v>
      </c>
      <c r="K145" s="31" t="s">
        <v>175</v>
      </c>
      <c r="L145" s="32" t="s">
        <v>176</v>
      </c>
      <c r="M145" s="33" t="s">
        <v>177</v>
      </c>
    </row>
    <row r="146" spans="1:13" ht="20.25" customHeight="1" x14ac:dyDescent="0.25">
      <c r="A146" s="22" t="s">
        <v>69</v>
      </c>
      <c r="B146" s="23">
        <f>'Mise A Jour BDD'!$A$12*1222</f>
        <v>1083.4252000000001</v>
      </c>
      <c r="C146" s="34">
        <f>'Mise A Jour BDD'!$A$12*1740</f>
        <v>1542.6840000000002</v>
      </c>
      <c r="D146" s="35">
        <f>'Mise A Jour BDD'!$A$12*1740</f>
        <v>1542.6840000000002</v>
      </c>
      <c r="E146" s="26">
        <v>0</v>
      </c>
      <c r="F146" s="27">
        <v>0</v>
      </c>
      <c r="G146" s="28">
        <v>0</v>
      </c>
      <c r="H146" s="23">
        <v>0</v>
      </c>
      <c r="I146" s="29">
        <v>0</v>
      </c>
      <c r="J146" s="30">
        <f>'Mise A Jour BDD'!$A$12*130</f>
        <v>115.25800000000001</v>
      </c>
      <c r="K146" s="31" t="s">
        <v>175</v>
      </c>
      <c r="L146" s="32" t="s">
        <v>176</v>
      </c>
      <c r="M146" s="33" t="s">
        <v>177</v>
      </c>
    </row>
    <row r="147" spans="1:13" ht="20.25" customHeight="1" x14ac:dyDescent="0.25">
      <c r="A147" s="22" t="s">
        <v>66</v>
      </c>
      <c r="B147" s="23">
        <f>'Mise A Jour BDD'!$A$12*1616</f>
        <v>1432.7456000000002</v>
      </c>
      <c r="C147" s="34">
        <f>'Mise A Jour BDD'!$A$12*2759</f>
        <v>2446.1294000000003</v>
      </c>
      <c r="D147" s="35">
        <f>'Mise A Jour BDD'!$A$12*3184</f>
        <v>2822.9344000000001</v>
      </c>
      <c r="E147" s="26">
        <v>0</v>
      </c>
      <c r="F147" s="27">
        <v>0</v>
      </c>
      <c r="G147" s="28">
        <v>0</v>
      </c>
      <c r="H147" s="23">
        <v>0</v>
      </c>
      <c r="I147" s="29">
        <v>0</v>
      </c>
      <c r="J147" s="30">
        <f>'Mise A Jour BDD'!$A$12*130</f>
        <v>115.25800000000001</v>
      </c>
      <c r="K147" s="31" t="s">
        <v>175</v>
      </c>
      <c r="L147" s="32" t="s">
        <v>176</v>
      </c>
      <c r="M147" s="33" t="s">
        <v>178</v>
      </c>
    </row>
    <row r="148" spans="1:13" ht="20.25" customHeight="1" x14ac:dyDescent="0.25">
      <c r="A148" s="22" t="s">
        <v>70</v>
      </c>
      <c r="B148" s="23">
        <f>'Mise A Jour BDD'!$A$12*1634</f>
        <v>1448.7044000000001</v>
      </c>
      <c r="C148" s="34">
        <f>'Mise A Jour BDD'!$A$12*2777</f>
        <v>2462.0882000000001</v>
      </c>
      <c r="D148" s="35">
        <f>'Mise A Jour BDD'!$A$12*2452</f>
        <v>2173.9432000000002</v>
      </c>
      <c r="E148" s="26">
        <v>0</v>
      </c>
      <c r="F148" s="27">
        <v>0</v>
      </c>
      <c r="G148" s="28">
        <v>0</v>
      </c>
      <c r="H148" s="23">
        <v>0</v>
      </c>
      <c r="I148" s="29">
        <v>0</v>
      </c>
      <c r="J148" s="30">
        <f>'Mise A Jour BDD'!$A$12*130</f>
        <v>115.25800000000001</v>
      </c>
      <c r="K148" s="31" t="s">
        <v>175</v>
      </c>
      <c r="L148" s="32" t="s">
        <v>176</v>
      </c>
      <c r="M148" s="33" t="s">
        <v>178</v>
      </c>
    </row>
    <row r="149" spans="1:13" ht="20.25" customHeight="1" x14ac:dyDescent="0.25">
      <c r="A149" s="22" t="s">
        <v>69</v>
      </c>
      <c r="B149" s="23">
        <f>'Mise A Jour BDD'!$A$12*1622</f>
        <v>1438.0652</v>
      </c>
      <c r="C149" s="34">
        <f>'Mise A Jour BDD'!$A$12*2765</f>
        <v>2451.4490000000001</v>
      </c>
      <c r="D149" s="35">
        <f>'Mise A Jour BDD'!$A$12*2440</f>
        <v>2163.3040000000001</v>
      </c>
      <c r="E149" s="26">
        <v>0</v>
      </c>
      <c r="F149" s="27">
        <v>0</v>
      </c>
      <c r="G149" s="28">
        <v>0</v>
      </c>
      <c r="H149" s="23">
        <v>0</v>
      </c>
      <c r="I149" s="29">
        <v>0</v>
      </c>
      <c r="J149" s="30">
        <f>'Mise A Jour BDD'!$A$12*130</f>
        <v>115.25800000000001</v>
      </c>
      <c r="K149" s="31" t="s">
        <v>175</v>
      </c>
      <c r="L149" s="32" t="s">
        <v>176</v>
      </c>
      <c r="M149" s="33" t="s">
        <v>178</v>
      </c>
    </row>
    <row r="150" spans="1:13" ht="20.25" customHeight="1" x14ac:dyDescent="0.25">
      <c r="A150" s="22" t="s">
        <v>66</v>
      </c>
      <c r="B150" s="23">
        <f>'Mise A Jour BDD'!$A$12*991</f>
        <v>878.62060000000008</v>
      </c>
      <c r="C150" s="34">
        <f>'Mise A Jour BDD'!$A$12*1659</f>
        <v>1470.8694</v>
      </c>
      <c r="D150" s="35">
        <f>'Mise A Jour BDD'!$A$12*2409</f>
        <v>2135.8194000000003</v>
      </c>
      <c r="E150" s="26">
        <v>0</v>
      </c>
      <c r="F150" s="27">
        <v>0</v>
      </c>
      <c r="G150" s="28">
        <v>0</v>
      </c>
      <c r="H150" s="23">
        <v>0</v>
      </c>
      <c r="I150" s="29">
        <v>0</v>
      </c>
      <c r="J150" s="30">
        <f>'Mise A Jour BDD'!$A$12*130</f>
        <v>115.25800000000001</v>
      </c>
      <c r="K150" s="31" t="s">
        <v>175</v>
      </c>
      <c r="L150" s="32" t="s">
        <v>176</v>
      </c>
      <c r="M150" s="33" t="s">
        <v>179</v>
      </c>
    </row>
    <row r="151" spans="1:13" ht="20.25" customHeight="1" x14ac:dyDescent="0.25">
      <c r="A151" s="22" t="s">
        <v>71</v>
      </c>
      <c r="B151" s="23">
        <f>'Mise A Jour BDD'!$A$12*828</f>
        <v>734.10480000000007</v>
      </c>
      <c r="C151" s="24">
        <f>'Mise A Jour BDD'!$A$12*978</f>
        <v>867.09480000000008</v>
      </c>
      <c r="D151" s="25">
        <f>'Mise A Jour BDD'!$A$12*978</f>
        <v>867.09480000000008</v>
      </c>
      <c r="E151" s="26">
        <v>0</v>
      </c>
      <c r="F151" s="27">
        <v>0</v>
      </c>
      <c r="G151" s="28">
        <v>0</v>
      </c>
      <c r="H151" s="23">
        <v>0</v>
      </c>
      <c r="I151" s="29">
        <v>0</v>
      </c>
      <c r="J151" s="30">
        <f>'Mise A Jour BDD'!$A$12*130</f>
        <v>115.25800000000001</v>
      </c>
      <c r="K151" s="31" t="s">
        <v>175</v>
      </c>
      <c r="L151" s="32" t="s">
        <v>176</v>
      </c>
      <c r="M151" s="33" t="s">
        <v>179</v>
      </c>
    </row>
    <row r="152" spans="1:13" ht="20.25" customHeight="1" x14ac:dyDescent="0.25">
      <c r="A152" s="22" t="s">
        <v>70</v>
      </c>
      <c r="B152" s="23">
        <f>'Mise A Jour BDD'!$A$12*1009</f>
        <v>894.57940000000008</v>
      </c>
      <c r="C152" s="34">
        <f>'Mise A Jour BDD'!$A$12*1677</f>
        <v>1486.8282000000002</v>
      </c>
      <c r="D152" s="35">
        <f>'Mise A Jour BDD'!$A$12*1677</f>
        <v>1486.8282000000002</v>
      </c>
      <c r="E152" s="26">
        <v>0</v>
      </c>
      <c r="F152" s="27">
        <v>0</v>
      </c>
      <c r="G152" s="28">
        <v>0</v>
      </c>
      <c r="H152" s="23">
        <v>0</v>
      </c>
      <c r="I152" s="29">
        <v>0</v>
      </c>
      <c r="J152" s="30">
        <f>'Mise A Jour BDD'!$A$12*130</f>
        <v>115.25800000000001</v>
      </c>
      <c r="K152" s="31" t="s">
        <v>175</v>
      </c>
      <c r="L152" s="32" t="s">
        <v>176</v>
      </c>
      <c r="M152" s="33" t="s">
        <v>179</v>
      </c>
    </row>
    <row r="153" spans="1:13" ht="20.25" customHeight="1" x14ac:dyDescent="0.25">
      <c r="A153" s="22" t="s">
        <v>69</v>
      </c>
      <c r="B153" s="23">
        <f>'Mise A Jour BDD'!$A$12*997</f>
        <v>883.9402</v>
      </c>
      <c r="C153" s="34">
        <f>'Mise A Jour BDD'!$A$12*1665</f>
        <v>1476.1890000000001</v>
      </c>
      <c r="D153" s="35">
        <f>'Mise A Jour BDD'!$A$12*1665</f>
        <v>1476.1890000000001</v>
      </c>
      <c r="E153" s="26">
        <v>0</v>
      </c>
      <c r="F153" s="27">
        <v>0</v>
      </c>
      <c r="G153" s="28">
        <v>0</v>
      </c>
      <c r="H153" s="23">
        <v>0</v>
      </c>
      <c r="I153" s="29">
        <v>0</v>
      </c>
      <c r="J153" s="30">
        <f>'Mise A Jour BDD'!$A$12*130</f>
        <v>115.25800000000001</v>
      </c>
      <c r="K153" s="31" t="s">
        <v>175</v>
      </c>
      <c r="L153" s="32" t="s">
        <v>176</v>
      </c>
      <c r="M153" s="33" t="s">
        <v>179</v>
      </c>
    </row>
    <row r="154" spans="1:13" ht="20.25" customHeight="1" x14ac:dyDescent="0.25">
      <c r="A154" s="22" t="s">
        <v>66</v>
      </c>
      <c r="B154" s="23">
        <v>1255</v>
      </c>
      <c r="C154" s="24">
        <v>2234</v>
      </c>
      <c r="D154" s="25">
        <v>2234</v>
      </c>
      <c r="E154" s="26">
        <v>0</v>
      </c>
      <c r="F154" s="27">
        <v>0</v>
      </c>
      <c r="G154" s="28">
        <v>0</v>
      </c>
      <c r="H154" s="23">
        <v>0</v>
      </c>
      <c r="I154" s="29">
        <v>0</v>
      </c>
      <c r="J154" s="30">
        <f>'Mise A Jour BDD'!$A$12*240</f>
        <v>212.78400000000002</v>
      </c>
      <c r="K154" s="31" t="s">
        <v>180</v>
      </c>
      <c r="L154" s="32" t="s">
        <v>181</v>
      </c>
      <c r="M154" s="33" t="s">
        <v>182</v>
      </c>
    </row>
    <row r="155" spans="1:13" ht="20.25" customHeight="1" x14ac:dyDescent="0.25">
      <c r="A155" s="22" t="s">
        <v>71</v>
      </c>
      <c r="B155" s="23">
        <v>2001</v>
      </c>
      <c r="C155" s="24">
        <v>2918</v>
      </c>
      <c r="D155" s="25">
        <v>2918</v>
      </c>
      <c r="E155" s="26">
        <v>0</v>
      </c>
      <c r="F155" s="27">
        <v>0</v>
      </c>
      <c r="G155" s="28">
        <v>0</v>
      </c>
      <c r="H155" s="23">
        <v>0</v>
      </c>
      <c r="I155" s="29">
        <v>0</v>
      </c>
      <c r="J155" s="30">
        <f>'Mise A Jour BDD'!$A$12*300</f>
        <v>265.98</v>
      </c>
      <c r="K155" s="31" t="s">
        <v>180</v>
      </c>
      <c r="L155" s="32" t="s">
        <v>181</v>
      </c>
      <c r="M155" s="33" t="s">
        <v>182</v>
      </c>
    </row>
    <row r="156" spans="1:13" ht="20.25" customHeight="1" x14ac:dyDescent="0.25">
      <c r="A156" s="22" t="s">
        <v>70</v>
      </c>
      <c r="B156" s="23">
        <v>1255</v>
      </c>
      <c r="C156" s="24">
        <v>2234</v>
      </c>
      <c r="D156" s="25">
        <v>2234</v>
      </c>
      <c r="E156" s="26">
        <v>0</v>
      </c>
      <c r="F156" s="27">
        <v>0</v>
      </c>
      <c r="G156" s="28">
        <v>0</v>
      </c>
      <c r="H156" s="23">
        <v>0</v>
      </c>
      <c r="I156" s="29">
        <v>0</v>
      </c>
      <c r="J156" s="30">
        <f>'Mise A Jour BDD'!$A$12*300</f>
        <v>265.98</v>
      </c>
      <c r="K156" s="31" t="s">
        <v>180</v>
      </c>
      <c r="L156" s="32" t="s">
        <v>181</v>
      </c>
      <c r="M156" s="33" t="s">
        <v>182</v>
      </c>
    </row>
    <row r="157" spans="1:13" ht="20.25" customHeight="1" x14ac:dyDescent="0.25">
      <c r="A157" s="22" t="s">
        <v>69</v>
      </c>
      <c r="B157" s="23">
        <v>1255</v>
      </c>
      <c r="C157" s="24">
        <v>2234</v>
      </c>
      <c r="D157" s="25">
        <v>2234</v>
      </c>
      <c r="E157" s="26">
        <v>0</v>
      </c>
      <c r="F157" s="27">
        <v>0</v>
      </c>
      <c r="G157" s="28">
        <v>0</v>
      </c>
      <c r="H157" s="23">
        <v>0</v>
      </c>
      <c r="I157" s="29">
        <v>0</v>
      </c>
      <c r="J157" s="30">
        <f>'Mise A Jour BDD'!$A$12*300</f>
        <v>265.98</v>
      </c>
      <c r="K157" s="31" t="s">
        <v>180</v>
      </c>
      <c r="L157" s="32" t="s">
        <v>181</v>
      </c>
      <c r="M157" s="33" t="s">
        <v>182</v>
      </c>
    </row>
    <row r="158" spans="1:13" ht="20.25" customHeight="1" x14ac:dyDescent="0.25">
      <c r="A158" s="22" t="s">
        <v>66</v>
      </c>
      <c r="B158" s="23">
        <f>'Mise A Jour BDD'!$A$12*1233</f>
        <v>1093.1778000000002</v>
      </c>
      <c r="C158" s="34">
        <f>'Mise A Jour BDD'!$A$12*1644</f>
        <v>1457.5704000000001</v>
      </c>
      <c r="D158" s="35">
        <f>'Mise A Jour BDD'!$A$12*2394</f>
        <v>2122.5204000000003</v>
      </c>
      <c r="E158" s="26">
        <v>0</v>
      </c>
      <c r="F158" s="27">
        <v>0</v>
      </c>
      <c r="G158" s="28">
        <v>0</v>
      </c>
      <c r="H158" s="23">
        <v>0</v>
      </c>
      <c r="I158" s="29">
        <f>30*'Mise A Jour BDD'!$A$12</f>
        <v>26.598000000000003</v>
      </c>
      <c r="J158" s="30">
        <f>'Mise A Jour BDD'!$A$22*40000</f>
        <v>320</v>
      </c>
      <c r="K158" s="31" t="s">
        <v>183</v>
      </c>
      <c r="L158" s="32" t="s">
        <v>184</v>
      </c>
      <c r="M158" s="33" t="s">
        <v>185</v>
      </c>
    </row>
    <row r="159" spans="1:13" ht="20.25" customHeight="1" x14ac:dyDescent="0.25">
      <c r="A159" s="22" t="s">
        <v>71</v>
      </c>
      <c r="B159" s="23">
        <f>'Mise A Jour BDD'!$A$12*923</f>
        <v>818.33180000000004</v>
      </c>
      <c r="C159" s="24">
        <f>'Mise A Jour BDD'!$A$12*1143</f>
        <v>1013.3838000000001</v>
      </c>
      <c r="D159" s="25">
        <f>'Mise A Jour BDD'!$A$12*1143</f>
        <v>1013.3838000000001</v>
      </c>
      <c r="E159" s="26">
        <v>0</v>
      </c>
      <c r="F159" s="27">
        <v>0</v>
      </c>
      <c r="G159" s="28">
        <v>0</v>
      </c>
      <c r="H159" s="23">
        <v>0</v>
      </c>
      <c r="I159" s="29">
        <v>26.4</v>
      </c>
      <c r="J159" s="30">
        <f>'Mise A Jour BDD'!$A$22*40000</f>
        <v>320</v>
      </c>
      <c r="K159" s="31" t="s">
        <v>183</v>
      </c>
      <c r="L159" s="32" t="s">
        <v>184</v>
      </c>
      <c r="M159" s="33" t="s">
        <v>185</v>
      </c>
    </row>
    <row r="160" spans="1:13" ht="20.25" customHeight="1" x14ac:dyDescent="0.25">
      <c r="A160" s="22" t="s">
        <v>70</v>
      </c>
      <c r="B160" s="23">
        <f>'Mise A Jour BDD'!$A$12*1250</f>
        <v>1108.25</v>
      </c>
      <c r="C160" s="34">
        <f>'Mise A Jour BDD'!$A$12*1661</f>
        <v>1472.6426000000001</v>
      </c>
      <c r="D160" s="35">
        <f>'Mise A Jour BDD'!$A$12*1661</f>
        <v>1472.6426000000001</v>
      </c>
      <c r="E160" s="26">
        <v>0</v>
      </c>
      <c r="F160" s="27">
        <v>0</v>
      </c>
      <c r="G160" s="28">
        <v>0</v>
      </c>
      <c r="H160" s="23">
        <v>0</v>
      </c>
      <c r="I160" s="29">
        <f>30*'Mise A Jour BDD'!$A$12</f>
        <v>26.598000000000003</v>
      </c>
      <c r="J160" s="30">
        <f>'Mise A Jour BDD'!$A$22*40000</f>
        <v>320</v>
      </c>
      <c r="K160" s="31" t="s">
        <v>183</v>
      </c>
      <c r="L160" s="32" t="s">
        <v>184</v>
      </c>
      <c r="M160" s="33" t="s">
        <v>185</v>
      </c>
    </row>
    <row r="161" spans="1:13" ht="20.25" customHeight="1" x14ac:dyDescent="0.25">
      <c r="A161" s="22" t="s">
        <v>69</v>
      </c>
      <c r="B161" s="23">
        <f>'Mise A Jour BDD'!$A$12*1239</f>
        <v>1098.4974</v>
      </c>
      <c r="C161" s="34">
        <f>'Mise A Jour BDD'!$A$12*1650</f>
        <v>1462.89</v>
      </c>
      <c r="D161" s="35">
        <f>'Mise A Jour BDD'!$A$12*1650</f>
        <v>1462.89</v>
      </c>
      <c r="E161" s="26">
        <v>0</v>
      </c>
      <c r="F161" s="27">
        <v>0</v>
      </c>
      <c r="G161" s="28">
        <v>0</v>
      </c>
      <c r="H161" s="23">
        <v>0</v>
      </c>
      <c r="I161" s="29">
        <f>30*'Mise A Jour BDD'!$A$12</f>
        <v>26.598000000000003</v>
      </c>
      <c r="J161" s="30">
        <f>'Mise A Jour BDD'!$A$22*40000</f>
        <v>320</v>
      </c>
      <c r="K161" s="31" t="s">
        <v>183</v>
      </c>
      <c r="L161" s="32" t="s">
        <v>184</v>
      </c>
      <c r="M161" s="33" t="s">
        <v>185</v>
      </c>
    </row>
    <row r="162" spans="1:13" ht="20.25" customHeight="1" x14ac:dyDescent="0.25">
      <c r="A162" s="22" t="s">
        <v>66</v>
      </c>
      <c r="B162" s="23">
        <f>'Mise A Jour BDD'!$A$12*1333</f>
        <v>1181.8378</v>
      </c>
      <c r="C162" s="34">
        <f>'Mise A Jour BDD'!$A$12*1744</f>
        <v>1546.2304000000001</v>
      </c>
      <c r="D162" s="35">
        <f>'Mise A Jour BDD'!$A$12*2494</f>
        <v>2211.1804000000002</v>
      </c>
      <c r="E162" s="26">
        <v>0</v>
      </c>
      <c r="F162" s="27">
        <v>0</v>
      </c>
      <c r="G162" s="28">
        <v>0</v>
      </c>
      <c r="H162" s="23">
        <v>0</v>
      </c>
      <c r="I162" s="29">
        <f>30*'Mise A Jour BDD'!$A$12</f>
        <v>26.598000000000003</v>
      </c>
      <c r="J162" s="30">
        <f>'Mise A Jour BDD'!$A$22*40000</f>
        <v>320</v>
      </c>
      <c r="K162" s="31" t="s">
        <v>183</v>
      </c>
      <c r="L162" s="32" t="s">
        <v>184</v>
      </c>
      <c r="M162" s="33" t="s">
        <v>186</v>
      </c>
    </row>
    <row r="163" spans="1:13" ht="20.25" customHeight="1" x14ac:dyDescent="0.25">
      <c r="A163" s="22" t="s">
        <v>70</v>
      </c>
      <c r="B163" s="23">
        <f>'Mise A Jour BDD'!$A$12*1350</f>
        <v>1196.9100000000001</v>
      </c>
      <c r="C163" s="34">
        <f>'Mise A Jour BDD'!$A$12*1761</f>
        <v>1561.3026</v>
      </c>
      <c r="D163" s="35">
        <f>'Mise A Jour BDD'!$A$12*1761</f>
        <v>1561.3026</v>
      </c>
      <c r="E163" s="26">
        <v>0</v>
      </c>
      <c r="F163" s="27">
        <v>0</v>
      </c>
      <c r="G163" s="28">
        <v>0</v>
      </c>
      <c r="H163" s="23">
        <v>0</v>
      </c>
      <c r="I163" s="29">
        <f>30*'Mise A Jour BDD'!$A$12</f>
        <v>26.598000000000003</v>
      </c>
      <c r="J163" s="30">
        <f>'Mise A Jour BDD'!$A$22*40000</f>
        <v>320</v>
      </c>
      <c r="K163" s="31" t="s">
        <v>183</v>
      </c>
      <c r="L163" s="32" t="s">
        <v>184</v>
      </c>
      <c r="M163" s="33" t="s">
        <v>186</v>
      </c>
    </row>
    <row r="164" spans="1:13" ht="20.25" customHeight="1" x14ac:dyDescent="0.25">
      <c r="A164" s="22" t="s">
        <v>69</v>
      </c>
      <c r="B164" s="23">
        <f>'Mise A Jour BDD'!$A$12*1339</f>
        <v>1187.1574000000001</v>
      </c>
      <c r="C164" s="34">
        <f>'Mise A Jour BDD'!$A$12*1750</f>
        <v>1551.5500000000002</v>
      </c>
      <c r="D164" s="35">
        <f>'Mise A Jour BDD'!$A$12*1750</f>
        <v>1551.5500000000002</v>
      </c>
      <c r="E164" s="26">
        <v>0</v>
      </c>
      <c r="F164" s="27">
        <v>0</v>
      </c>
      <c r="G164" s="28">
        <v>0</v>
      </c>
      <c r="H164" s="23">
        <v>0</v>
      </c>
      <c r="I164" s="29">
        <f>30*'Mise A Jour BDD'!$A$12</f>
        <v>26.598000000000003</v>
      </c>
      <c r="J164" s="30">
        <f>'Mise A Jour BDD'!$A$22*40000</f>
        <v>320</v>
      </c>
      <c r="K164" s="31" t="s">
        <v>183</v>
      </c>
      <c r="L164" s="32" t="s">
        <v>184</v>
      </c>
      <c r="M164" s="33" t="s">
        <v>186</v>
      </c>
    </row>
    <row r="165" spans="1:13" ht="20.25" customHeight="1" x14ac:dyDescent="0.25">
      <c r="A165" s="22" t="s">
        <v>66</v>
      </c>
      <c r="B165" s="23">
        <f>'Mise A Jour BDD'!$A$12*1233</f>
        <v>1093.1778000000002</v>
      </c>
      <c r="C165" s="34">
        <f>'Mise A Jour BDD'!$A$12*1919</f>
        <v>1701.3854000000001</v>
      </c>
      <c r="D165" s="35">
        <f>'Mise A Jour BDD'!$A$12*2669</f>
        <v>2366.3353999999999</v>
      </c>
      <c r="E165" s="26">
        <v>0</v>
      </c>
      <c r="F165" s="27">
        <v>0</v>
      </c>
      <c r="G165" s="28">
        <v>0</v>
      </c>
      <c r="H165" s="23">
        <v>0</v>
      </c>
      <c r="I165" s="29">
        <f>30*'Mise A Jour BDD'!$A$12</f>
        <v>26.598000000000003</v>
      </c>
      <c r="J165" s="30">
        <f>'Mise A Jour BDD'!$A$22*40000</f>
        <v>320</v>
      </c>
      <c r="K165" s="31" t="s">
        <v>183</v>
      </c>
      <c r="L165" s="32" t="s">
        <v>184</v>
      </c>
      <c r="M165" s="33" t="s">
        <v>187</v>
      </c>
    </row>
    <row r="166" spans="1:13" ht="20.25" customHeight="1" x14ac:dyDescent="0.25">
      <c r="A166" s="22" t="s">
        <v>71</v>
      </c>
      <c r="B166" s="23">
        <f>'Mise A Jour BDD'!$A$12*923</f>
        <v>818.33180000000004</v>
      </c>
      <c r="C166" s="24">
        <f>'Mise A Jour BDD'!$A$12*1143</f>
        <v>1013.3838000000001</v>
      </c>
      <c r="D166" s="25">
        <f>'Mise A Jour BDD'!$A$12*1143</f>
        <v>1013.3838000000001</v>
      </c>
      <c r="E166" s="26">
        <v>0</v>
      </c>
      <c r="F166" s="27">
        <v>0</v>
      </c>
      <c r="G166" s="28">
        <v>0</v>
      </c>
      <c r="H166" s="23">
        <v>0</v>
      </c>
      <c r="I166" s="29">
        <v>26.4</v>
      </c>
      <c r="J166" s="30">
        <f>'Mise A Jour BDD'!$A$22*40000</f>
        <v>320</v>
      </c>
      <c r="K166" s="31" t="s">
        <v>183</v>
      </c>
      <c r="L166" s="32" t="s">
        <v>184</v>
      </c>
      <c r="M166" s="33" t="s">
        <v>187</v>
      </c>
    </row>
    <row r="167" spans="1:13" ht="20.25" customHeight="1" x14ac:dyDescent="0.25">
      <c r="A167" s="22" t="s">
        <v>70</v>
      </c>
      <c r="B167" s="23">
        <f>'Mise A Jour BDD'!$A$12*1250</f>
        <v>1108.25</v>
      </c>
      <c r="C167" s="34">
        <f>'Mise A Jour BDD'!$A$12*1936</f>
        <v>1716.4576000000002</v>
      </c>
      <c r="D167" s="35">
        <f>'Mise A Jour BDD'!$A$12*1936</f>
        <v>1716.4576000000002</v>
      </c>
      <c r="E167" s="26">
        <v>0</v>
      </c>
      <c r="F167" s="27">
        <v>0</v>
      </c>
      <c r="G167" s="28">
        <v>0</v>
      </c>
      <c r="H167" s="23">
        <v>0</v>
      </c>
      <c r="I167" s="29">
        <f>30*'Mise A Jour BDD'!$A$12</f>
        <v>26.598000000000003</v>
      </c>
      <c r="J167" s="30">
        <f>'Mise A Jour BDD'!$A$22*40000</f>
        <v>320</v>
      </c>
      <c r="K167" s="31" t="s">
        <v>183</v>
      </c>
      <c r="L167" s="32" t="s">
        <v>184</v>
      </c>
      <c r="M167" s="33" t="s">
        <v>187</v>
      </c>
    </row>
    <row r="168" spans="1:13" ht="20.25" customHeight="1" x14ac:dyDescent="0.25">
      <c r="A168" s="22" t="s">
        <v>69</v>
      </c>
      <c r="B168" s="23">
        <f>'Mise A Jour BDD'!$A$12*1239</f>
        <v>1098.4974</v>
      </c>
      <c r="C168" s="34">
        <f>'Mise A Jour BDD'!$A$12*1925</f>
        <v>1706.7050000000002</v>
      </c>
      <c r="D168" s="35">
        <f>'Mise A Jour BDD'!$A$12*1925</f>
        <v>1706.7050000000002</v>
      </c>
      <c r="E168" s="26">
        <v>0</v>
      </c>
      <c r="F168" s="27">
        <v>0</v>
      </c>
      <c r="G168" s="28">
        <v>0</v>
      </c>
      <c r="H168" s="23">
        <v>0</v>
      </c>
      <c r="I168" s="29">
        <f>30*'Mise A Jour BDD'!$A$12</f>
        <v>26.598000000000003</v>
      </c>
      <c r="J168" s="30">
        <f>'Mise A Jour BDD'!$A$22*40000</f>
        <v>320</v>
      </c>
      <c r="K168" s="31" t="s">
        <v>183</v>
      </c>
      <c r="L168" s="32" t="s">
        <v>184</v>
      </c>
      <c r="M168" s="33" t="s">
        <v>187</v>
      </c>
    </row>
    <row r="169" spans="1:13" ht="20.25" customHeight="1" x14ac:dyDescent="0.25">
      <c r="A169" s="22" t="s">
        <v>66</v>
      </c>
      <c r="B169" s="23">
        <f>'Mise A Jour BDD'!$A$12*1208</f>
        <v>1071.0128</v>
      </c>
      <c r="C169" s="34">
        <f>'Mise A Jour BDD'!$A$12*1694</f>
        <v>1501.9004</v>
      </c>
      <c r="D169" s="35">
        <f>'Mise A Jour BDD'!$A$12*2444</f>
        <v>2166.8504000000003</v>
      </c>
      <c r="E169" s="26">
        <v>0</v>
      </c>
      <c r="F169" s="27">
        <v>0</v>
      </c>
      <c r="G169" s="28">
        <v>0</v>
      </c>
      <c r="H169" s="23">
        <v>0</v>
      </c>
      <c r="I169" s="29">
        <f>30*'Mise A Jour BDD'!$A$12</f>
        <v>26.598000000000003</v>
      </c>
      <c r="J169" s="30">
        <f>'Mise A Jour BDD'!$A$22*40000</f>
        <v>320</v>
      </c>
      <c r="K169" s="31" t="s">
        <v>183</v>
      </c>
      <c r="L169" s="32" t="s">
        <v>184</v>
      </c>
      <c r="M169" s="33" t="s">
        <v>188</v>
      </c>
    </row>
    <row r="170" spans="1:13" ht="20.25" customHeight="1" x14ac:dyDescent="0.25">
      <c r="A170" s="22" t="s">
        <v>71</v>
      </c>
      <c r="B170" s="23">
        <f>'Mise A Jour BDD'!$A$12*923</f>
        <v>818.33180000000004</v>
      </c>
      <c r="C170" s="24">
        <f>'Mise A Jour BDD'!$A$12*1143</f>
        <v>1013.3838000000001</v>
      </c>
      <c r="D170" s="25">
        <f>'Mise A Jour BDD'!$A$12*1143</f>
        <v>1013.3838000000001</v>
      </c>
      <c r="E170" s="26">
        <v>0</v>
      </c>
      <c r="F170" s="27">
        <v>0</v>
      </c>
      <c r="G170" s="28">
        <v>0</v>
      </c>
      <c r="H170" s="23">
        <v>0</v>
      </c>
      <c r="I170" s="29">
        <v>26.4</v>
      </c>
      <c r="J170" s="30">
        <f>'Mise A Jour BDD'!$A$22*40000</f>
        <v>320</v>
      </c>
      <c r="K170" s="31" t="s">
        <v>183</v>
      </c>
      <c r="L170" s="32" t="s">
        <v>184</v>
      </c>
      <c r="M170" s="33" t="s">
        <v>188</v>
      </c>
    </row>
    <row r="171" spans="1:13" ht="20.25" customHeight="1" x14ac:dyDescent="0.25">
      <c r="A171" s="22" t="s">
        <v>70</v>
      </c>
      <c r="B171" s="23">
        <f>'Mise A Jour BDD'!$A$12*1225</f>
        <v>1086.085</v>
      </c>
      <c r="C171" s="34">
        <f>'Mise A Jour BDD'!$A$12*1711</f>
        <v>1516.9726000000001</v>
      </c>
      <c r="D171" s="35">
        <f>'Mise A Jour BDD'!$A$12*1711</f>
        <v>1516.9726000000001</v>
      </c>
      <c r="E171" s="26">
        <v>0</v>
      </c>
      <c r="F171" s="27">
        <v>0</v>
      </c>
      <c r="G171" s="28">
        <v>0</v>
      </c>
      <c r="H171" s="23">
        <v>0</v>
      </c>
      <c r="I171" s="29">
        <f>30*'Mise A Jour BDD'!$A$12</f>
        <v>26.598000000000003</v>
      </c>
      <c r="J171" s="30">
        <f>'Mise A Jour BDD'!$A$22*40000</f>
        <v>320</v>
      </c>
      <c r="K171" s="31" t="s">
        <v>183</v>
      </c>
      <c r="L171" s="32" t="s">
        <v>184</v>
      </c>
      <c r="M171" s="33" t="s">
        <v>188</v>
      </c>
    </row>
    <row r="172" spans="1:13" ht="20.25" customHeight="1" x14ac:dyDescent="0.25">
      <c r="A172" s="22" t="s">
        <v>69</v>
      </c>
      <c r="B172" s="23">
        <f>'Mise A Jour BDD'!$A$12*1214</f>
        <v>1076.3324</v>
      </c>
      <c r="C172" s="34">
        <f>'Mise A Jour BDD'!$A$12*1700</f>
        <v>1507.22</v>
      </c>
      <c r="D172" s="35">
        <f>'Mise A Jour BDD'!$A$12*1700</f>
        <v>1507.22</v>
      </c>
      <c r="E172" s="26">
        <v>0</v>
      </c>
      <c r="F172" s="27">
        <v>0</v>
      </c>
      <c r="G172" s="28">
        <v>0</v>
      </c>
      <c r="H172" s="23">
        <v>0</v>
      </c>
      <c r="I172" s="29">
        <f>30*'Mise A Jour BDD'!$A$12</f>
        <v>26.598000000000003</v>
      </c>
      <c r="J172" s="30">
        <f>'Mise A Jour BDD'!$A$22*40000</f>
        <v>320</v>
      </c>
      <c r="K172" s="31" t="s">
        <v>183</v>
      </c>
      <c r="L172" s="32" t="s">
        <v>184</v>
      </c>
      <c r="M172" s="33" t="s">
        <v>188</v>
      </c>
    </row>
    <row r="173" spans="1:13" ht="20.25" customHeight="1" x14ac:dyDescent="0.25">
      <c r="A173" s="22" t="s">
        <v>66</v>
      </c>
      <c r="B173" s="23">
        <f>'Mise A Jour BDD'!$A$12*1783</f>
        <v>1580.8078</v>
      </c>
      <c r="C173" s="34">
        <f>'Mise A Jour BDD'!$A$12*2569</f>
        <v>2277.6754000000001</v>
      </c>
      <c r="D173" s="35">
        <f>'Mise A Jour BDD'!$A$12*3319</f>
        <v>2942.6254000000004</v>
      </c>
      <c r="E173" s="26">
        <v>0</v>
      </c>
      <c r="F173" s="27">
        <v>0</v>
      </c>
      <c r="G173" s="28">
        <v>0</v>
      </c>
      <c r="H173" s="23">
        <v>0</v>
      </c>
      <c r="I173" s="29">
        <f>30*'Mise A Jour BDD'!$A$12</f>
        <v>26.598000000000003</v>
      </c>
      <c r="J173" s="30">
        <f>'Mise A Jour BDD'!$A$22*40000</f>
        <v>320</v>
      </c>
      <c r="K173" s="31" t="s">
        <v>183</v>
      </c>
      <c r="L173" s="32" t="s">
        <v>184</v>
      </c>
      <c r="M173" s="33" t="s">
        <v>189</v>
      </c>
    </row>
    <row r="174" spans="1:13" ht="20.25" customHeight="1" x14ac:dyDescent="0.25">
      <c r="A174" s="22" t="s">
        <v>70</v>
      </c>
      <c r="B174" s="23">
        <f>'Mise A Jour BDD'!$A$12*1800</f>
        <v>1595.88</v>
      </c>
      <c r="C174" s="34">
        <f>'Mise A Jour BDD'!$A$12*2586</f>
        <v>2292.7476000000001</v>
      </c>
      <c r="D174" s="35">
        <f>'Mise A Jour BDD'!$A$12*2586</f>
        <v>2292.7476000000001</v>
      </c>
      <c r="E174" s="26">
        <v>0</v>
      </c>
      <c r="F174" s="27">
        <v>0</v>
      </c>
      <c r="G174" s="28">
        <v>0</v>
      </c>
      <c r="H174" s="23">
        <v>0</v>
      </c>
      <c r="I174" s="29">
        <f>30*'Mise A Jour BDD'!$A$12</f>
        <v>26.598000000000003</v>
      </c>
      <c r="J174" s="30">
        <f>'Mise A Jour BDD'!$A$22*40000</f>
        <v>320</v>
      </c>
      <c r="K174" s="31" t="s">
        <v>183</v>
      </c>
      <c r="L174" s="32" t="s">
        <v>184</v>
      </c>
      <c r="M174" s="33" t="s">
        <v>189</v>
      </c>
    </row>
    <row r="175" spans="1:13" ht="20.25" customHeight="1" x14ac:dyDescent="0.25">
      <c r="A175" s="22" t="s">
        <v>69</v>
      </c>
      <c r="B175" s="23">
        <f>'Mise A Jour BDD'!$A$12*1789</f>
        <v>1586.1274000000001</v>
      </c>
      <c r="C175" s="34">
        <f>'Mise A Jour BDD'!$A$12*2575</f>
        <v>2282.9950000000003</v>
      </c>
      <c r="D175" s="35">
        <f>'Mise A Jour BDD'!$A$12*2575</f>
        <v>2282.9950000000003</v>
      </c>
      <c r="E175" s="26">
        <v>0</v>
      </c>
      <c r="F175" s="27">
        <v>0</v>
      </c>
      <c r="G175" s="28">
        <v>0</v>
      </c>
      <c r="H175" s="23">
        <v>0</v>
      </c>
      <c r="I175" s="29">
        <f>30*'Mise A Jour BDD'!$A$12</f>
        <v>26.598000000000003</v>
      </c>
      <c r="J175" s="30">
        <f>'Mise A Jour BDD'!$A$22*40000</f>
        <v>320</v>
      </c>
      <c r="K175" s="31" t="s">
        <v>183</v>
      </c>
      <c r="L175" s="32" t="s">
        <v>184</v>
      </c>
      <c r="M175" s="33" t="s">
        <v>189</v>
      </c>
    </row>
    <row r="176" spans="1:13" ht="20.25" customHeight="1" x14ac:dyDescent="0.25">
      <c r="A176" s="22" t="s">
        <v>66</v>
      </c>
      <c r="B176" s="23">
        <v>1250</v>
      </c>
      <c r="C176" s="34">
        <v>2384</v>
      </c>
      <c r="D176" s="35">
        <v>2384</v>
      </c>
      <c r="E176" s="26">
        <v>0</v>
      </c>
      <c r="F176" s="27">
        <v>0</v>
      </c>
      <c r="G176" s="28">
        <v>0</v>
      </c>
      <c r="H176" s="23">
        <v>0</v>
      </c>
      <c r="I176" s="29">
        <v>0</v>
      </c>
      <c r="J176" s="30">
        <v>0</v>
      </c>
      <c r="K176" s="31" t="s">
        <v>190</v>
      </c>
      <c r="L176" s="32" t="s">
        <v>191</v>
      </c>
      <c r="M176" s="33" t="s">
        <v>192</v>
      </c>
    </row>
    <row r="177" spans="1:13" ht="20.25" customHeight="1" x14ac:dyDescent="0.25">
      <c r="A177" s="22" t="s">
        <v>70</v>
      </c>
      <c r="B177" s="23">
        <v>1266</v>
      </c>
      <c r="C177" s="34">
        <v>2398</v>
      </c>
      <c r="D177" s="35">
        <v>2398</v>
      </c>
      <c r="E177" s="26">
        <v>0</v>
      </c>
      <c r="F177" s="27">
        <v>0</v>
      </c>
      <c r="G177" s="28">
        <v>0</v>
      </c>
      <c r="H177" s="23">
        <v>0</v>
      </c>
      <c r="I177" s="29">
        <v>0</v>
      </c>
      <c r="J177" s="30">
        <v>0</v>
      </c>
      <c r="K177" s="31" t="s">
        <v>190</v>
      </c>
      <c r="L177" s="32" t="s">
        <v>191</v>
      </c>
      <c r="M177" s="33" t="s">
        <v>192</v>
      </c>
    </row>
    <row r="178" spans="1:13" ht="20.25" customHeight="1" x14ac:dyDescent="0.25">
      <c r="A178" s="22" t="s">
        <v>69</v>
      </c>
      <c r="B178" s="23">
        <v>1256</v>
      </c>
      <c r="C178" s="34">
        <v>2388</v>
      </c>
      <c r="D178" s="35">
        <v>2388</v>
      </c>
      <c r="E178" s="26">
        <v>0</v>
      </c>
      <c r="F178" s="27">
        <v>0</v>
      </c>
      <c r="G178" s="28">
        <v>0</v>
      </c>
      <c r="H178" s="23">
        <v>0</v>
      </c>
      <c r="I178" s="29">
        <v>0</v>
      </c>
      <c r="J178" s="30">
        <v>0</v>
      </c>
      <c r="K178" s="31" t="s">
        <v>190</v>
      </c>
      <c r="L178" s="32" t="s">
        <v>191</v>
      </c>
      <c r="M178" s="33" t="s">
        <v>192</v>
      </c>
    </row>
    <row r="179" spans="1:13" ht="20.25" customHeight="1" x14ac:dyDescent="0.25">
      <c r="A179" s="22" t="s">
        <v>66</v>
      </c>
      <c r="B179" s="23">
        <f>'Mise A Jour BDD'!$A$12*801</f>
        <v>710.16660000000002</v>
      </c>
      <c r="C179" s="34">
        <f>'Mise A Jour BDD'!$A$12*1024</f>
        <v>907.87840000000006</v>
      </c>
      <c r="D179" s="35">
        <f>'Mise A Jour BDD'!$A$12*1774</f>
        <v>1572.8284000000001</v>
      </c>
      <c r="E179" s="26">
        <v>0</v>
      </c>
      <c r="F179" s="27">
        <v>0</v>
      </c>
      <c r="G179" s="28">
        <v>0</v>
      </c>
      <c r="H179" s="23">
        <v>0</v>
      </c>
      <c r="I179" s="29">
        <v>0</v>
      </c>
      <c r="J179" s="30">
        <f>'Mise A Jour BDD'!$A$30*520</f>
        <v>114.4</v>
      </c>
      <c r="K179" s="31" t="s">
        <v>193</v>
      </c>
      <c r="L179" s="32" t="s">
        <v>194</v>
      </c>
      <c r="M179" s="33" t="s">
        <v>195</v>
      </c>
    </row>
    <row r="180" spans="1:13" ht="20.25" customHeight="1" x14ac:dyDescent="0.25">
      <c r="A180" s="22" t="s">
        <v>71</v>
      </c>
      <c r="B180" s="23">
        <f>'Mise A Jour BDD'!$A$12*638</f>
        <v>565.6508</v>
      </c>
      <c r="C180" s="24">
        <f>'Mise A Jour BDD'!$A$12*717</f>
        <v>635.69220000000007</v>
      </c>
      <c r="D180" s="25">
        <f>'Mise A Jour BDD'!$A$12*717</f>
        <v>635.69220000000007</v>
      </c>
      <c r="E180" s="26">
        <v>0</v>
      </c>
      <c r="F180" s="27">
        <v>0</v>
      </c>
      <c r="G180" s="28">
        <v>0</v>
      </c>
      <c r="H180" s="23">
        <v>0</v>
      </c>
      <c r="I180" s="29">
        <v>0</v>
      </c>
      <c r="J180" s="30">
        <f>'Mise A Jour BDD'!$A$30*520</f>
        <v>114.4</v>
      </c>
      <c r="K180" s="31" t="s">
        <v>193</v>
      </c>
      <c r="L180" s="32" t="s">
        <v>194</v>
      </c>
      <c r="M180" s="33" t="s">
        <v>195</v>
      </c>
    </row>
    <row r="181" spans="1:13" ht="20.25" customHeight="1" x14ac:dyDescent="0.25">
      <c r="A181" s="22" t="s">
        <v>70</v>
      </c>
      <c r="B181" s="23">
        <f>'Mise A Jour BDD'!$A$12*819</f>
        <v>726.12540000000001</v>
      </c>
      <c r="C181" s="34">
        <f>'Mise A Jour BDD'!$A$12*1041</f>
        <v>922.95060000000001</v>
      </c>
      <c r="D181" s="35">
        <f>'Mise A Jour BDD'!$A$12*1041</f>
        <v>922.95060000000001</v>
      </c>
      <c r="E181" s="26">
        <v>0</v>
      </c>
      <c r="F181" s="27">
        <v>0</v>
      </c>
      <c r="G181" s="28">
        <v>0</v>
      </c>
      <c r="H181" s="23">
        <v>0</v>
      </c>
      <c r="I181" s="29">
        <v>0</v>
      </c>
      <c r="J181" s="30">
        <f>'Mise A Jour BDD'!$A$30*520</f>
        <v>114.4</v>
      </c>
      <c r="K181" s="31" t="s">
        <v>193</v>
      </c>
      <c r="L181" s="32" t="s">
        <v>194</v>
      </c>
      <c r="M181" s="33" t="s">
        <v>195</v>
      </c>
    </row>
    <row r="182" spans="1:13" ht="20.25" customHeight="1" x14ac:dyDescent="0.25">
      <c r="A182" s="22" t="s">
        <v>69</v>
      </c>
      <c r="B182" s="23">
        <f>'Mise A Jour BDD'!$A$12*807</f>
        <v>715.48620000000005</v>
      </c>
      <c r="C182" s="34">
        <f>'Mise A Jour BDD'!$A$12*1030</f>
        <v>913.19800000000009</v>
      </c>
      <c r="D182" s="35">
        <f>'Mise A Jour BDD'!$A$12*1030</f>
        <v>913.19800000000009</v>
      </c>
      <c r="E182" s="26">
        <v>0</v>
      </c>
      <c r="F182" s="27">
        <v>0</v>
      </c>
      <c r="G182" s="28">
        <v>0</v>
      </c>
      <c r="H182" s="23">
        <v>0</v>
      </c>
      <c r="I182" s="29">
        <v>0</v>
      </c>
      <c r="J182" s="30">
        <f>'Mise A Jour BDD'!$A$30*520</f>
        <v>114.4</v>
      </c>
      <c r="K182" s="31" t="s">
        <v>193</v>
      </c>
      <c r="L182" s="32" t="s">
        <v>194</v>
      </c>
      <c r="M182" s="33" t="s">
        <v>195</v>
      </c>
    </row>
    <row r="183" spans="1:13" ht="20.25" customHeight="1" x14ac:dyDescent="0.25">
      <c r="A183" s="22" t="s">
        <v>66</v>
      </c>
      <c r="B183" s="23">
        <v>1934</v>
      </c>
      <c r="C183" s="34">
        <v>2855</v>
      </c>
      <c r="D183" s="35">
        <v>2855</v>
      </c>
      <c r="E183" s="26">
        <v>0</v>
      </c>
      <c r="F183" s="27">
        <v>0</v>
      </c>
      <c r="G183" s="28">
        <v>0</v>
      </c>
      <c r="H183" s="23">
        <v>0</v>
      </c>
      <c r="I183" s="29">
        <v>0</v>
      </c>
      <c r="J183" s="30">
        <v>330</v>
      </c>
      <c r="K183" s="31" t="s">
        <v>196</v>
      </c>
      <c r="L183" s="32" t="s">
        <v>197</v>
      </c>
      <c r="M183" s="33" t="s">
        <v>198</v>
      </c>
    </row>
    <row r="184" spans="1:13" ht="20.25" customHeight="1" x14ac:dyDescent="0.25">
      <c r="A184" s="22" t="s">
        <v>71</v>
      </c>
      <c r="B184" s="23">
        <v>1806</v>
      </c>
      <c r="C184" s="24">
        <v>3000</v>
      </c>
      <c r="D184" s="25">
        <v>3000</v>
      </c>
      <c r="E184" s="26">
        <v>0</v>
      </c>
      <c r="F184" s="27">
        <v>2171</v>
      </c>
      <c r="G184" s="28">
        <v>0</v>
      </c>
      <c r="H184" s="23">
        <v>0</v>
      </c>
      <c r="I184" s="29">
        <v>0</v>
      </c>
      <c r="J184" s="30">
        <v>330</v>
      </c>
      <c r="K184" s="31" t="s">
        <v>196</v>
      </c>
      <c r="L184" s="32" t="s">
        <v>197</v>
      </c>
      <c r="M184" s="33" t="s">
        <v>198</v>
      </c>
    </row>
    <row r="185" spans="1:13" ht="20.25" customHeight="1" x14ac:dyDescent="0.25">
      <c r="A185" s="22" t="s">
        <v>70</v>
      </c>
      <c r="B185" s="23">
        <v>1949</v>
      </c>
      <c r="C185" s="34">
        <v>2870</v>
      </c>
      <c r="D185" s="35">
        <v>2870</v>
      </c>
      <c r="E185" s="26">
        <v>0</v>
      </c>
      <c r="F185" s="27">
        <v>0</v>
      </c>
      <c r="G185" s="28">
        <v>0</v>
      </c>
      <c r="H185" s="23">
        <v>0</v>
      </c>
      <c r="I185" s="29">
        <v>0</v>
      </c>
      <c r="J185" s="30">
        <v>330</v>
      </c>
      <c r="K185" s="31" t="s">
        <v>196</v>
      </c>
      <c r="L185" s="32" t="s">
        <v>197</v>
      </c>
      <c r="M185" s="33" t="s">
        <v>198</v>
      </c>
    </row>
    <row r="186" spans="1:13" ht="20.25" customHeight="1" x14ac:dyDescent="0.25">
      <c r="A186" s="22" t="s">
        <v>69</v>
      </c>
      <c r="B186" s="23">
        <v>1924</v>
      </c>
      <c r="C186" s="34">
        <v>2845</v>
      </c>
      <c r="D186" s="35">
        <v>2845</v>
      </c>
      <c r="E186" s="26">
        <v>0</v>
      </c>
      <c r="F186" s="27">
        <v>0</v>
      </c>
      <c r="G186" s="28">
        <v>0</v>
      </c>
      <c r="H186" s="23">
        <v>0</v>
      </c>
      <c r="I186" s="29">
        <v>0</v>
      </c>
      <c r="J186" s="30">
        <v>330</v>
      </c>
      <c r="K186" s="31" t="s">
        <v>196</v>
      </c>
      <c r="L186" s="32" t="s">
        <v>197</v>
      </c>
      <c r="M186" s="33" t="s">
        <v>198</v>
      </c>
    </row>
    <row r="187" spans="1:13" ht="20.25" customHeight="1" x14ac:dyDescent="0.25">
      <c r="A187" s="22" t="s">
        <v>66</v>
      </c>
      <c r="B187" s="23">
        <f>'Mise A Jour BDD'!$A$12*1937</f>
        <v>1717.3442</v>
      </c>
      <c r="C187" s="34">
        <f>'Mise A Jour BDD'!$A$12*2972</f>
        <v>2634.9752000000003</v>
      </c>
      <c r="D187" s="35">
        <f>'Mise A Jour BDD'!$A$12*2972</f>
        <v>2634.9752000000003</v>
      </c>
      <c r="E187" s="26">
        <v>0</v>
      </c>
      <c r="F187" s="27">
        <v>0</v>
      </c>
      <c r="G187" s="28">
        <v>0</v>
      </c>
      <c r="H187" s="23">
        <v>0</v>
      </c>
      <c r="I187" s="29">
        <f>'Mise A Jour BDD'!$A$12*32</f>
        <v>28.371200000000002</v>
      </c>
      <c r="J187" s="30">
        <v>0</v>
      </c>
      <c r="K187" s="31" t="s">
        <v>199</v>
      </c>
      <c r="L187" s="32" t="s">
        <v>200</v>
      </c>
      <c r="M187" s="33" t="s">
        <v>201</v>
      </c>
    </row>
    <row r="188" spans="1:13" ht="20.25" customHeight="1" x14ac:dyDescent="0.25">
      <c r="A188" s="22" t="s">
        <v>71</v>
      </c>
      <c r="B188" s="23">
        <f>'Mise A Jour BDD'!$A$12*1861</f>
        <v>1649.9626000000001</v>
      </c>
      <c r="C188" s="24">
        <f>'Mise A Jour BDD'!$A$12*2849</f>
        <v>2525.9234000000001</v>
      </c>
      <c r="D188" s="25">
        <f>'Mise A Jour BDD'!$A$12*2849</f>
        <v>2525.9234000000001</v>
      </c>
      <c r="E188" s="26">
        <v>0</v>
      </c>
      <c r="F188" s="27">
        <v>0</v>
      </c>
      <c r="G188" s="28">
        <v>0</v>
      </c>
      <c r="H188" s="23">
        <v>0</v>
      </c>
      <c r="I188" s="29">
        <v>28.16</v>
      </c>
      <c r="J188" s="30">
        <v>0</v>
      </c>
      <c r="K188" s="31" t="s">
        <v>199</v>
      </c>
      <c r="L188" s="32" t="s">
        <v>200</v>
      </c>
      <c r="M188" s="33" t="s">
        <v>201</v>
      </c>
    </row>
    <row r="189" spans="1:13" ht="20.25" customHeight="1" x14ac:dyDescent="0.25">
      <c r="A189" s="22" t="s">
        <v>70</v>
      </c>
      <c r="B189" s="23">
        <f>'Mise A Jour BDD'!$A$12*1937</f>
        <v>1717.3442</v>
      </c>
      <c r="C189" s="34">
        <f>'Mise A Jour BDD'!$A$12*2972</f>
        <v>2634.9752000000003</v>
      </c>
      <c r="D189" s="35">
        <f>'Mise A Jour BDD'!$A$12*2972</f>
        <v>2634.9752000000003</v>
      </c>
      <c r="E189" s="26">
        <v>0</v>
      </c>
      <c r="F189" s="27">
        <v>0</v>
      </c>
      <c r="G189" s="28">
        <v>0</v>
      </c>
      <c r="H189" s="23">
        <v>0</v>
      </c>
      <c r="I189" s="29">
        <f>'Mise A Jour BDD'!$A$12*32</f>
        <v>28.371200000000002</v>
      </c>
      <c r="J189" s="30">
        <v>0</v>
      </c>
      <c r="K189" s="31" t="s">
        <v>199</v>
      </c>
      <c r="L189" s="32" t="s">
        <v>200</v>
      </c>
      <c r="M189" s="33" t="s">
        <v>201</v>
      </c>
    </row>
    <row r="190" spans="1:13" ht="20.25" customHeight="1" x14ac:dyDescent="0.25">
      <c r="A190" s="22" t="s">
        <v>69</v>
      </c>
      <c r="B190" s="23">
        <f>'Mise A Jour BDD'!$A$12*1937</f>
        <v>1717.3442</v>
      </c>
      <c r="C190" s="34">
        <f>'Mise A Jour BDD'!$A$12*2972</f>
        <v>2634.9752000000003</v>
      </c>
      <c r="D190" s="35">
        <f>'Mise A Jour BDD'!$A$12*2972</f>
        <v>2634.9752000000003</v>
      </c>
      <c r="E190" s="26">
        <v>0</v>
      </c>
      <c r="F190" s="27">
        <v>0</v>
      </c>
      <c r="G190" s="28">
        <v>0</v>
      </c>
      <c r="H190" s="23">
        <v>0</v>
      </c>
      <c r="I190" s="29">
        <f>'Mise A Jour BDD'!$A$12*32</f>
        <v>28.371200000000002</v>
      </c>
      <c r="J190" s="30">
        <v>0</v>
      </c>
      <c r="K190" s="31" t="s">
        <v>199</v>
      </c>
      <c r="L190" s="32" t="s">
        <v>200</v>
      </c>
      <c r="M190" s="33" t="s">
        <v>201</v>
      </c>
    </row>
    <row r="191" spans="1:13" ht="20.25" customHeight="1" x14ac:dyDescent="0.25">
      <c r="A191" s="22" t="s">
        <v>66</v>
      </c>
      <c r="B191" s="23">
        <f>'Mise A Jour BDD'!$A$12*1351</f>
        <v>1197.7966000000001</v>
      </c>
      <c r="C191" s="34">
        <f>'Mise A Jour BDD'!$A$12*1471</f>
        <v>1304.1886000000002</v>
      </c>
      <c r="D191" s="35">
        <f>'Mise A Jour BDD'!$A$12*1471</f>
        <v>1304.1886000000002</v>
      </c>
      <c r="E191" s="26">
        <v>0</v>
      </c>
      <c r="F191" s="27">
        <v>0</v>
      </c>
      <c r="G191" s="28">
        <v>0</v>
      </c>
      <c r="H191" s="23">
        <v>0</v>
      </c>
      <c r="I191" s="29">
        <f>'Mise A Jour BDD'!$A$12*32</f>
        <v>28.371200000000002</v>
      </c>
      <c r="J191" s="30">
        <v>0</v>
      </c>
      <c r="K191" s="31" t="s">
        <v>199</v>
      </c>
      <c r="L191" s="32" t="s">
        <v>200</v>
      </c>
      <c r="M191" s="33" t="s">
        <v>202</v>
      </c>
    </row>
    <row r="192" spans="1:13" ht="20.25" customHeight="1" x14ac:dyDescent="0.25">
      <c r="A192" s="22" t="s">
        <v>71</v>
      </c>
      <c r="B192" s="23">
        <f>'Mise A Jour BDD'!$A$12*1351</f>
        <v>1197.7966000000001</v>
      </c>
      <c r="C192" s="24">
        <f>'Mise A Jour BDD'!$A$12*2066</f>
        <v>1831.7156000000002</v>
      </c>
      <c r="D192" s="25">
        <f>'Mise A Jour BDD'!$A$12*2066</f>
        <v>1831.7156000000002</v>
      </c>
      <c r="E192" s="26">
        <v>0</v>
      </c>
      <c r="F192" s="27">
        <v>0</v>
      </c>
      <c r="G192" s="28">
        <v>0</v>
      </c>
      <c r="H192" s="23">
        <v>0</v>
      </c>
      <c r="I192" s="29">
        <v>28.16</v>
      </c>
      <c r="J192" s="30">
        <v>0</v>
      </c>
      <c r="K192" s="31" t="s">
        <v>199</v>
      </c>
      <c r="L192" s="32" t="s">
        <v>200</v>
      </c>
      <c r="M192" s="33" t="s">
        <v>202</v>
      </c>
    </row>
    <row r="193" spans="1:13" ht="20.25" customHeight="1" x14ac:dyDescent="0.25">
      <c r="A193" s="22" t="s">
        <v>70</v>
      </c>
      <c r="B193" s="23">
        <f>'Mise A Jour BDD'!$A$12*1368</f>
        <v>1212.8688</v>
      </c>
      <c r="C193" s="34">
        <f>'Mise A Jour BDD'!$A$12*1488</f>
        <v>1319.2608</v>
      </c>
      <c r="D193" s="35">
        <f>'Mise A Jour BDD'!$A$12*1488</f>
        <v>1319.2608</v>
      </c>
      <c r="E193" s="26">
        <v>0</v>
      </c>
      <c r="F193" s="27">
        <v>0</v>
      </c>
      <c r="G193" s="28">
        <v>0</v>
      </c>
      <c r="H193" s="23">
        <v>0</v>
      </c>
      <c r="I193" s="29">
        <f>'Mise A Jour BDD'!$A$12*32</f>
        <v>28.371200000000002</v>
      </c>
      <c r="J193" s="30">
        <v>0</v>
      </c>
      <c r="K193" s="31" t="s">
        <v>199</v>
      </c>
      <c r="L193" s="32" t="s">
        <v>200</v>
      </c>
      <c r="M193" s="33" t="s">
        <v>202</v>
      </c>
    </row>
    <row r="194" spans="1:13" ht="20.25" customHeight="1" x14ac:dyDescent="0.25">
      <c r="A194" s="22" t="s">
        <v>69</v>
      </c>
      <c r="B194" s="23">
        <f>'Mise A Jour BDD'!$A$12*1357</f>
        <v>1203.1162000000002</v>
      </c>
      <c r="C194" s="34">
        <f>'Mise A Jour BDD'!$A$12*1477</f>
        <v>1309.5082</v>
      </c>
      <c r="D194" s="35">
        <f>'Mise A Jour BDD'!$A$12*1477</f>
        <v>1309.5082</v>
      </c>
      <c r="E194" s="26">
        <v>0</v>
      </c>
      <c r="F194" s="27">
        <v>0</v>
      </c>
      <c r="G194" s="28">
        <v>0</v>
      </c>
      <c r="H194" s="23">
        <v>0</v>
      </c>
      <c r="I194" s="29">
        <f>'Mise A Jour BDD'!$A$12*32</f>
        <v>28.371200000000002</v>
      </c>
      <c r="J194" s="30">
        <v>0</v>
      </c>
      <c r="K194" s="31" t="s">
        <v>199</v>
      </c>
      <c r="L194" s="32" t="s">
        <v>200</v>
      </c>
      <c r="M194" s="33" t="s">
        <v>202</v>
      </c>
    </row>
    <row r="195" spans="1:13" ht="20.25" customHeight="1" x14ac:dyDescent="0.25">
      <c r="A195" s="22" t="s">
        <v>66</v>
      </c>
      <c r="B195" s="23">
        <f>'Mise A Jour BDD'!$A$12*1560</f>
        <v>1383.096</v>
      </c>
      <c r="C195" s="34">
        <f>'Mise A Jour BDD'!$A$12*2975</f>
        <v>2637.6350000000002</v>
      </c>
      <c r="D195" s="35">
        <f>'Mise A Jour BDD'!$A$12*2975</f>
        <v>2637.6350000000002</v>
      </c>
      <c r="E195" s="26">
        <v>0</v>
      </c>
      <c r="F195" s="27">
        <v>0</v>
      </c>
      <c r="G195" s="28">
        <v>0</v>
      </c>
      <c r="H195" s="23">
        <v>0</v>
      </c>
      <c r="I195" s="29">
        <v>0</v>
      </c>
      <c r="J195" s="30">
        <f>'Mise A Jour BDD'!$A$12*145</f>
        <v>128.55700000000002</v>
      </c>
      <c r="K195" s="31" t="s">
        <v>203</v>
      </c>
      <c r="L195" s="32" t="s">
        <v>204</v>
      </c>
      <c r="M195" s="33" t="s">
        <v>205</v>
      </c>
    </row>
    <row r="196" spans="1:13" ht="20.25" customHeight="1" x14ac:dyDescent="0.25">
      <c r="A196" s="22" t="s">
        <v>71</v>
      </c>
      <c r="B196" s="23">
        <f>'Mise A Jour BDD'!$A$12*1735</f>
        <v>1538.2510000000002</v>
      </c>
      <c r="C196" s="24">
        <f>'Mise A Jour BDD'!$A$12*3125</f>
        <v>2770.625</v>
      </c>
      <c r="D196" s="25">
        <f>'Mise A Jour BDD'!$A$12*3125</f>
        <v>2770.625</v>
      </c>
      <c r="E196" s="26">
        <v>0</v>
      </c>
      <c r="F196" s="27">
        <v>0</v>
      </c>
      <c r="G196" s="28">
        <v>0</v>
      </c>
      <c r="H196" s="23">
        <v>0</v>
      </c>
      <c r="I196" s="29">
        <v>0</v>
      </c>
      <c r="J196" s="30">
        <f>'Mise A Jour BDD'!$A$12*145</f>
        <v>128.55700000000002</v>
      </c>
      <c r="K196" s="31" t="s">
        <v>203</v>
      </c>
      <c r="L196" s="32" t="s">
        <v>204</v>
      </c>
      <c r="M196" s="33" t="s">
        <v>205</v>
      </c>
    </row>
    <row r="197" spans="1:13" ht="20.25" customHeight="1" x14ac:dyDescent="0.25">
      <c r="A197" s="22" t="s">
        <v>70</v>
      </c>
      <c r="B197" s="23">
        <f>'Mise A Jour BDD'!$A$12*1560</f>
        <v>1383.096</v>
      </c>
      <c r="C197" s="34">
        <f>'Mise A Jour BDD'!$A$12*2975</f>
        <v>2637.6350000000002</v>
      </c>
      <c r="D197" s="35">
        <f>'Mise A Jour BDD'!$A$12*2975</f>
        <v>2637.6350000000002</v>
      </c>
      <c r="E197" s="26">
        <v>0</v>
      </c>
      <c r="F197" s="27">
        <v>0</v>
      </c>
      <c r="G197" s="28">
        <v>0</v>
      </c>
      <c r="H197" s="23">
        <v>0</v>
      </c>
      <c r="I197" s="29">
        <v>0</v>
      </c>
      <c r="J197" s="30">
        <f>'Mise A Jour BDD'!$A$12*145</f>
        <v>128.55700000000002</v>
      </c>
      <c r="K197" s="31" t="s">
        <v>203</v>
      </c>
      <c r="L197" s="32" t="s">
        <v>204</v>
      </c>
      <c r="M197" s="33" t="s">
        <v>205</v>
      </c>
    </row>
    <row r="198" spans="1:13" ht="20.25" customHeight="1" x14ac:dyDescent="0.25">
      <c r="A198" s="22" t="s">
        <v>69</v>
      </c>
      <c r="B198" s="23">
        <f>'Mise A Jour BDD'!$A$12*1560</f>
        <v>1383.096</v>
      </c>
      <c r="C198" s="34">
        <f>'Mise A Jour BDD'!$A$12*2775</f>
        <v>2460.3150000000001</v>
      </c>
      <c r="D198" s="35">
        <f>'Mise A Jour BDD'!$A$12*2775</f>
        <v>2460.3150000000001</v>
      </c>
      <c r="E198" s="26">
        <v>0</v>
      </c>
      <c r="F198" s="27">
        <v>0</v>
      </c>
      <c r="G198" s="28">
        <v>0</v>
      </c>
      <c r="H198" s="23">
        <v>0</v>
      </c>
      <c r="I198" s="29">
        <v>0</v>
      </c>
      <c r="J198" s="30">
        <f>'Mise A Jour BDD'!$A$12*145</f>
        <v>128.55700000000002</v>
      </c>
      <c r="K198" s="31" t="s">
        <v>203</v>
      </c>
      <c r="L198" s="32" t="s">
        <v>204</v>
      </c>
      <c r="M198" s="33" t="s">
        <v>205</v>
      </c>
    </row>
    <row r="199" spans="1:13" ht="20.25" customHeight="1" x14ac:dyDescent="0.25">
      <c r="A199" s="22" t="s">
        <v>71</v>
      </c>
      <c r="B199" s="23">
        <v>1245</v>
      </c>
      <c r="C199" s="24">
        <v>1620</v>
      </c>
      <c r="D199" s="25">
        <v>1620</v>
      </c>
      <c r="E199" s="26">
        <v>0</v>
      </c>
      <c r="F199" s="27">
        <v>0</v>
      </c>
      <c r="G199" s="28">
        <v>0</v>
      </c>
      <c r="H199" s="23">
        <v>0</v>
      </c>
      <c r="I199" s="29">
        <v>0</v>
      </c>
      <c r="J199" s="30">
        <f>'Mise A Jour BDD'!$A$40*960</f>
        <v>105.6</v>
      </c>
      <c r="K199" s="31" t="s">
        <v>206</v>
      </c>
      <c r="L199" s="32" t="s">
        <v>207</v>
      </c>
      <c r="M199" s="33" t="s">
        <v>208</v>
      </c>
    </row>
    <row r="200" spans="1:13" ht="20.25" customHeight="1" x14ac:dyDescent="0.25">
      <c r="A200" s="22" t="s">
        <v>71</v>
      </c>
      <c r="B200" s="23">
        <v>1244</v>
      </c>
      <c r="C200" s="24">
        <v>1619</v>
      </c>
      <c r="D200" s="25">
        <v>1619</v>
      </c>
      <c r="E200" s="26">
        <v>0</v>
      </c>
      <c r="F200" s="27">
        <v>0</v>
      </c>
      <c r="G200" s="28">
        <v>0</v>
      </c>
      <c r="H200" s="23">
        <v>0</v>
      </c>
      <c r="I200" s="29">
        <v>0</v>
      </c>
      <c r="J200" s="30">
        <f>'Mise A Jour BDD'!$A$40*960</f>
        <v>105.6</v>
      </c>
      <c r="K200" s="31" t="s">
        <v>206</v>
      </c>
      <c r="L200" s="32" t="s">
        <v>207</v>
      </c>
      <c r="M200" s="33" t="s">
        <v>209</v>
      </c>
    </row>
    <row r="201" spans="1:13" ht="20.25" customHeight="1" x14ac:dyDescent="0.25">
      <c r="A201" s="22" t="s">
        <v>71</v>
      </c>
      <c r="B201" s="23">
        <f>'Mise A Jour BDD'!$A$12*1261</f>
        <v>1118.0026</v>
      </c>
      <c r="C201" s="24">
        <f>'Mise A Jour BDD'!$A$12*2130</f>
        <v>1888.4580000000001</v>
      </c>
      <c r="D201" s="25">
        <f>'Mise A Jour BDD'!$A$12*2130</f>
        <v>1888.4580000000001</v>
      </c>
      <c r="E201" s="26">
        <v>0</v>
      </c>
      <c r="F201" s="27">
        <v>0</v>
      </c>
      <c r="G201" s="28">
        <v>0</v>
      </c>
      <c r="H201" s="23">
        <v>0</v>
      </c>
      <c r="I201" s="29">
        <f>'Mise A Jour BDD'!$A$42*70</f>
        <v>42</v>
      </c>
      <c r="J201" s="30">
        <f>'Mise A Jour BDD'!$A$42*500</f>
        <v>300</v>
      </c>
      <c r="K201" s="31" t="s">
        <v>210</v>
      </c>
      <c r="L201" s="32" t="s">
        <v>211</v>
      </c>
      <c r="M201" s="33" t="s">
        <v>212</v>
      </c>
    </row>
    <row r="202" spans="1:13" ht="20.25" customHeight="1" x14ac:dyDescent="0.25">
      <c r="A202" s="22" t="s">
        <v>66</v>
      </c>
      <c r="B202" s="23">
        <f>'Mise A Jour BDD'!$A$12*1064</f>
        <v>943.34240000000011</v>
      </c>
      <c r="C202" s="34">
        <f>'Mise A Jour BDD'!$A$12*1430</f>
        <v>1267.838</v>
      </c>
      <c r="D202" s="35">
        <f>'Mise A Jour BDD'!$A$12*1430</f>
        <v>1267.838</v>
      </c>
      <c r="E202" s="26">
        <v>0</v>
      </c>
      <c r="F202" s="27">
        <v>0</v>
      </c>
      <c r="G202" s="28">
        <v>0</v>
      </c>
      <c r="H202" s="23">
        <v>0</v>
      </c>
      <c r="I202" s="29">
        <v>0</v>
      </c>
      <c r="J202" s="30">
        <f>'Mise A Jour BDD'!$A$32*55</f>
        <v>125.39999999999999</v>
      </c>
      <c r="K202" s="31" t="s">
        <v>213</v>
      </c>
      <c r="L202" s="32" t="s">
        <v>214</v>
      </c>
      <c r="M202" s="33" t="s">
        <v>215</v>
      </c>
    </row>
    <row r="203" spans="1:13" ht="20.25" customHeight="1" x14ac:dyDescent="0.25">
      <c r="A203" s="22" t="s">
        <v>71</v>
      </c>
      <c r="B203" s="23">
        <f>'Mise A Jour BDD'!$A$12*1077</f>
        <v>954.86820000000012</v>
      </c>
      <c r="C203" s="24">
        <f>'Mise A Jour BDD'!$A$12*1529</f>
        <v>1355.6114</v>
      </c>
      <c r="D203" s="25">
        <f>'Mise A Jour BDD'!$A$12*1529</f>
        <v>1355.6114</v>
      </c>
      <c r="E203" s="26">
        <v>0</v>
      </c>
      <c r="F203" s="27">
        <v>0</v>
      </c>
      <c r="G203" s="28">
        <v>0</v>
      </c>
      <c r="H203" s="23">
        <v>0</v>
      </c>
      <c r="I203" s="29">
        <v>0</v>
      </c>
      <c r="J203" s="30">
        <f>'Mise A Jour BDD'!$A$32*55</f>
        <v>125.39999999999999</v>
      </c>
      <c r="K203" s="31" t="s">
        <v>213</v>
      </c>
      <c r="L203" s="32" t="s">
        <v>214</v>
      </c>
      <c r="M203" s="33" t="s">
        <v>215</v>
      </c>
    </row>
    <row r="204" spans="1:13" ht="20.25" customHeight="1" x14ac:dyDescent="0.25">
      <c r="A204" s="22" t="s">
        <v>70</v>
      </c>
      <c r="B204" s="23">
        <f>'Mise A Jour BDD'!$A$12*1208</f>
        <v>1071.0128</v>
      </c>
      <c r="C204" s="34">
        <f>'Mise A Jour BDD'!$A$12*1574</f>
        <v>1395.5084000000002</v>
      </c>
      <c r="D204" s="35">
        <f>'Mise A Jour BDD'!$A$12*1574</f>
        <v>1395.5084000000002</v>
      </c>
      <c r="E204" s="26">
        <v>0</v>
      </c>
      <c r="F204" s="27">
        <v>0</v>
      </c>
      <c r="G204" s="28">
        <v>0</v>
      </c>
      <c r="H204" s="23">
        <v>0</v>
      </c>
      <c r="I204" s="29">
        <v>0</v>
      </c>
      <c r="J204" s="30">
        <f>'Mise A Jour BDD'!$A$32*55</f>
        <v>125.39999999999999</v>
      </c>
      <c r="K204" s="31" t="s">
        <v>213</v>
      </c>
      <c r="L204" s="32" t="s">
        <v>214</v>
      </c>
      <c r="M204" s="33" t="s">
        <v>215</v>
      </c>
    </row>
    <row r="205" spans="1:13" ht="20.25" customHeight="1" x14ac:dyDescent="0.25">
      <c r="A205" s="22" t="s">
        <v>69</v>
      </c>
      <c r="B205" s="23">
        <f>'Mise A Jour BDD'!$A$12*1070</f>
        <v>948.66200000000003</v>
      </c>
      <c r="C205" s="34">
        <f>'Mise A Jour BDD'!$A$12*1436</f>
        <v>1273.1576</v>
      </c>
      <c r="D205" s="35">
        <f>'Mise A Jour BDD'!$A$12*1436</f>
        <v>1273.1576</v>
      </c>
      <c r="E205" s="26">
        <v>0</v>
      </c>
      <c r="F205" s="27">
        <v>0</v>
      </c>
      <c r="G205" s="28">
        <v>0</v>
      </c>
      <c r="H205" s="23">
        <v>0</v>
      </c>
      <c r="I205" s="29">
        <v>0</v>
      </c>
      <c r="J205" s="30">
        <f>'Mise A Jour BDD'!$A$32*55</f>
        <v>125.39999999999999</v>
      </c>
      <c r="K205" s="31" t="s">
        <v>213</v>
      </c>
      <c r="L205" s="32" t="s">
        <v>214</v>
      </c>
      <c r="M205" s="33" t="s">
        <v>215</v>
      </c>
    </row>
    <row r="206" spans="1:13" ht="20.25" customHeight="1" x14ac:dyDescent="0.25">
      <c r="A206" s="22" t="s">
        <v>71</v>
      </c>
      <c r="B206" s="23">
        <f>'Mise A Jour BDD'!$A$12*839</f>
        <v>743.8574000000001</v>
      </c>
      <c r="C206" s="24">
        <f>'Mise A Jour BDD'!$A$12*1034</f>
        <v>916.74440000000004</v>
      </c>
      <c r="D206" s="25">
        <f>'Mise A Jour BDD'!$A$12*1034</f>
        <v>916.74440000000004</v>
      </c>
      <c r="E206" s="26">
        <v>0</v>
      </c>
      <c r="F206" s="27">
        <v>0</v>
      </c>
      <c r="G206" s="28">
        <v>0</v>
      </c>
      <c r="H206" s="23">
        <v>0</v>
      </c>
      <c r="I206" s="29">
        <v>0</v>
      </c>
      <c r="J206" s="30">
        <f>'Mise A Jour BDD'!$A$12*130</f>
        <v>115.25800000000001</v>
      </c>
      <c r="K206" s="31" t="s">
        <v>216</v>
      </c>
      <c r="L206" s="32" t="s">
        <v>217</v>
      </c>
      <c r="M206" s="33" t="s">
        <v>218</v>
      </c>
    </row>
    <row r="207" spans="1:13" ht="20.25" customHeight="1" x14ac:dyDescent="0.25">
      <c r="A207" s="22" t="s">
        <v>71</v>
      </c>
      <c r="B207" s="23">
        <f>'Mise A Jour BDD'!$A$12*839</f>
        <v>743.8574000000001</v>
      </c>
      <c r="C207" s="24">
        <f>'Mise A Jour BDD'!$A$12*1034</f>
        <v>916.74440000000004</v>
      </c>
      <c r="D207" s="25">
        <f>'Mise A Jour BDD'!$A$12*1034</f>
        <v>916.74440000000004</v>
      </c>
      <c r="E207" s="26">
        <v>0</v>
      </c>
      <c r="F207" s="27">
        <v>0</v>
      </c>
      <c r="G207" s="28">
        <v>0</v>
      </c>
      <c r="H207" s="23">
        <v>0</v>
      </c>
      <c r="I207" s="29">
        <v>0</v>
      </c>
      <c r="J207" s="30">
        <f>'Mise A Jour BDD'!$A$12*130</f>
        <v>115.25800000000001</v>
      </c>
      <c r="K207" s="31" t="s">
        <v>216</v>
      </c>
      <c r="L207" s="32" t="s">
        <v>217</v>
      </c>
      <c r="M207" s="33" t="s">
        <v>219</v>
      </c>
    </row>
    <row r="208" spans="1:13" ht="20.25" customHeight="1" x14ac:dyDescent="0.25">
      <c r="A208" s="22" t="s">
        <v>66</v>
      </c>
      <c r="B208" s="23">
        <v>1302</v>
      </c>
      <c r="C208" s="24">
        <v>2038</v>
      </c>
      <c r="D208" s="25">
        <v>2038</v>
      </c>
      <c r="E208" s="26">
        <v>0</v>
      </c>
      <c r="F208" s="27">
        <v>0</v>
      </c>
      <c r="G208" s="28">
        <v>0</v>
      </c>
      <c r="H208" s="23">
        <v>0</v>
      </c>
      <c r="I208" s="29">
        <v>0</v>
      </c>
      <c r="J208" s="30">
        <f>'Mise A Jour BDD'!$A$12*210</f>
        <v>186.18600000000001</v>
      </c>
      <c r="K208" s="31" t="s">
        <v>220</v>
      </c>
      <c r="L208" s="32" t="s">
        <v>221</v>
      </c>
      <c r="M208" s="33" t="s">
        <v>222</v>
      </c>
    </row>
    <row r="209" spans="1:13" ht="20.25" customHeight="1" x14ac:dyDescent="0.25">
      <c r="A209" s="22" t="s">
        <v>71</v>
      </c>
      <c r="B209" s="23">
        <v>1580</v>
      </c>
      <c r="C209" s="24">
        <v>2018</v>
      </c>
      <c r="D209" s="25">
        <v>2018</v>
      </c>
      <c r="E209" s="26">
        <v>2000</v>
      </c>
      <c r="F209" s="27">
        <v>1509</v>
      </c>
      <c r="G209" s="28">
        <v>1509</v>
      </c>
      <c r="H209" s="23">
        <v>2000</v>
      </c>
      <c r="I209" s="29">
        <v>0</v>
      </c>
      <c r="J209" s="30">
        <f>'Mise A Jour BDD'!$A$12*210</f>
        <v>186.18600000000001</v>
      </c>
      <c r="K209" s="31" t="s">
        <v>220</v>
      </c>
      <c r="L209" s="32" t="s">
        <v>221</v>
      </c>
      <c r="M209" s="33" t="s">
        <v>222</v>
      </c>
    </row>
    <row r="210" spans="1:13" ht="20.25" customHeight="1" x14ac:dyDescent="0.25">
      <c r="A210" s="22" t="s">
        <v>70</v>
      </c>
      <c r="B210" s="23">
        <v>1317</v>
      </c>
      <c r="C210" s="24">
        <v>2053</v>
      </c>
      <c r="D210" s="25">
        <v>2053</v>
      </c>
      <c r="E210" s="26">
        <v>0</v>
      </c>
      <c r="F210" s="27">
        <v>0</v>
      </c>
      <c r="G210" s="28">
        <v>0</v>
      </c>
      <c r="H210" s="23">
        <v>0</v>
      </c>
      <c r="I210" s="29">
        <v>0</v>
      </c>
      <c r="J210" s="30">
        <f>'Mise A Jour BDD'!$A$12*210</f>
        <v>186.18600000000001</v>
      </c>
      <c r="K210" s="31" t="s">
        <v>220</v>
      </c>
      <c r="L210" s="32" t="s">
        <v>221</v>
      </c>
      <c r="M210" s="33" t="s">
        <v>222</v>
      </c>
    </row>
    <row r="211" spans="1:13" ht="20.25" customHeight="1" x14ac:dyDescent="0.25">
      <c r="A211" s="22" t="s">
        <v>69</v>
      </c>
      <c r="B211" s="23">
        <v>1307</v>
      </c>
      <c r="C211" s="24">
        <v>2043</v>
      </c>
      <c r="D211" s="25">
        <v>2043</v>
      </c>
      <c r="E211" s="26">
        <v>0</v>
      </c>
      <c r="F211" s="27">
        <v>0</v>
      </c>
      <c r="G211" s="28">
        <v>0</v>
      </c>
      <c r="H211" s="23">
        <v>0</v>
      </c>
      <c r="I211" s="29">
        <v>0</v>
      </c>
      <c r="J211" s="30">
        <f>'Mise A Jour BDD'!$A$12*210</f>
        <v>186.18600000000001</v>
      </c>
      <c r="K211" s="31" t="s">
        <v>220</v>
      </c>
      <c r="L211" s="32" t="s">
        <v>221</v>
      </c>
      <c r="M211" s="33" t="s">
        <v>222</v>
      </c>
    </row>
    <row r="212" spans="1:13" ht="20.25" customHeight="1" x14ac:dyDescent="0.25">
      <c r="A212" s="22" t="s">
        <v>66</v>
      </c>
      <c r="B212" s="23">
        <v>1074</v>
      </c>
      <c r="C212" s="24">
        <v>1764</v>
      </c>
      <c r="D212" s="25">
        <v>1764</v>
      </c>
      <c r="E212" s="26">
        <v>0</v>
      </c>
      <c r="F212" s="27">
        <v>0</v>
      </c>
      <c r="G212" s="28">
        <v>0</v>
      </c>
      <c r="H212" s="23">
        <v>0</v>
      </c>
      <c r="I212" s="29">
        <v>0</v>
      </c>
      <c r="J212" s="30">
        <f>'Mise A Jour BDD'!$A$12*100</f>
        <v>88.660000000000011</v>
      </c>
      <c r="K212" s="31" t="s">
        <v>225</v>
      </c>
      <c r="L212" s="32" t="s">
        <v>223</v>
      </c>
      <c r="M212" s="33" t="s">
        <v>224</v>
      </c>
    </row>
    <row r="213" spans="1:13" ht="20.25" customHeight="1" x14ac:dyDescent="0.25">
      <c r="A213" s="22" t="s">
        <v>71</v>
      </c>
      <c r="B213" s="23">
        <v>1485</v>
      </c>
      <c r="C213" s="24">
        <v>2349</v>
      </c>
      <c r="D213" s="25">
        <v>2349</v>
      </c>
      <c r="E213" s="26">
        <v>2749</v>
      </c>
      <c r="F213" s="27">
        <v>1785</v>
      </c>
      <c r="G213" s="28">
        <v>1785</v>
      </c>
      <c r="H213" s="23">
        <v>2749</v>
      </c>
      <c r="I213" s="29">
        <v>0</v>
      </c>
      <c r="J213" s="30">
        <f>'Mise A Jour BDD'!$A$12*100</f>
        <v>88.660000000000011</v>
      </c>
      <c r="K213" s="31" t="s">
        <v>225</v>
      </c>
      <c r="L213" s="32" t="s">
        <v>223</v>
      </c>
      <c r="M213" s="33" t="s">
        <v>224</v>
      </c>
    </row>
    <row r="214" spans="1:13" ht="20.25" customHeight="1" x14ac:dyDescent="0.25">
      <c r="A214" s="22" t="s">
        <v>70</v>
      </c>
      <c r="B214" s="23">
        <v>1089</v>
      </c>
      <c r="C214" s="24">
        <v>1779</v>
      </c>
      <c r="D214" s="25">
        <v>1779</v>
      </c>
      <c r="E214" s="26">
        <v>0</v>
      </c>
      <c r="F214" s="27">
        <v>0</v>
      </c>
      <c r="G214" s="28">
        <v>0</v>
      </c>
      <c r="H214" s="23">
        <v>0</v>
      </c>
      <c r="I214" s="29">
        <v>0</v>
      </c>
      <c r="J214" s="30">
        <f>'Mise A Jour BDD'!$A$12*100</f>
        <v>88.660000000000011</v>
      </c>
      <c r="K214" s="31" t="s">
        <v>225</v>
      </c>
      <c r="L214" s="32" t="s">
        <v>223</v>
      </c>
      <c r="M214" s="33" t="s">
        <v>224</v>
      </c>
    </row>
    <row r="215" spans="1:13" ht="20.25" customHeight="1" x14ac:dyDescent="0.25">
      <c r="A215" s="22" t="s">
        <v>69</v>
      </c>
      <c r="B215" s="23">
        <v>1079</v>
      </c>
      <c r="C215" s="24">
        <v>1769</v>
      </c>
      <c r="D215" s="25">
        <v>1769</v>
      </c>
      <c r="E215" s="26">
        <v>0</v>
      </c>
      <c r="F215" s="27">
        <v>0</v>
      </c>
      <c r="G215" s="28">
        <v>0</v>
      </c>
      <c r="H215" s="23">
        <v>0</v>
      </c>
      <c r="I215" s="29">
        <v>0</v>
      </c>
      <c r="J215" s="30">
        <f>'Mise A Jour BDD'!$A$12*100</f>
        <v>88.660000000000011</v>
      </c>
      <c r="K215" s="31" t="s">
        <v>225</v>
      </c>
      <c r="L215" s="32" t="s">
        <v>223</v>
      </c>
      <c r="M215" s="33" t="s">
        <v>224</v>
      </c>
    </row>
    <row r="216" spans="1:13" ht="20.25" customHeight="1" x14ac:dyDescent="0.25">
      <c r="A216" s="22" t="s">
        <v>66</v>
      </c>
      <c r="B216" s="23">
        <v>1052</v>
      </c>
      <c r="C216" s="24">
        <v>1760</v>
      </c>
      <c r="D216" s="25">
        <v>1760</v>
      </c>
      <c r="E216" s="26">
        <v>0</v>
      </c>
      <c r="F216" s="27">
        <v>0</v>
      </c>
      <c r="G216" s="28">
        <v>0</v>
      </c>
      <c r="H216" s="23">
        <v>0</v>
      </c>
      <c r="I216" s="29">
        <v>0</v>
      </c>
      <c r="J216" s="30">
        <f>'Mise A Jour BDD'!$A$12*80</f>
        <v>70.927999999999997</v>
      </c>
      <c r="K216" s="31" t="s">
        <v>225</v>
      </c>
      <c r="L216" s="32" t="s">
        <v>223</v>
      </c>
      <c r="M216" s="33" t="s">
        <v>226</v>
      </c>
    </row>
    <row r="217" spans="1:13" ht="20.25" customHeight="1" x14ac:dyDescent="0.25">
      <c r="A217" s="22" t="s">
        <v>71</v>
      </c>
      <c r="B217" s="23">
        <v>1463</v>
      </c>
      <c r="C217" s="24">
        <v>2344</v>
      </c>
      <c r="D217" s="25">
        <v>2344</v>
      </c>
      <c r="E217" s="26">
        <v>2744</v>
      </c>
      <c r="F217" s="27">
        <v>1723</v>
      </c>
      <c r="G217" s="28">
        <v>1763</v>
      </c>
      <c r="H217" s="23">
        <v>2744</v>
      </c>
      <c r="I217" s="29">
        <v>0</v>
      </c>
      <c r="J217" s="30">
        <f>'Mise A Jour BDD'!$A$12*80</f>
        <v>70.927999999999997</v>
      </c>
      <c r="K217" s="31" t="s">
        <v>225</v>
      </c>
      <c r="L217" s="32" t="s">
        <v>223</v>
      </c>
      <c r="M217" s="33" t="s">
        <v>226</v>
      </c>
    </row>
    <row r="218" spans="1:13" ht="20.25" customHeight="1" x14ac:dyDescent="0.25">
      <c r="A218" s="22" t="s">
        <v>70</v>
      </c>
      <c r="B218" s="23">
        <v>1067</v>
      </c>
      <c r="C218" s="24">
        <v>1775</v>
      </c>
      <c r="D218" s="25">
        <v>1775</v>
      </c>
      <c r="E218" s="26">
        <v>0</v>
      </c>
      <c r="F218" s="27">
        <v>0</v>
      </c>
      <c r="G218" s="28">
        <v>0</v>
      </c>
      <c r="H218" s="23">
        <v>0</v>
      </c>
      <c r="I218" s="29">
        <v>0</v>
      </c>
      <c r="J218" s="30">
        <f>'Mise A Jour BDD'!$A$12*80</f>
        <v>70.927999999999997</v>
      </c>
      <c r="K218" s="31" t="s">
        <v>225</v>
      </c>
      <c r="L218" s="32" t="s">
        <v>223</v>
      </c>
      <c r="M218" s="33" t="s">
        <v>226</v>
      </c>
    </row>
    <row r="219" spans="1:13" ht="20.25" customHeight="1" x14ac:dyDescent="0.25">
      <c r="A219" s="22" t="s">
        <v>69</v>
      </c>
      <c r="B219" s="23">
        <v>1057</v>
      </c>
      <c r="C219" s="24">
        <v>1765</v>
      </c>
      <c r="D219" s="25">
        <v>1765</v>
      </c>
      <c r="E219" s="26">
        <v>0</v>
      </c>
      <c r="F219" s="27">
        <v>0</v>
      </c>
      <c r="G219" s="28">
        <v>0</v>
      </c>
      <c r="H219" s="23">
        <v>0</v>
      </c>
      <c r="I219" s="29">
        <v>0</v>
      </c>
      <c r="J219" s="30">
        <f>'Mise A Jour BDD'!$A$12*80</f>
        <v>70.927999999999997</v>
      </c>
      <c r="K219" s="31" t="s">
        <v>225</v>
      </c>
      <c r="L219" s="32" t="s">
        <v>223</v>
      </c>
      <c r="M219" s="33" t="s">
        <v>226</v>
      </c>
    </row>
    <row r="220" spans="1:13" ht="20.25" customHeight="1" x14ac:dyDescent="0.25">
      <c r="A220" s="36" t="s">
        <v>70</v>
      </c>
      <c r="B220" s="23"/>
      <c r="C220" s="24"/>
      <c r="D220" s="25"/>
      <c r="E220" s="26">
        <v>0</v>
      </c>
      <c r="F220" s="27">
        <v>0</v>
      </c>
      <c r="G220" s="28">
        <v>0</v>
      </c>
      <c r="H220" s="23">
        <v>0</v>
      </c>
      <c r="I220" s="29"/>
      <c r="J220" s="30"/>
      <c r="K220" s="37" t="s">
        <v>227</v>
      </c>
      <c r="L220" s="38" t="s">
        <v>228</v>
      </c>
      <c r="M220" s="39" t="s">
        <v>229</v>
      </c>
    </row>
    <row r="221" spans="1:13" ht="20.25" customHeight="1" x14ac:dyDescent="0.25">
      <c r="A221" s="36" t="s">
        <v>69</v>
      </c>
      <c r="B221" s="23"/>
      <c r="C221" s="24"/>
      <c r="D221" s="25"/>
      <c r="E221" s="26">
        <v>0</v>
      </c>
      <c r="F221" s="27">
        <v>0</v>
      </c>
      <c r="G221" s="28">
        <v>0</v>
      </c>
      <c r="H221" s="23">
        <v>0</v>
      </c>
      <c r="I221" s="29"/>
      <c r="J221" s="30"/>
      <c r="K221" s="37" t="s">
        <v>227</v>
      </c>
      <c r="L221" s="38" t="s">
        <v>228</v>
      </c>
      <c r="M221" s="39" t="s">
        <v>229</v>
      </c>
    </row>
    <row r="222" spans="1:13" ht="20.25" customHeight="1" x14ac:dyDescent="0.25">
      <c r="A222" s="22" t="s">
        <v>66</v>
      </c>
      <c r="B222" s="23">
        <f>'Mise A Jour BDD'!$A$12*1567</f>
        <v>1389.3022000000001</v>
      </c>
      <c r="C222" s="34">
        <f>'Mise A Jour BDD'!$A$12*2257</f>
        <v>2001.0562000000002</v>
      </c>
      <c r="D222" s="35">
        <f>'Mise A Jour BDD'!$A$12*3032</f>
        <v>2688.1712000000002</v>
      </c>
      <c r="E222" s="26">
        <v>0</v>
      </c>
      <c r="F222" s="27">
        <v>0</v>
      </c>
      <c r="G222" s="28">
        <v>0</v>
      </c>
      <c r="H222" s="23">
        <v>0</v>
      </c>
      <c r="I222" s="29">
        <v>0</v>
      </c>
      <c r="J222" s="30">
        <f>'Mise A Jour BDD'!$A$12*200</f>
        <v>177.32000000000002</v>
      </c>
      <c r="K222" s="31" t="s">
        <v>230</v>
      </c>
      <c r="L222" s="32" t="s">
        <v>231</v>
      </c>
      <c r="M222" s="33" t="s">
        <v>232</v>
      </c>
    </row>
    <row r="223" spans="1:13" ht="20.25" customHeight="1" x14ac:dyDescent="0.25">
      <c r="A223" s="22" t="s">
        <v>71</v>
      </c>
      <c r="B223" s="23">
        <f>'Mise A Jour BDD'!$A$12*1205</f>
        <v>1068.3530000000001</v>
      </c>
      <c r="C223" s="24">
        <f>'Mise A Jour BDD'!$A$12*1601</f>
        <v>1419.4466</v>
      </c>
      <c r="D223" s="25">
        <v>1626</v>
      </c>
      <c r="E223" s="26">
        <v>0</v>
      </c>
      <c r="F223" s="27">
        <v>0</v>
      </c>
      <c r="G223" s="28">
        <v>0</v>
      </c>
      <c r="H223" s="23">
        <v>0</v>
      </c>
      <c r="I223" s="29">
        <v>0</v>
      </c>
      <c r="J223" s="30">
        <f>'Mise A Jour BDD'!$A$12*200</f>
        <v>177.32000000000002</v>
      </c>
      <c r="K223" s="31" t="s">
        <v>230</v>
      </c>
      <c r="L223" s="32" t="s">
        <v>231</v>
      </c>
      <c r="M223" s="33" t="s">
        <v>232</v>
      </c>
    </row>
    <row r="224" spans="1:13" ht="20.25" customHeight="1" x14ac:dyDescent="0.25">
      <c r="A224" s="22" t="s">
        <v>70</v>
      </c>
      <c r="B224" s="23">
        <f>'Mise A Jour BDD'!$A$12*1584</f>
        <v>1404.3744000000002</v>
      </c>
      <c r="C224" s="34">
        <f>'Mise A Jour BDD'!$A$12*2274</f>
        <v>2016.1284000000001</v>
      </c>
      <c r="D224" s="35">
        <f>'Mise A Jour BDD'!$A$12*2299</f>
        <v>2038.2934</v>
      </c>
      <c r="E224" s="26">
        <v>0</v>
      </c>
      <c r="F224" s="27">
        <v>0</v>
      </c>
      <c r="G224" s="28">
        <v>0</v>
      </c>
      <c r="H224" s="23">
        <v>0</v>
      </c>
      <c r="I224" s="29">
        <v>0</v>
      </c>
      <c r="J224" s="30">
        <f>'Mise A Jour BDD'!$A$12*200</f>
        <v>177.32000000000002</v>
      </c>
      <c r="K224" s="31" t="s">
        <v>230</v>
      </c>
      <c r="L224" s="32" t="s">
        <v>231</v>
      </c>
      <c r="M224" s="33" t="s">
        <v>232</v>
      </c>
    </row>
    <row r="225" spans="1:13" ht="20.25" customHeight="1" x14ac:dyDescent="0.25">
      <c r="A225" s="22" t="s">
        <v>69</v>
      </c>
      <c r="B225" s="23">
        <f>'Mise A Jour BDD'!$A$12*1573</f>
        <v>1394.6218000000001</v>
      </c>
      <c r="C225" s="34">
        <f>'Mise A Jour BDD'!$A$12*2262</f>
        <v>2005.4892000000002</v>
      </c>
      <c r="D225" s="35">
        <f>'Mise A Jour BDD'!$A$12*2287</f>
        <v>2027.6542000000002</v>
      </c>
      <c r="E225" s="26">
        <v>0</v>
      </c>
      <c r="F225" s="27">
        <v>0</v>
      </c>
      <c r="G225" s="28">
        <v>0</v>
      </c>
      <c r="H225" s="23">
        <v>0</v>
      </c>
      <c r="I225" s="29">
        <v>0</v>
      </c>
      <c r="J225" s="30">
        <f>'Mise A Jour BDD'!$A$12*200</f>
        <v>177.32000000000002</v>
      </c>
      <c r="K225" s="31" t="s">
        <v>230</v>
      </c>
      <c r="L225" s="32" t="s">
        <v>231</v>
      </c>
      <c r="M225" s="33" t="s">
        <v>232</v>
      </c>
    </row>
    <row r="226" spans="1:13" ht="20.25" customHeight="1" x14ac:dyDescent="0.25">
      <c r="A226" s="22" t="s">
        <v>66</v>
      </c>
      <c r="B226" s="23">
        <v>1626</v>
      </c>
      <c r="C226" s="24">
        <v>2569</v>
      </c>
      <c r="D226" s="25">
        <v>2569</v>
      </c>
      <c r="E226" s="26">
        <v>0</v>
      </c>
      <c r="F226" s="27">
        <v>0</v>
      </c>
      <c r="G226" s="28">
        <v>0</v>
      </c>
      <c r="H226" s="23">
        <v>0</v>
      </c>
      <c r="I226" s="29">
        <f>'Mise A Jour BDD'!$A$12*32</f>
        <v>28.371200000000002</v>
      </c>
      <c r="J226" s="30">
        <f>'Mise A Jour BDD'!$A$12*160</f>
        <v>141.85599999999999</v>
      </c>
      <c r="K226" s="31" t="s">
        <v>233</v>
      </c>
      <c r="L226" s="32" t="s">
        <v>234</v>
      </c>
      <c r="M226" s="33" t="s">
        <v>235</v>
      </c>
    </row>
    <row r="227" spans="1:13" ht="20.25" customHeight="1" x14ac:dyDescent="0.25">
      <c r="A227" s="22" t="s">
        <v>71</v>
      </c>
      <c r="B227" s="23">
        <v>1440</v>
      </c>
      <c r="C227" s="24">
        <v>1768</v>
      </c>
      <c r="D227" s="25">
        <v>1670</v>
      </c>
      <c r="E227" s="26">
        <v>2168</v>
      </c>
      <c r="F227" s="27">
        <v>1740</v>
      </c>
      <c r="G227" s="28">
        <v>1740</v>
      </c>
      <c r="H227" s="23">
        <v>2168</v>
      </c>
      <c r="I227" s="29">
        <f>'Mise A Jour BDD'!$A$12*32</f>
        <v>28.371200000000002</v>
      </c>
      <c r="J227" s="30">
        <f>'Mise A Jour BDD'!$A$12*160</f>
        <v>141.85599999999999</v>
      </c>
      <c r="K227" s="31" t="s">
        <v>233</v>
      </c>
      <c r="L227" s="32" t="s">
        <v>234</v>
      </c>
      <c r="M227" s="33" t="s">
        <v>235</v>
      </c>
    </row>
    <row r="228" spans="1:13" ht="20.25" customHeight="1" x14ac:dyDescent="0.25">
      <c r="A228" s="22" t="s">
        <v>70</v>
      </c>
      <c r="B228" s="23">
        <v>1641</v>
      </c>
      <c r="C228" s="24">
        <v>2584</v>
      </c>
      <c r="D228" s="25">
        <v>2584</v>
      </c>
      <c r="E228" s="26">
        <v>0</v>
      </c>
      <c r="F228" s="27">
        <v>0</v>
      </c>
      <c r="G228" s="28">
        <v>0</v>
      </c>
      <c r="H228" s="23">
        <v>0</v>
      </c>
      <c r="I228" s="29">
        <f>'Mise A Jour BDD'!$A$12*32</f>
        <v>28.371200000000002</v>
      </c>
      <c r="J228" s="30">
        <f>'Mise A Jour BDD'!$A$12*160</f>
        <v>141.85599999999999</v>
      </c>
      <c r="K228" s="31" t="s">
        <v>233</v>
      </c>
      <c r="L228" s="32" t="s">
        <v>234</v>
      </c>
      <c r="M228" s="33" t="s">
        <v>235</v>
      </c>
    </row>
    <row r="229" spans="1:13" ht="20.25" customHeight="1" x14ac:dyDescent="0.25">
      <c r="A229" s="22" t="s">
        <v>69</v>
      </c>
      <c r="B229" s="23">
        <v>1631</v>
      </c>
      <c r="C229" s="24">
        <v>2574</v>
      </c>
      <c r="D229" s="25">
        <v>2574</v>
      </c>
      <c r="E229" s="26">
        <v>0</v>
      </c>
      <c r="F229" s="27">
        <v>0</v>
      </c>
      <c r="G229" s="28">
        <v>0</v>
      </c>
      <c r="H229" s="23">
        <v>0</v>
      </c>
      <c r="I229" s="29">
        <f>'Mise A Jour BDD'!$A$12*32</f>
        <v>28.371200000000002</v>
      </c>
      <c r="J229" s="30">
        <f>'Mise A Jour BDD'!$A$12*160</f>
        <v>141.85599999999999</v>
      </c>
      <c r="K229" s="31" t="s">
        <v>233</v>
      </c>
      <c r="L229" s="32" t="s">
        <v>234</v>
      </c>
      <c r="M229" s="33" t="s">
        <v>235</v>
      </c>
    </row>
    <row r="230" spans="1:13" ht="20.25" customHeight="1" x14ac:dyDescent="0.25">
      <c r="A230" s="22" t="s">
        <v>66</v>
      </c>
      <c r="B230" s="23">
        <v>1172</v>
      </c>
      <c r="C230" s="34">
        <v>1607</v>
      </c>
      <c r="D230" s="35">
        <v>1607</v>
      </c>
      <c r="E230" s="26">
        <v>0</v>
      </c>
      <c r="F230" s="27">
        <v>0</v>
      </c>
      <c r="G230" s="28">
        <v>0</v>
      </c>
      <c r="H230" s="23">
        <v>0</v>
      </c>
      <c r="I230" s="29">
        <v>0</v>
      </c>
      <c r="J230" s="30">
        <f>'Mise A Jour BDD'!$A$12*170</f>
        <v>150.72200000000001</v>
      </c>
      <c r="K230" s="31" t="s">
        <v>227</v>
      </c>
      <c r="L230" s="32" t="s">
        <v>228</v>
      </c>
      <c r="M230" s="33" t="s">
        <v>236</v>
      </c>
    </row>
    <row r="231" spans="1:13" ht="20.25" customHeight="1" x14ac:dyDescent="0.25">
      <c r="A231" s="22" t="s">
        <v>71</v>
      </c>
      <c r="B231" s="23">
        <v>1327</v>
      </c>
      <c r="C231" s="24">
        <v>1912</v>
      </c>
      <c r="D231" s="25">
        <v>1912</v>
      </c>
      <c r="E231" s="26">
        <v>0</v>
      </c>
      <c r="F231" s="27">
        <v>0</v>
      </c>
      <c r="G231" s="28">
        <v>0</v>
      </c>
      <c r="H231" s="23">
        <v>0</v>
      </c>
      <c r="I231" s="29">
        <v>0</v>
      </c>
      <c r="J231" s="30">
        <f>'Mise A Jour BDD'!$A$12*170</f>
        <v>150.72200000000001</v>
      </c>
      <c r="K231" s="31" t="s">
        <v>227</v>
      </c>
      <c r="L231" s="32" t="s">
        <v>228</v>
      </c>
      <c r="M231" s="33" t="s">
        <v>236</v>
      </c>
    </row>
    <row r="232" spans="1:13" ht="20.25" customHeight="1" x14ac:dyDescent="0.25">
      <c r="A232" s="22" t="s">
        <v>70</v>
      </c>
      <c r="B232" s="23">
        <v>1087</v>
      </c>
      <c r="C232" s="34">
        <v>1472</v>
      </c>
      <c r="D232" s="35">
        <v>1472</v>
      </c>
      <c r="E232" s="26">
        <v>0</v>
      </c>
      <c r="F232" s="27">
        <v>0</v>
      </c>
      <c r="G232" s="28">
        <v>0</v>
      </c>
      <c r="H232" s="23">
        <v>0</v>
      </c>
      <c r="I232" s="29">
        <v>0</v>
      </c>
      <c r="J232" s="30">
        <f>'Mise A Jour BDD'!$A$12*170</f>
        <v>150.72200000000001</v>
      </c>
      <c r="K232" s="31" t="s">
        <v>227</v>
      </c>
      <c r="L232" s="32" t="s">
        <v>228</v>
      </c>
      <c r="M232" s="33" t="s">
        <v>236</v>
      </c>
    </row>
    <row r="233" spans="1:13" ht="20.25" customHeight="1" x14ac:dyDescent="0.25">
      <c r="A233" s="22" t="s">
        <v>69</v>
      </c>
      <c r="B233" s="23">
        <v>1177</v>
      </c>
      <c r="C233" s="34">
        <v>1612</v>
      </c>
      <c r="D233" s="35">
        <v>1612</v>
      </c>
      <c r="E233" s="26">
        <v>0</v>
      </c>
      <c r="F233" s="27">
        <v>0</v>
      </c>
      <c r="G233" s="28">
        <v>0</v>
      </c>
      <c r="H233" s="23">
        <v>0</v>
      </c>
      <c r="I233" s="29">
        <v>0</v>
      </c>
      <c r="J233" s="30">
        <f>'Mise A Jour BDD'!$A$12*170</f>
        <v>150.72200000000001</v>
      </c>
      <c r="K233" s="31" t="s">
        <v>227</v>
      </c>
      <c r="L233" s="32" t="s">
        <v>228</v>
      </c>
      <c r="M233" s="33" t="s">
        <v>236</v>
      </c>
    </row>
    <row r="234" spans="1:13" ht="20.25" customHeight="1" x14ac:dyDescent="0.25">
      <c r="A234" s="22" t="s">
        <v>66</v>
      </c>
      <c r="B234" s="23">
        <v>872</v>
      </c>
      <c r="C234" s="34">
        <v>997</v>
      </c>
      <c r="D234" s="35">
        <v>997</v>
      </c>
      <c r="E234" s="26">
        <v>0</v>
      </c>
      <c r="F234" s="27">
        <v>0</v>
      </c>
      <c r="G234" s="28">
        <v>0</v>
      </c>
      <c r="H234" s="23">
        <v>0</v>
      </c>
      <c r="I234" s="29">
        <v>0</v>
      </c>
      <c r="J234" s="30">
        <f>'Mise A Jour BDD'!$A$12*435</f>
        <v>385.67100000000005</v>
      </c>
      <c r="K234" s="31" t="s">
        <v>227</v>
      </c>
      <c r="L234" s="32" t="s">
        <v>228</v>
      </c>
      <c r="M234" s="33" t="s">
        <v>237</v>
      </c>
    </row>
    <row r="235" spans="1:13" ht="20.25" customHeight="1" x14ac:dyDescent="0.25">
      <c r="A235" s="22" t="s">
        <v>71</v>
      </c>
      <c r="B235" s="23">
        <v>1327</v>
      </c>
      <c r="C235" s="24">
        <v>1777</v>
      </c>
      <c r="D235" s="25">
        <v>1777</v>
      </c>
      <c r="E235" s="26">
        <v>0</v>
      </c>
      <c r="F235" s="27">
        <v>0</v>
      </c>
      <c r="G235" s="28">
        <v>0</v>
      </c>
      <c r="H235" s="23">
        <v>0</v>
      </c>
      <c r="I235" s="29">
        <v>0</v>
      </c>
      <c r="J235" s="30">
        <f>'Mise A Jour BDD'!$A$12*435</f>
        <v>385.67100000000005</v>
      </c>
      <c r="K235" s="31" t="s">
        <v>227</v>
      </c>
      <c r="L235" s="32" t="s">
        <v>228</v>
      </c>
      <c r="M235" s="33" t="s">
        <v>237</v>
      </c>
    </row>
    <row r="236" spans="1:13" ht="20.25" customHeight="1" x14ac:dyDescent="0.25">
      <c r="A236" s="22" t="s">
        <v>70</v>
      </c>
      <c r="B236" s="23">
        <v>888</v>
      </c>
      <c r="C236" s="34">
        <v>1013</v>
      </c>
      <c r="D236" s="35">
        <v>1013</v>
      </c>
      <c r="E236" s="26">
        <v>0</v>
      </c>
      <c r="F236" s="27">
        <v>0</v>
      </c>
      <c r="G236" s="28">
        <v>0</v>
      </c>
      <c r="H236" s="23">
        <v>0</v>
      </c>
      <c r="I236" s="29">
        <v>0</v>
      </c>
      <c r="J236" s="30">
        <f>'Mise A Jour BDD'!$A$12*435</f>
        <v>385.67100000000005</v>
      </c>
      <c r="K236" s="31" t="s">
        <v>227</v>
      </c>
      <c r="L236" s="32" t="s">
        <v>228</v>
      </c>
      <c r="M236" s="33" t="s">
        <v>237</v>
      </c>
    </row>
    <row r="237" spans="1:13" ht="20.25" customHeight="1" x14ac:dyDescent="0.25">
      <c r="A237" s="22" t="s">
        <v>69</v>
      </c>
      <c r="B237" s="23">
        <v>1003</v>
      </c>
      <c r="C237" s="34">
        <f>1150</f>
        <v>1150</v>
      </c>
      <c r="D237" s="35">
        <v>1150</v>
      </c>
      <c r="E237" s="26">
        <v>0</v>
      </c>
      <c r="F237" s="27">
        <v>0</v>
      </c>
      <c r="G237" s="28">
        <v>0</v>
      </c>
      <c r="H237" s="23">
        <v>0</v>
      </c>
      <c r="I237" s="29">
        <v>0</v>
      </c>
      <c r="J237" s="30">
        <f>'Mise A Jour BDD'!$A$12*435</f>
        <v>385.67100000000005</v>
      </c>
      <c r="K237" s="31" t="s">
        <v>227</v>
      </c>
      <c r="L237" s="32" t="s">
        <v>228</v>
      </c>
      <c r="M237" s="33" t="s">
        <v>237</v>
      </c>
    </row>
    <row r="238" spans="1:13" ht="20.25" customHeight="1" x14ac:dyDescent="0.25">
      <c r="A238" s="22" t="s">
        <v>66</v>
      </c>
      <c r="B238" s="23">
        <v>994</v>
      </c>
      <c r="C238" s="34">
        <v>1119</v>
      </c>
      <c r="D238" s="35">
        <v>1119</v>
      </c>
      <c r="E238" s="26">
        <v>0</v>
      </c>
      <c r="F238" s="27">
        <v>0</v>
      </c>
      <c r="G238" s="28">
        <v>0</v>
      </c>
      <c r="H238" s="23">
        <v>0</v>
      </c>
      <c r="I238" s="29">
        <v>0</v>
      </c>
      <c r="J238" s="30">
        <f>'Mise A Jour BDD'!$A$12*345</f>
        <v>305.87700000000001</v>
      </c>
      <c r="K238" s="31" t="s">
        <v>227</v>
      </c>
      <c r="L238" s="32" t="s">
        <v>228</v>
      </c>
      <c r="M238" s="33" t="s">
        <v>238</v>
      </c>
    </row>
    <row r="239" spans="1:13" ht="20.25" customHeight="1" x14ac:dyDescent="0.25">
      <c r="A239" s="22" t="s">
        <v>71</v>
      </c>
      <c r="B239" s="23">
        <v>1248</v>
      </c>
      <c r="C239" s="24">
        <v>1698</v>
      </c>
      <c r="D239" s="25">
        <v>1698</v>
      </c>
      <c r="E239" s="26">
        <v>0</v>
      </c>
      <c r="F239" s="27">
        <v>0</v>
      </c>
      <c r="G239" s="28">
        <v>0</v>
      </c>
      <c r="H239" s="23">
        <v>0</v>
      </c>
      <c r="I239" s="29">
        <v>0</v>
      </c>
      <c r="J239" s="30">
        <f>'Mise A Jour BDD'!$A$12*345</f>
        <v>305.87700000000001</v>
      </c>
      <c r="K239" s="31" t="s">
        <v>227</v>
      </c>
      <c r="L239" s="32" t="s">
        <v>228</v>
      </c>
      <c r="M239" s="33" t="s">
        <v>238</v>
      </c>
    </row>
    <row r="240" spans="1:13" ht="20.25" customHeight="1" x14ac:dyDescent="0.25">
      <c r="A240" s="22" t="s">
        <v>70</v>
      </c>
      <c r="B240" s="23">
        <v>809</v>
      </c>
      <c r="C240" s="34">
        <v>934</v>
      </c>
      <c r="D240" s="35">
        <v>934</v>
      </c>
      <c r="E240" s="26">
        <v>0</v>
      </c>
      <c r="F240" s="27">
        <v>0</v>
      </c>
      <c r="G240" s="28">
        <v>0</v>
      </c>
      <c r="H240" s="23">
        <v>0</v>
      </c>
      <c r="I240" s="29">
        <v>0</v>
      </c>
      <c r="J240" s="30">
        <f>'Mise A Jour BDD'!$A$12*345</f>
        <v>305.87700000000001</v>
      </c>
      <c r="K240" s="31" t="s">
        <v>227</v>
      </c>
      <c r="L240" s="32" t="s">
        <v>228</v>
      </c>
      <c r="M240" s="33" t="s">
        <v>238</v>
      </c>
    </row>
    <row r="241" spans="1:13" ht="20.25" customHeight="1" x14ac:dyDescent="0.25">
      <c r="A241" s="22" t="s">
        <v>69</v>
      </c>
      <c r="B241" s="23">
        <v>924</v>
      </c>
      <c r="C241" s="34">
        <v>1074</v>
      </c>
      <c r="D241" s="35">
        <v>1074</v>
      </c>
      <c r="E241" s="26">
        <v>0</v>
      </c>
      <c r="F241" s="27">
        <v>0</v>
      </c>
      <c r="G241" s="28">
        <v>0</v>
      </c>
      <c r="H241" s="23">
        <v>0</v>
      </c>
      <c r="I241" s="29">
        <v>0</v>
      </c>
      <c r="J241" s="30">
        <f>'Mise A Jour BDD'!$A$12*345</f>
        <v>305.87700000000001</v>
      </c>
      <c r="K241" s="31" t="s">
        <v>227</v>
      </c>
      <c r="L241" s="32" t="s">
        <v>228</v>
      </c>
      <c r="M241" s="33" t="s">
        <v>238</v>
      </c>
    </row>
    <row r="242" spans="1:13" ht="20.25" customHeight="1" x14ac:dyDescent="0.25">
      <c r="A242" s="22" t="s">
        <v>66</v>
      </c>
      <c r="B242" s="23">
        <f>'Mise A Jour BDD'!$A$12*1735</f>
        <v>1538.2510000000002</v>
      </c>
      <c r="C242" s="34">
        <f>'Mise A Jour BDD'!$A$12*2739</f>
        <v>2428.3974000000003</v>
      </c>
      <c r="D242" s="35">
        <f>'Mise A Jour BDD'!$A$12*2739</f>
        <v>2428.3974000000003</v>
      </c>
      <c r="E242" s="26">
        <v>0</v>
      </c>
      <c r="F242" s="27">
        <v>0</v>
      </c>
      <c r="G242" s="28">
        <v>0</v>
      </c>
      <c r="H242" s="23">
        <v>0</v>
      </c>
      <c r="I242" s="29">
        <v>0</v>
      </c>
      <c r="J242" s="30">
        <f>'Mise A Jour BDD'!$A$12*275</f>
        <v>243.81500000000003</v>
      </c>
      <c r="K242" s="31" t="s">
        <v>227</v>
      </c>
      <c r="L242" s="32" t="s">
        <v>228</v>
      </c>
      <c r="M242" s="33" t="s">
        <v>239</v>
      </c>
    </row>
    <row r="243" spans="1:13" ht="20.25" customHeight="1" x14ac:dyDescent="0.25">
      <c r="A243" s="22" t="s">
        <v>71</v>
      </c>
      <c r="B243" s="23">
        <f>'Mise A Jour BDD'!$A$12*1493</f>
        <v>1323.6938</v>
      </c>
      <c r="C243" s="24">
        <f>'Mise A Jour BDD'!$A$12*2452</f>
        <v>2173.9432000000002</v>
      </c>
      <c r="D243" s="25">
        <f>'Mise A Jour BDD'!$A$12*2452</f>
        <v>2173.9432000000002</v>
      </c>
      <c r="E243" s="26">
        <v>0</v>
      </c>
      <c r="F243" s="27">
        <v>0</v>
      </c>
      <c r="G243" s="28">
        <v>0</v>
      </c>
      <c r="H243" s="23">
        <v>0</v>
      </c>
      <c r="I243" s="29">
        <v>0</v>
      </c>
      <c r="J243" s="30">
        <f>'Mise A Jour BDD'!$A$12*275</f>
        <v>243.81500000000003</v>
      </c>
      <c r="K243" s="31" t="s">
        <v>227</v>
      </c>
      <c r="L243" s="32" t="s">
        <v>228</v>
      </c>
      <c r="M243" s="33" t="s">
        <v>239</v>
      </c>
    </row>
    <row r="244" spans="1:13" ht="20.25" customHeight="1" x14ac:dyDescent="0.25">
      <c r="A244" s="22" t="s">
        <v>70</v>
      </c>
      <c r="B244" s="23">
        <f>'Mise A Jour BDD'!$A$12*1752</f>
        <v>1553.3232</v>
      </c>
      <c r="C244" s="34">
        <f>'Mise A Jour BDD'!$A$12*2756</f>
        <v>2443.4696000000004</v>
      </c>
      <c r="D244" s="35">
        <f>'Mise A Jour BDD'!$A$12*2756</f>
        <v>2443.4696000000004</v>
      </c>
      <c r="E244" s="26">
        <v>0</v>
      </c>
      <c r="F244" s="27">
        <v>0</v>
      </c>
      <c r="G244" s="28">
        <v>0</v>
      </c>
      <c r="H244" s="23">
        <v>0</v>
      </c>
      <c r="I244" s="29">
        <v>0</v>
      </c>
      <c r="J244" s="30">
        <f>'Mise A Jour BDD'!$A$12*275</f>
        <v>243.81500000000003</v>
      </c>
      <c r="K244" s="31" t="s">
        <v>227</v>
      </c>
      <c r="L244" s="32" t="s">
        <v>228</v>
      </c>
      <c r="M244" s="33" t="s">
        <v>239</v>
      </c>
    </row>
    <row r="245" spans="1:13" ht="20.25" customHeight="1" x14ac:dyDescent="0.25">
      <c r="A245" s="22" t="s">
        <v>69</v>
      </c>
      <c r="B245" s="23">
        <f>'Mise A Jour BDD'!$A$12*1741</f>
        <v>1543.5706</v>
      </c>
      <c r="C245" s="34">
        <f>'Mise A Jour BDD'!$A$12*2744</f>
        <v>2432.8304000000003</v>
      </c>
      <c r="D245" s="35">
        <f>'Mise A Jour BDD'!$A$12*2744</f>
        <v>2432.8304000000003</v>
      </c>
      <c r="E245" s="26">
        <v>0</v>
      </c>
      <c r="F245" s="27">
        <v>0</v>
      </c>
      <c r="G245" s="28">
        <v>0</v>
      </c>
      <c r="H245" s="23">
        <v>0</v>
      </c>
      <c r="I245" s="29">
        <v>0</v>
      </c>
      <c r="J245" s="30">
        <f>'Mise A Jour BDD'!$A$12*275</f>
        <v>243.81500000000003</v>
      </c>
      <c r="K245" s="31" t="s">
        <v>227</v>
      </c>
      <c r="L245" s="32" t="s">
        <v>228</v>
      </c>
      <c r="M245" s="33" t="s">
        <v>239</v>
      </c>
    </row>
    <row r="246" spans="1:13" ht="20.25" customHeight="1" x14ac:dyDescent="0.25">
      <c r="A246" s="22" t="s">
        <v>66</v>
      </c>
      <c r="B246" s="23">
        <f>'Mise A Jour BDD'!$A$12*1735</f>
        <v>1538.2510000000002</v>
      </c>
      <c r="C246" s="34">
        <f>'Mise A Jour BDD'!$A$12*2739</f>
        <v>2428.3974000000003</v>
      </c>
      <c r="D246" s="35">
        <f>'Mise A Jour BDD'!$A$12*2739</f>
        <v>2428.3974000000003</v>
      </c>
      <c r="E246" s="26">
        <v>0</v>
      </c>
      <c r="F246" s="27">
        <v>0</v>
      </c>
      <c r="G246" s="28">
        <v>0</v>
      </c>
      <c r="H246" s="23">
        <v>0</v>
      </c>
      <c r="I246" s="29">
        <v>0</v>
      </c>
      <c r="J246" s="30">
        <f>'Mise A Jour BDD'!$A$12*270</f>
        <v>239.38200000000001</v>
      </c>
      <c r="K246" s="31" t="s">
        <v>227</v>
      </c>
      <c r="L246" s="32" t="s">
        <v>228</v>
      </c>
      <c r="M246" s="33" t="s">
        <v>240</v>
      </c>
    </row>
    <row r="247" spans="1:13" ht="20.25" customHeight="1" x14ac:dyDescent="0.25">
      <c r="A247" s="22" t="s">
        <v>71</v>
      </c>
      <c r="B247" s="23">
        <f>'Mise A Jour BDD'!$A$12*1493</f>
        <v>1323.6938</v>
      </c>
      <c r="C247" s="24">
        <f>'Mise A Jour BDD'!$A$12*2452</f>
        <v>2173.9432000000002</v>
      </c>
      <c r="D247" s="25">
        <f>'Mise A Jour BDD'!$A$12*2452</f>
        <v>2173.9432000000002</v>
      </c>
      <c r="E247" s="26">
        <v>0</v>
      </c>
      <c r="F247" s="27">
        <v>0</v>
      </c>
      <c r="G247" s="28">
        <v>0</v>
      </c>
      <c r="H247" s="23">
        <v>0</v>
      </c>
      <c r="I247" s="29">
        <v>0</v>
      </c>
      <c r="J247" s="30">
        <f>'Mise A Jour BDD'!$A$12*270</f>
        <v>239.38200000000001</v>
      </c>
      <c r="K247" s="31" t="s">
        <v>227</v>
      </c>
      <c r="L247" s="32" t="s">
        <v>228</v>
      </c>
      <c r="M247" s="33" t="s">
        <v>240</v>
      </c>
    </row>
    <row r="248" spans="1:13" ht="20.25" customHeight="1" x14ac:dyDescent="0.25">
      <c r="A248" s="22" t="s">
        <v>70</v>
      </c>
      <c r="B248" s="23">
        <f>'Mise A Jour BDD'!$A$12*1752</f>
        <v>1553.3232</v>
      </c>
      <c r="C248" s="34">
        <f>'Mise A Jour BDD'!$A$12*2756</f>
        <v>2443.4696000000004</v>
      </c>
      <c r="D248" s="35">
        <f>'Mise A Jour BDD'!$A$12*2756</f>
        <v>2443.4696000000004</v>
      </c>
      <c r="E248" s="26">
        <v>0</v>
      </c>
      <c r="F248" s="27">
        <v>0</v>
      </c>
      <c r="G248" s="28">
        <v>0</v>
      </c>
      <c r="H248" s="23">
        <v>0</v>
      </c>
      <c r="I248" s="29">
        <v>0</v>
      </c>
      <c r="J248" s="30">
        <f>'Mise A Jour BDD'!$A$12*270</f>
        <v>239.38200000000001</v>
      </c>
      <c r="K248" s="31" t="s">
        <v>227</v>
      </c>
      <c r="L248" s="32" t="s">
        <v>228</v>
      </c>
      <c r="M248" s="33" t="s">
        <v>240</v>
      </c>
    </row>
    <row r="249" spans="1:13" ht="20.25" customHeight="1" x14ac:dyDescent="0.25">
      <c r="A249" s="22" t="s">
        <v>69</v>
      </c>
      <c r="B249" s="23">
        <f>'Mise A Jour BDD'!$A$12*1741</f>
        <v>1543.5706</v>
      </c>
      <c r="C249" s="34">
        <f>'Mise A Jour BDD'!$A$12*2744</f>
        <v>2432.8304000000003</v>
      </c>
      <c r="D249" s="35">
        <f>'Mise A Jour BDD'!$A$12*2744</f>
        <v>2432.8304000000003</v>
      </c>
      <c r="E249" s="26">
        <v>0</v>
      </c>
      <c r="F249" s="27">
        <v>0</v>
      </c>
      <c r="G249" s="28">
        <v>0</v>
      </c>
      <c r="H249" s="23">
        <v>0</v>
      </c>
      <c r="I249" s="29">
        <v>0</v>
      </c>
      <c r="J249" s="30">
        <f>'Mise A Jour BDD'!$A$12*270</f>
        <v>239.38200000000001</v>
      </c>
      <c r="K249" s="31" t="s">
        <v>227</v>
      </c>
      <c r="L249" s="32" t="s">
        <v>228</v>
      </c>
      <c r="M249" s="33" t="s">
        <v>240</v>
      </c>
    </row>
    <row r="250" spans="1:13" ht="20.25" customHeight="1" x14ac:dyDescent="0.25">
      <c r="A250" s="22" t="s">
        <v>66</v>
      </c>
      <c r="B250" s="23">
        <f>'Mise A Jour BDD'!$A$12*856</f>
        <v>758.92960000000005</v>
      </c>
      <c r="C250" s="34">
        <f>'Mise A Jour BDD'!$A$12*1105</f>
        <v>979.6930000000001</v>
      </c>
      <c r="D250" s="35">
        <f>'Mise A Jour BDD'!$A$12*1855</f>
        <v>1644.643</v>
      </c>
      <c r="E250" s="26">
        <v>0</v>
      </c>
      <c r="F250" s="27">
        <v>0</v>
      </c>
      <c r="G250" s="28">
        <v>0</v>
      </c>
      <c r="H250" s="23">
        <v>0</v>
      </c>
      <c r="I250" s="29">
        <v>0</v>
      </c>
      <c r="J250" s="30">
        <f>'Mise A Jour BDD'!$A$28*290</f>
        <v>188.5</v>
      </c>
      <c r="K250" s="31" t="s">
        <v>241</v>
      </c>
      <c r="L250" s="32" t="s">
        <v>242</v>
      </c>
      <c r="M250" s="33" t="s">
        <v>241</v>
      </c>
    </row>
    <row r="251" spans="1:13" ht="20.25" customHeight="1" x14ac:dyDescent="0.25">
      <c r="A251" s="22" t="s">
        <v>71</v>
      </c>
      <c r="B251" s="23">
        <f>'Mise A Jour BDD'!$A$12*768</f>
        <v>680.90880000000004</v>
      </c>
      <c r="C251" s="24">
        <f>'Mise A Jour BDD'!$A$12*950</f>
        <v>842.2700000000001</v>
      </c>
      <c r="D251" s="25">
        <f>'Mise A Jour BDD'!$A$12*950</f>
        <v>842.2700000000001</v>
      </c>
      <c r="E251" s="26">
        <v>0</v>
      </c>
      <c r="F251" s="27">
        <v>0</v>
      </c>
      <c r="G251" s="28">
        <v>0</v>
      </c>
      <c r="H251" s="23">
        <v>0</v>
      </c>
      <c r="I251" s="29">
        <v>0</v>
      </c>
      <c r="J251" s="30">
        <f>'Mise A Jour BDD'!$A$28*290</f>
        <v>188.5</v>
      </c>
      <c r="K251" s="31" t="s">
        <v>241</v>
      </c>
      <c r="L251" s="32" t="s">
        <v>242</v>
      </c>
      <c r="M251" s="33" t="s">
        <v>241</v>
      </c>
    </row>
    <row r="252" spans="1:13" ht="20.25" customHeight="1" x14ac:dyDescent="0.25">
      <c r="A252" s="22" t="s">
        <v>70</v>
      </c>
      <c r="B252" s="23">
        <f>'Mise A Jour BDD'!$A$12*873</f>
        <v>774.0018</v>
      </c>
      <c r="C252" s="34">
        <f>'Mise A Jour BDD'!$A$12*1122</f>
        <v>994.76520000000005</v>
      </c>
      <c r="D252" s="35">
        <f>'Mise A Jour BDD'!$A$12*1122</f>
        <v>994.76520000000005</v>
      </c>
      <c r="E252" s="26">
        <v>0</v>
      </c>
      <c r="F252" s="27">
        <v>0</v>
      </c>
      <c r="G252" s="28">
        <v>0</v>
      </c>
      <c r="H252" s="23">
        <v>0</v>
      </c>
      <c r="I252" s="29">
        <v>0</v>
      </c>
      <c r="J252" s="30">
        <f>'Mise A Jour BDD'!$A$28*290</f>
        <v>188.5</v>
      </c>
      <c r="K252" s="31" t="s">
        <v>241</v>
      </c>
      <c r="L252" s="32" t="s">
        <v>242</v>
      </c>
      <c r="M252" s="33" t="s">
        <v>241</v>
      </c>
    </row>
    <row r="253" spans="1:13" ht="20.25" customHeight="1" x14ac:dyDescent="0.25">
      <c r="A253" s="22" t="s">
        <v>69</v>
      </c>
      <c r="B253" s="23">
        <f>'Mise A Jour BDD'!$A$12*861</f>
        <v>763.36260000000004</v>
      </c>
      <c r="C253" s="34">
        <f>'Mise A Jour BDD'!$A$12*1111</f>
        <v>985.01260000000002</v>
      </c>
      <c r="D253" s="35">
        <f>'Mise A Jour BDD'!$A$12*1111</f>
        <v>985.01260000000002</v>
      </c>
      <c r="E253" s="26">
        <v>0</v>
      </c>
      <c r="F253" s="27">
        <v>0</v>
      </c>
      <c r="G253" s="28">
        <v>0</v>
      </c>
      <c r="H253" s="23">
        <v>0</v>
      </c>
      <c r="I253" s="29">
        <v>0</v>
      </c>
      <c r="J253" s="30">
        <f>'Mise A Jour BDD'!$A$28*290</f>
        <v>188.5</v>
      </c>
      <c r="K253" s="31" t="s">
        <v>241</v>
      </c>
      <c r="L253" s="32" t="s">
        <v>242</v>
      </c>
      <c r="M253" s="33" t="s">
        <v>241</v>
      </c>
    </row>
    <row r="254" spans="1:13" ht="20.25" customHeight="1" x14ac:dyDescent="0.25">
      <c r="A254" s="22" t="s">
        <v>66</v>
      </c>
      <c r="B254" s="23">
        <f>'Mise A Jour BDD'!$A$12*1119</f>
        <v>992.10540000000003</v>
      </c>
      <c r="C254" s="24">
        <f>'Mise A Jour BDD'!$A$12*1555</f>
        <v>1378.663</v>
      </c>
      <c r="D254" s="25">
        <f>'Mise A Jour BDD'!$A$12*2305</f>
        <v>2043.6130000000001</v>
      </c>
      <c r="E254" s="26">
        <v>0</v>
      </c>
      <c r="F254" s="27">
        <v>0</v>
      </c>
      <c r="G254" s="28">
        <v>0</v>
      </c>
      <c r="H254" s="23">
        <v>0</v>
      </c>
      <c r="I254" s="29">
        <v>0</v>
      </c>
      <c r="J254" s="30">
        <f>'Mise A Jour BDD'!$A$36*7000</f>
        <v>189</v>
      </c>
      <c r="K254" s="31" t="s">
        <v>243</v>
      </c>
      <c r="L254" s="32" t="s">
        <v>244</v>
      </c>
      <c r="M254" s="33" t="s">
        <v>245</v>
      </c>
    </row>
    <row r="255" spans="1:13" ht="20.25" customHeight="1" x14ac:dyDescent="0.25">
      <c r="A255" s="22" t="s">
        <v>71</v>
      </c>
      <c r="B255" s="23">
        <f>'Mise A Jour BDD'!$A$12*856</f>
        <v>758.92960000000005</v>
      </c>
      <c r="C255" s="24">
        <f>'Mise A Jour BDD'!$A$12*999</f>
        <v>885.71340000000009</v>
      </c>
      <c r="D255" s="25">
        <f>'Mise A Jour BDD'!$A$12*1026</f>
        <v>909.65160000000003</v>
      </c>
      <c r="E255" s="26">
        <v>0</v>
      </c>
      <c r="F255" s="27">
        <v>0</v>
      </c>
      <c r="G255" s="28">
        <v>0</v>
      </c>
      <c r="H255" s="23">
        <v>0</v>
      </c>
      <c r="I255" s="29">
        <v>0</v>
      </c>
      <c r="J255" s="30">
        <f>'Mise A Jour BDD'!$A$36*7000</f>
        <v>189</v>
      </c>
      <c r="K255" s="31" t="s">
        <v>243</v>
      </c>
      <c r="L255" s="32" t="s">
        <v>244</v>
      </c>
      <c r="M255" s="33" t="s">
        <v>245</v>
      </c>
    </row>
    <row r="256" spans="1:13" ht="20.25" customHeight="1" x14ac:dyDescent="0.25">
      <c r="A256" s="22" t="s">
        <v>70</v>
      </c>
      <c r="B256" s="23">
        <f>'Mise A Jour BDD'!$A$12*1136</f>
        <v>1007.1776000000001</v>
      </c>
      <c r="C256" s="24">
        <f>'Mise A Jour BDD'!$A$12*1572</f>
        <v>1393.7352000000001</v>
      </c>
      <c r="D256" s="25">
        <f>'Mise A Jour BDD'!$A$12*1572</f>
        <v>1393.7352000000001</v>
      </c>
      <c r="E256" s="26">
        <v>0</v>
      </c>
      <c r="F256" s="27">
        <v>0</v>
      </c>
      <c r="G256" s="28">
        <v>0</v>
      </c>
      <c r="H256" s="23">
        <v>0</v>
      </c>
      <c r="I256" s="29">
        <v>0</v>
      </c>
      <c r="J256" s="30">
        <f>'Mise A Jour BDD'!$A$36*7000</f>
        <v>189</v>
      </c>
      <c r="K256" s="31" t="s">
        <v>243</v>
      </c>
      <c r="L256" s="32" t="s">
        <v>244</v>
      </c>
      <c r="M256" s="33" t="s">
        <v>245</v>
      </c>
    </row>
    <row r="257" spans="1:13" ht="20.25" customHeight="1" x14ac:dyDescent="0.25">
      <c r="A257" s="22" t="s">
        <v>69</v>
      </c>
      <c r="B257" s="23">
        <f>'Mise A Jour BDD'!$A$12*1125</f>
        <v>997.42500000000007</v>
      </c>
      <c r="C257" s="24">
        <f>'Mise A Jour BDD'!$A$12*1561</f>
        <v>1383.9826</v>
      </c>
      <c r="D257" s="25">
        <f>'Mise A Jour BDD'!$A$12*1561</f>
        <v>1383.9826</v>
      </c>
      <c r="E257" s="26">
        <v>0</v>
      </c>
      <c r="F257" s="27">
        <v>0</v>
      </c>
      <c r="G257" s="28">
        <v>0</v>
      </c>
      <c r="H257" s="23">
        <v>0</v>
      </c>
      <c r="I257" s="29">
        <v>0</v>
      </c>
      <c r="J257" s="30">
        <f>'Mise A Jour BDD'!$A$36*7000</f>
        <v>189</v>
      </c>
      <c r="K257" s="31" t="s">
        <v>243</v>
      </c>
      <c r="L257" s="32" t="s">
        <v>244</v>
      </c>
      <c r="M257" s="33" t="s">
        <v>245</v>
      </c>
    </row>
    <row r="258" spans="1:13" ht="20.25" customHeight="1" x14ac:dyDescent="0.25">
      <c r="A258" s="22" t="s">
        <v>66</v>
      </c>
      <c r="B258" s="23">
        <f>'Mise A Jour BDD'!$A$12*1650</f>
        <v>1462.89</v>
      </c>
      <c r="C258" s="34">
        <f>'Mise A Jour BDD'!$A$12*2950</f>
        <v>2615.4700000000003</v>
      </c>
      <c r="D258" s="35">
        <f>'Mise A Jour BDD'!$A$12*2950</f>
        <v>2615.4700000000003</v>
      </c>
      <c r="E258" s="26">
        <v>0</v>
      </c>
      <c r="F258" s="27">
        <v>0</v>
      </c>
      <c r="G258" s="28">
        <v>0</v>
      </c>
      <c r="H258" s="23">
        <v>0</v>
      </c>
      <c r="I258" s="29">
        <v>0</v>
      </c>
      <c r="J258" s="30">
        <v>0</v>
      </c>
      <c r="K258" s="31" t="s">
        <v>246</v>
      </c>
      <c r="L258" s="32" t="s">
        <v>247</v>
      </c>
      <c r="M258" s="33" t="s">
        <v>248</v>
      </c>
    </row>
    <row r="259" spans="1:13" ht="20.25" customHeight="1" x14ac:dyDescent="0.25">
      <c r="A259" s="22" t="s">
        <v>71</v>
      </c>
      <c r="B259" s="23">
        <f>'Mise A Jour BDD'!$A$12*1400</f>
        <v>1241.24</v>
      </c>
      <c r="C259" s="24">
        <f>'Mise A Jour BDD'!$A$12*2500</f>
        <v>2216.5</v>
      </c>
      <c r="D259" s="25">
        <f>'Mise A Jour BDD'!$A$12*2500</f>
        <v>2216.5</v>
      </c>
      <c r="E259" s="26">
        <v>0</v>
      </c>
      <c r="F259" s="27">
        <v>0</v>
      </c>
      <c r="G259" s="28">
        <v>0</v>
      </c>
      <c r="H259" s="23">
        <v>0</v>
      </c>
      <c r="I259" s="29">
        <v>0</v>
      </c>
      <c r="J259" s="30">
        <v>0</v>
      </c>
      <c r="K259" s="31" t="s">
        <v>246</v>
      </c>
      <c r="L259" s="32" t="s">
        <v>247</v>
      </c>
      <c r="M259" s="33" t="s">
        <v>248</v>
      </c>
    </row>
    <row r="260" spans="1:13" ht="20.25" customHeight="1" x14ac:dyDescent="0.25">
      <c r="A260" s="22" t="s">
        <v>70</v>
      </c>
      <c r="B260" s="23">
        <f>'Mise A Jour BDD'!$A$12*1675</f>
        <v>1485.0550000000001</v>
      </c>
      <c r="C260" s="34">
        <f>'Mise A Jour BDD'!$A$12*3000</f>
        <v>2659.8</v>
      </c>
      <c r="D260" s="35">
        <f>'Mise A Jour BDD'!$A$12*3000</f>
        <v>2659.8</v>
      </c>
      <c r="E260" s="26">
        <v>0</v>
      </c>
      <c r="F260" s="27">
        <v>0</v>
      </c>
      <c r="G260" s="28">
        <v>0</v>
      </c>
      <c r="H260" s="23">
        <v>0</v>
      </c>
      <c r="I260" s="29">
        <v>0</v>
      </c>
      <c r="J260" s="30">
        <v>0</v>
      </c>
      <c r="K260" s="31" t="s">
        <v>246</v>
      </c>
      <c r="L260" s="32" t="s">
        <v>247</v>
      </c>
      <c r="M260" s="33" t="s">
        <v>248</v>
      </c>
    </row>
    <row r="261" spans="1:13" ht="20.25" customHeight="1" x14ac:dyDescent="0.25">
      <c r="A261" s="22" t="s">
        <v>69</v>
      </c>
      <c r="B261" s="23">
        <f>'Mise A Jour BDD'!$A$12*1425</f>
        <v>1263.405</v>
      </c>
      <c r="C261" s="34">
        <f>'Mise A Jour BDD'!$A$12*2550</f>
        <v>2260.83</v>
      </c>
      <c r="D261" s="35">
        <f>'Mise A Jour BDD'!$A$12*2550</f>
        <v>2260.83</v>
      </c>
      <c r="E261" s="26">
        <v>0</v>
      </c>
      <c r="F261" s="27">
        <v>0</v>
      </c>
      <c r="G261" s="28">
        <v>0</v>
      </c>
      <c r="H261" s="23">
        <v>0</v>
      </c>
      <c r="I261" s="29">
        <v>0</v>
      </c>
      <c r="J261" s="30">
        <v>0</v>
      </c>
      <c r="K261" s="31" t="s">
        <v>246</v>
      </c>
      <c r="L261" s="32" t="s">
        <v>247</v>
      </c>
      <c r="M261" s="33" t="s">
        <v>248</v>
      </c>
    </row>
    <row r="262" spans="1:13" ht="20.25" customHeight="1" x14ac:dyDescent="0.25">
      <c r="A262" s="22" t="s">
        <v>66</v>
      </c>
      <c r="B262" s="23">
        <f>'Mise A Jour BDD'!$A$12*895</f>
        <v>793.50700000000006</v>
      </c>
      <c r="C262" s="34">
        <f>'Mise A Jour BDD'!$A$12*1350</f>
        <v>1196.9100000000001</v>
      </c>
      <c r="D262" s="35">
        <f>'Mise A Jour BDD'!$A$12*2114</f>
        <v>1874.2724000000001</v>
      </c>
      <c r="E262" s="26">
        <v>0</v>
      </c>
      <c r="F262" s="27">
        <v>0</v>
      </c>
      <c r="G262" s="28">
        <v>0</v>
      </c>
      <c r="H262" s="23">
        <v>0</v>
      </c>
      <c r="I262" s="29">
        <v>0</v>
      </c>
      <c r="J262" s="30">
        <f>'Mise A Jour BDD'!$A$26*4000</f>
        <v>100</v>
      </c>
      <c r="K262" s="31" t="s">
        <v>249</v>
      </c>
      <c r="L262" s="32" t="s">
        <v>250</v>
      </c>
      <c r="M262" s="33" t="s">
        <v>251</v>
      </c>
    </row>
    <row r="263" spans="1:13" ht="20.25" customHeight="1" x14ac:dyDescent="0.25">
      <c r="A263" s="22" t="s">
        <v>71</v>
      </c>
      <c r="B263" s="23">
        <f>'Mise A Jour BDD'!$A$12*708</f>
        <v>627.71280000000002</v>
      </c>
      <c r="C263" s="34">
        <f>'Mise A Jour BDD'!$A$12*745</f>
        <v>660.51700000000005</v>
      </c>
      <c r="D263" s="35">
        <f>'Mise A Jour BDD'!$A$12*759</f>
        <v>672.92939999999999</v>
      </c>
      <c r="E263" s="26">
        <v>0</v>
      </c>
      <c r="F263" s="27">
        <v>0</v>
      </c>
      <c r="G263" s="28">
        <v>0</v>
      </c>
      <c r="H263" s="23">
        <v>0</v>
      </c>
      <c r="I263" s="29">
        <v>0</v>
      </c>
      <c r="J263" s="30">
        <f>'Mise A Jour BDD'!$A$26*4000</f>
        <v>100</v>
      </c>
      <c r="K263" s="31" t="s">
        <v>249</v>
      </c>
      <c r="L263" s="32" t="s">
        <v>250</v>
      </c>
      <c r="M263" s="33" t="s">
        <v>251</v>
      </c>
    </row>
    <row r="264" spans="1:13" ht="20.25" customHeight="1" x14ac:dyDescent="0.25">
      <c r="A264" s="22" t="s">
        <v>70</v>
      </c>
      <c r="B264" s="23">
        <f>'Mise A Jour BDD'!$A$12*912</f>
        <v>808.57920000000001</v>
      </c>
      <c r="C264" s="34">
        <f>'Mise A Jour BDD'!$A$12*1367</f>
        <v>1211.9822000000001</v>
      </c>
      <c r="D264" s="35">
        <f>'Mise A Jour BDD'!$A$12*1381</f>
        <v>1224.3946000000001</v>
      </c>
      <c r="E264" s="26">
        <v>0</v>
      </c>
      <c r="F264" s="27">
        <v>0</v>
      </c>
      <c r="G264" s="28">
        <v>0</v>
      </c>
      <c r="H264" s="23">
        <v>0</v>
      </c>
      <c r="I264" s="29">
        <v>0</v>
      </c>
      <c r="J264" s="30">
        <f>'Mise A Jour BDD'!$A$26*4000</f>
        <v>100</v>
      </c>
      <c r="K264" s="31" t="s">
        <v>249</v>
      </c>
      <c r="L264" s="32" t="s">
        <v>250</v>
      </c>
      <c r="M264" s="33" t="s">
        <v>251</v>
      </c>
    </row>
    <row r="265" spans="1:13" ht="20.25" customHeight="1" x14ac:dyDescent="0.25">
      <c r="A265" s="22" t="s">
        <v>69</v>
      </c>
      <c r="B265" s="23">
        <f>'Mise A Jour BDD'!$A$12*901</f>
        <v>798.8266000000001</v>
      </c>
      <c r="C265" s="34">
        <f>'Mise A Jour BDD'!$A$12*1356</f>
        <v>1202.2296000000001</v>
      </c>
      <c r="D265" s="35">
        <f>'Mise A Jour BDD'!$A$12*1370</f>
        <v>1214.6420000000001</v>
      </c>
      <c r="E265" s="26">
        <v>0</v>
      </c>
      <c r="F265" s="27">
        <v>0</v>
      </c>
      <c r="G265" s="28">
        <v>0</v>
      </c>
      <c r="H265" s="23">
        <v>0</v>
      </c>
      <c r="I265" s="29">
        <v>0</v>
      </c>
      <c r="J265" s="30">
        <f>'Mise A Jour BDD'!$A$26*4000</f>
        <v>100</v>
      </c>
      <c r="K265" s="31" t="s">
        <v>249</v>
      </c>
      <c r="L265" s="32" t="s">
        <v>250</v>
      </c>
      <c r="M265" s="33" t="s">
        <v>251</v>
      </c>
    </row>
    <row r="266" spans="1:13" ht="20.25" customHeight="1" x14ac:dyDescent="0.25">
      <c r="A266" s="22" t="s">
        <v>66</v>
      </c>
      <c r="B266" s="23">
        <v>0</v>
      </c>
      <c r="C266" s="34">
        <v>0</v>
      </c>
      <c r="D266" s="35">
        <v>0</v>
      </c>
      <c r="E266" s="26">
        <f>'Mise A Jour BDD'!$A$12*2450</f>
        <v>2172.17</v>
      </c>
      <c r="F266" s="27">
        <f>'Mise A Jour BDD'!$A$12*1615</f>
        <v>1431.8590000000002</v>
      </c>
      <c r="G266" s="28">
        <f>'Mise A Jour BDD'!$A$12*1615</f>
        <v>1431.8590000000002</v>
      </c>
      <c r="H266" s="23">
        <f>'Mise A Jour BDD'!$A$12*2580</f>
        <v>2287.4280000000003</v>
      </c>
      <c r="I266" s="29">
        <f>32*'Mise A Jour BDD'!$A$12</f>
        <v>28.371200000000002</v>
      </c>
      <c r="J266" s="30">
        <f>'Mise A Jour BDD'!$A$12*550</f>
        <v>487.63000000000005</v>
      </c>
      <c r="K266" s="31" t="s">
        <v>252</v>
      </c>
      <c r="L266" s="32" t="s">
        <v>253</v>
      </c>
      <c r="M266" s="33" t="s">
        <v>254</v>
      </c>
    </row>
    <row r="267" spans="1:13" ht="20.25" customHeight="1" x14ac:dyDescent="0.25">
      <c r="A267" s="22" t="s">
        <v>71</v>
      </c>
      <c r="B267" s="23">
        <f>'Mise A Jour BDD'!$A$12*1837</f>
        <v>1628.6842000000001</v>
      </c>
      <c r="C267" s="34">
        <f>'Mise A Jour BDD'!$A$12*2367</f>
        <v>2098.5822000000003</v>
      </c>
      <c r="D267" s="35">
        <f>'Mise A Jour BDD'!$A$12*2367</f>
        <v>2098.5822000000003</v>
      </c>
      <c r="E267" s="26">
        <v>0</v>
      </c>
      <c r="F267" s="27">
        <v>0</v>
      </c>
      <c r="G267" s="28">
        <v>0</v>
      </c>
      <c r="H267" s="23">
        <v>0</v>
      </c>
      <c r="I267" s="29">
        <f>32*'Mise A Jour BDD'!$A$12</f>
        <v>28.371200000000002</v>
      </c>
      <c r="J267" s="30">
        <f>'Mise A Jour BDD'!$A$12*550</f>
        <v>487.63000000000005</v>
      </c>
      <c r="K267" s="31" t="s">
        <v>252</v>
      </c>
      <c r="L267" s="32" t="s">
        <v>253</v>
      </c>
      <c r="M267" s="33" t="s">
        <v>254</v>
      </c>
    </row>
    <row r="268" spans="1:13" ht="20.25" customHeight="1" x14ac:dyDescent="0.25">
      <c r="A268" s="22" t="s">
        <v>70</v>
      </c>
      <c r="B268" s="23">
        <v>0</v>
      </c>
      <c r="C268" s="34">
        <v>0</v>
      </c>
      <c r="D268" s="35">
        <v>0</v>
      </c>
      <c r="E268" s="26">
        <f>'Mise A Jour BDD'!$A$12*3680</f>
        <v>3262.6880000000001</v>
      </c>
      <c r="F268" s="27">
        <f>'Mise A Jour BDD'!$A$12*2815</f>
        <v>2495.779</v>
      </c>
      <c r="G268" s="28">
        <f>'Mise A Jour BDD'!$A$12*2750</f>
        <v>2438.15</v>
      </c>
      <c r="H268" s="23">
        <f>'Mise A Jour BDD'!$A$12*3680</f>
        <v>3262.6880000000001</v>
      </c>
      <c r="I268" s="29">
        <f>32*'Mise A Jour BDD'!$A$12</f>
        <v>28.371200000000002</v>
      </c>
      <c r="J268" s="30">
        <f>'Mise A Jour BDD'!$A$12*550</f>
        <v>487.63000000000005</v>
      </c>
      <c r="K268" s="31" t="s">
        <v>252</v>
      </c>
      <c r="L268" s="32" t="s">
        <v>253</v>
      </c>
      <c r="M268" s="33" t="s">
        <v>254</v>
      </c>
    </row>
    <row r="269" spans="1:13" ht="20.25" customHeight="1" x14ac:dyDescent="0.25">
      <c r="A269" s="22" t="s">
        <v>69</v>
      </c>
      <c r="B269" s="23">
        <v>0</v>
      </c>
      <c r="C269" s="34">
        <v>0</v>
      </c>
      <c r="D269" s="35">
        <v>0</v>
      </c>
      <c r="E269" s="26">
        <f>'Mise A Jour BDD'!$A$12*3680</f>
        <v>3262.6880000000001</v>
      </c>
      <c r="F269" s="27">
        <f>'Mise A Jour BDD'!$A$12*2815</f>
        <v>2495.779</v>
      </c>
      <c r="G269" s="28">
        <f>'Mise A Jour BDD'!$A$12*2815</f>
        <v>2495.779</v>
      </c>
      <c r="H269" s="23">
        <f>'Mise A Jour BDD'!$A$12*3680</f>
        <v>3262.6880000000001</v>
      </c>
      <c r="I269" s="29">
        <f>32*'Mise A Jour BDD'!$A$12</f>
        <v>28.371200000000002</v>
      </c>
      <c r="J269" s="30">
        <f>'Mise A Jour BDD'!$A$12*550</f>
        <v>487.63000000000005</v>
      </c>
      <c r="K269" s="31" t="s">
        <v>252</v>
      </c>
      <c r="L269" s="32" t="s">
        <v>253</v>
      </c>
      <c r="M269" s="33" t="s">
        <v>254</v>
      </c>
    </row>
    <row r="270" spans="1:13" ht="20.25" customHeight="1" x14ac:dyDescent="0.25">
      <c r="A270" s="22" t="s">
        <v>66</v>
      </c>
      <c r="B270" s="23">
        <v>0</v>
      </c>
      <c r="C270" s="34">
        <v>0</v>
      </c>
      <c r="D270" s="35">
        <v>0</v>
      </c>
      <c r="E270" s="26">
        <f>'Mise A Jour BDD'!$A$12*3680</f>
        <v>3262.6880000000001</v>
      </c>
      <c r="F270" s="27">
        <f>'Mise A Jour BDD'!$A$12*2815</f>
        <v>2495.779</v>
      </c>
      <c r="G270" s="28">
        <f>'Mise A Jour BDD'!$A$12*2815</f>
        <v>2495.779</v>
      </c>
      <c r="H270" s="23">
        <f>'Mise A Jour BDD'!$A$12*3680</f>
        <v>3262.6880000000001</v>
      </c>
      <c r="I270" s="29">
        <f>32*'Mise A Jour BDD'!$A$12</f>
        <v>28.371200000000002</v>
      </c>
      <c r="J270" s="30">
        <f>'Mise A Jour BDD'!$A$12*600</f>
        <v>531.96</v>
      </c>
      <c r="K270" s="31" t="s">
        <v>252</v>
      </c>
      <c r="L270" s="32" t="s">
        <v>253</v>
      </c>
      <c r="M270" s="33" t="s">
        <v>255</v>
      </c>
    </row>
    <row r="271" spans="1:13" ht="20.25" customHeight="1" x14ac:dyDescent="0.25">
      <c r="A271" s="22" t="s">
        <v>71</v>
      </c>
      <c r="B271" s="23">
        <f>'Mise A Jour BDD'!$A$12*1827</f>
        <v>1619.8182000000002</v>
      </c>
      <c r="C271" s="34">
        <f>'Mise A Jour BDD'!$A$12*2347</f>
        <v>2080.8502000000003</v>
      </c>
      <c r="D271" s="35">
        <f>'Mise A Jour BDD'!$A$12*2347</f>
        <v>2080.8502000000003</v>
      </c>
      <c r="E271" s="26">
        <v>0</v>
      </c>
      <c r="F271" s="27">
        <v>0</v>
      </c>
      <c r="G271" s="28">
        <v>0</v>
      </c>
      <c r="H271" s="23">
        <v>0</v>
      </c>
      <c r="I271" s="29">
        <f>32*'Mise A Jour BDD'!$A$12</f>
        <v>28.371200000000002</v>
      </c>
      <c r="J271" s="30">
        <f>'Mise A Jour BDD'!$A$12*600</f>
        <v>531.96</v>
      </c>
      <c r="K271" s="31" t="s">
        <v>252</v>
      </c>
      <c r="L271" s="32" t="s">
        <v>253</v>
      </c>
      <c r="M271" s="33" t="s">
        <v>255</v>
      </c>
    </row>
    <row r="272" spans="1:13" ht="20.25" customHeight="1" x14ac:dyDescent="0.25">
      <c r="A272" s="22" t="s">
        <v>70</v>
      </c>
      <c r="B272" s="23">
        <v>0</v>
      </c>
      <c r="C272" s="34">
        <v>0</v>
      </c>
      <c r="D272" s="35">
        <v>0</v>
      </c>
      <c r="E272" s="26">
        <f>'Mise A Jour BDD'!$A$12*3680</f>
        <v>3262.6880000000001</v>
      </c>
      <c r="F272" s="27">
        <f>'Mise A Jour BDD'!$A$12*2815</f>
        <v>2495.779</v>
      </c>
      <c r="G272" s="28">
        <f>'Mise A Jour BDD'!$A$12*2815</f>
        <v>2495.779</v>
      </c>
      <c r="H272" s="23">
        <f>'Mise A Jour BDD'!$A$12*3680</f>
        <v>3262.6880000000001</v>
      </c>
      <c r="I272" s="29">
        <f>32*'Mise A Jour BDD'!$A$12</f>
        <v>28.371200000000002</v>
      </c>
      <c r="J272" s="30">
        <f>'Mise A Jour BDD'!$A$12*600</f>
        <v>531.96</v>
      </c>
      <c r="K272" s="31" t="s">
        <v>252</v>
      </c>
      <c r="L272" s="32" t="s">
        <v>253</v>
      </c>
      <c r="M272" s="33" t="s">
        <v>255</v>
      </c>
    </row>
    <row r="273" spans="1:13" ht="20.25" customHeight="1" x14ac:dyDescent="0.25">
      <c r="A273" s="22" t="s">
        <v>69</v>
      </c>
      <c r="B273" s="23">
        <v>0</v>
      </c>
      <c r="C273" s="34">
        <v>0</v>
      </c>
      <c r="D273" s="35">
        <v>0</v>
      </c>
      <c r="E273" s="26">
        <f>'Mise A Jour BDD'!$A$12*3680</f>
        <v>3262.6880000000001</v>
      </c>
      <c r="F273" s="27">
        <f>'Mise A Jour BDD'!$A$12*2815</f>
        <v>2495.779</v>
      </c>
      <c r="G273" s="28">
        <f>'Mise A Jour BDD'!$A$12*2815</f>
        <v>2495.779</v>
      </c>
      <c r="H273" s="23">
        <f>'Mise A Jour BDD'!$A$12*3680</f>
        <v>3262.6880000000001</v>
      </c>
      <c r="I273" s="29">
        <f>32*'Mise A Jour BDD'!$A$12</f>
        <v>28.371200000000002</v>
      </c>
      <c r="J273" s="30">
        <f>'Mise A Jour BDD'!$A$12*600</f>
        <v>531.96</v>
      </c>
      <c r="K273" s="31" t="s">
        <v>252</v>
      </c>
      <c r="L273" s="32" t="s">
        <v>253</v>
      </c>
      <c r="M273" s="33" t="s">
        <v>255</v>
      </c>
    </row>
    <row r="274" spans="1:13" ht="20.25" customHeight="1" x14ac:dyDescent="0.25">
      <c r="A274" s="22" t="s">
        <v>66</v>
      </c>
      <c r="B274" s="23">
        <v>0</v>
      </c>
      <c r="C274" s="34">
        <v>0</v>
      </c>
      <c r="D274" s="35">
        <v>0</v>
      </c>
      <c r="E274" s="26">
        <f>'Mise A Jour BDD'!$A$12*3451</f>
        <v>3059.6566000000003</v>
      </c>
      <c r="F274" s="27">
        <f>'Mise A Jour BDD'!$A$12*2700</f>
        <v>2393.8200000000002</v>
      </c>
      <c r="G274" s="28">
        <f>'Mise A Jour BDD'!$A$12*3150</f>
        <v>2792.79</v>
      </c>
      <c r="H274" s="23">
        <f>'Mise A Jour BDD'!$A$12*3451</f>
        <v>3059.6566000000003</v>
      </c>
      <c r="I274" s="29">
        <f>32*'Mise A Jour BDD'!$A$12</f>
        <v>28.371200000000002</v>
      </c>
      <c r="J274" s="30">
        <f>'Mise A Jour BDD'!$A$12*600</f>
        <v>531.96</v>
      </c>
      <c r="K274" s="31" t="s">
        <v>252</v>
      </c>
      <c r="L274" s="32" t="s">
        <v>253</v>
      </c>
      <c r="M274" s="33" t="s">
        <v>256</v>
      </c>
    </row>
    <row r="275" spans="1:13" ht="20.25" customHeight="1" x14ac:dyDescent="0.25">
      <c r="A275" s="22" t="s">
        <v>71</v>
      </c>
      <c r="B275" s="23">
        <f>'Mise A Jour BDD'!$A$12*1667</f>
        <v>1477.9622000000002</v>
      </c>
      <c r="C275" s="34">
        <f>'Mise A Jour BDD'!$A$12*2192</f>
        <v>1943.4272000000001</v>
      </c>
      <c r="D275" s="35">
        <f>'Mise A Jour BDD'!$A$12*2192</f>
        <v>1943.4272000000001</v>
      </c>
      <c r="E275" s="26">
        <v>0</v>
      </c>
      <c r="F275" s="27">
        <v>0</v>
      </c>
      <c r="G275" s="28">
        <v>0</v>
      </c>
      <c r="H275" s="23">
        <v>0</v>
      </c>
      <c r="I275" s="29">
        <f>32*'Mise A Jour BDD'!$A$12</f>
        <v>28.371200000000002</v>
      </c>
      <c r="J275" s="30">
        <f>'Mise A Jour BDD'!$A$12*600</f>
        <v>531.96</v>
      </c>
      <c r="K275" s="31" t="s">
        <v>252</v>
      </c>
      <c r="L275" s="32" t="s">
        <v>253</v>
      </c>
      <c r="M275" s="33" t="s">
        <v>256</v>
      </c>
    </row>
    <row r="276" spans="1:13" ht="20.25" customHeight="1" x14ac:dyDescent="0.25">
      <c r="A276" s="22" t="s">
        <v>70</v>
      </c>
      <c r="B276" s="23">
        <v>0</v>
      </c>
      <c r="C276" s="34">
        <v>0</v>
      </c>
      <c r="D276" s="35">
        <v>0</v>
      </c>
      <c r="E276" s="26">
        <f>'Mise A Jour BDD'!$A$12*3451</f>
        <v>3059.6566000000003</v>
      </c>
      <c r="F276" s="27">
        <f>'Mise A Jour BDD'!$A$12*2700</f>
        <v>2393.8200000000002</v>
      </c>
      <c r="G276" s="28">
        <f>'Mise A Jour BDD'!$A$12*2700</f>
        <v>2393.8200000000002</v>
      </c>
      <c r="H276" s="23">
        <f>'Mise A Jour BDD'!$A$12*3451</f>
        <v>3059.6566000000003</v>
      </c>
      <c r="I276" s="29">
        <f>32*'Mise A Jour BDD'!$A$12</f>
        <v>28.371200000000002</v>
      </c>
      <c r="J276" s="30">
        <f>'Mise A Jour BDD'!$A$12*600</f>
        <v>531.96</v>
      </c>
      <c r="K276" s="31" t="s">
        <v>252</v>
      </c>
      <c r="L276" s="32" t="s">
        <v>253</v>
      </c>
      <c r="M276" s="33" t="s">
        <v>256</v>
      </c>
    </row>
    <row r="277" spans="1:13" ht="20.25" customHeight="1" x14ac:dyDescent="0.25">
      <c r="A277" s="22" t="s">
        <v>69</v>
      </c>
      <c r="B277" s="23">
        <v>0</v>
      </c>
      <c r="C277" s="34">
        <v>0</v>
      </c>
      <c r="D277" s="35">
        <v>0</v>
      </c>
      <c r="E277" s="26">
        <f>'Mise A Jour BDD'!$A$12*3451</f>
        <v>3059.6566000000003</v>
      </c>
      <c r="F277" s="27">
        <f>'Mise A Jour BDD'!$A$12*2700</f>
        <v>2393.8200000000002</v>
      </c>
      <c r="G277" s="28">
        <f>'Mise A Jour BDD'!$A$12*2700</f>
        <v>2393.8200000000002</v>
      </c>
      <c r="H277" s="23">
        <f>'Mise A Jour BDD'!$A$12*3451</f>
        <v>3059.6566000000003</v>
      </c>
      <c r="I277" s="29">
        <f>32*'Mise A Jour BDD'!$A$12</f>
        <v>28.371200000000002</v>
      </c>
      <c r="J277" s="30">
        <f>'Mise A Jour BDD'!$A$12*600</f>
        <v>531.96</v>
      </c>
      <c r="K277" s="31" t="s">
        <v>252</v>
      </c>
      <c r="L277" s="32" t="s">
        <v>253</v>
      </c>
      <c r="M277" s="33" t="s">
        <v>256</v>
      </c>
    </row>
    <row r="278" spans="1:13" ht="20.25" customHeight="1" x14ac:dyDescent="0.25">
      <c r="A278" s="22" t="s">
        <v>66</v>
      </c>
      <c r="B278" s="23">
        <v>0</v>
      </c>
      <c r="C278" s="34">
        <v>0</v>
      </c>
      <c r="D278" s="35">
        <v>0</v>
      </c>
      <c r="E278" s="26">
        <f>'Mise A Jour BDD'!$A$12*3748</f>
        <v>3322.9768000000004</v>
      </c>
      <c r="F278" s="27">
        <f>'Mise A Jour BDD'!$A$12*2883</f>
        <v>2556.0678000000003</v>
      </c>
      <c r="G278" s="28">
        <f>'Mise A Jour BDD'!$A$12*2883</f>
        <v>2556.0678000000003</v>
      </c>
      <c r="H278" s="23">
        <f>'Mise A Jour BDD'!$A$12*3748</f>
        <v>3322.9768000000004</v>
      </c>
      <c r="I278" s="29">
        <f>32*'Mise A Jour BDD'!$A$12</f>
        <v>28.371200000000002</v>
      </c>
      <c r="J278" s="30">
        <f>'Mise A Jour BDD'!$A$12*600</f>
        <v>531.96</v>
      </c>
      <c r="K278" s="31" t="s">
        <v>252</v>
      </c>
      <c r="L278" s="32" t="s">
        <v>253</v>
      </c>
      <c r="M278" s="33" t="s">
        <v>257</v>
      </c>
    </row>
    <row r="279" spans="1:13" ht="20.25" customHeight="1" x14ac:dyDescent="0.25">
      <c r="A279" s="22" t="s">
        <v>71</v>
      </c>
      <c r="B279" s="23">
        <f>'Mise A Jour BDD'!$A$12*1840</f>
        <v>1631.3440000000001</v>
      </c>
      <c r="C279" s="34">
        <f>'Mise A Jour BDD'!$A$12*2370</f>
        <v>2101.2420000000002</v>
      </c>
      <c r="D279" s="35">
        <f>'Mise A Jour BDD'!$A$12*2370</f>
        <v>2101.2420000000002</v>
      </c>
      <c r="E279" s="26">
        <v>0</v>
      </c>
      <c r="F279" s="27">
        <v>0</v>
      </c>
      <c r="G279" s="28">
        <v>0</v>
      </c>
      <c r="H279" s="23">
        <v>0</v>
      </c>
      <c r="I279" s="29">
        <f>32*'Mise A Jour BDD'!$A$12</f>
        <v>28.371200000000002</v>
      </c>
      <c r="J279" s="30">
        <f>'Mise A Jour BDD'!$A$12*600</f>
        <v>531.96</v>
      </c>
      <c r="K279" s="31" t="s">
        <v>252</v>
      </c>
      <c r="L279" s="32" t="s">
        <v>253</v>
      </c>
      <c r="M279" s="33" t="s">
        <v>257</v>
      </c>
    </row>
    <row r="280" spans="1:13" ht="20.25" customHeight="1" x14ac:dyDescent="0.25">
      <c r="A280" s="22" t="s">
        <v>70</v>
      </c>
      <c r="B280" s="23">
        <v>0</v>
      </c>
      <c r="C280" s="34">
        <v>0</v>
      </c>
      <c r="D280" s="35">
        <v>0</v>
      </c>
      <c r="E280" s="26">
        <f>'Mise A Jour BDD'!$A$12*3748</f>
        <v>3322.9768000000004</v>
      </c>
      <c r="F280" s="27">
        <f>'Mise A Jour BDD'!$A$12*2883</f>
        <v>2556.0678000000003</v>
      </c>
      <c r="G280" s="28">
        <f>'Mise A Jour BDD'!$A$12*2883</f>
        <v>2556.0678000000003</v>
      </c>
      <c r="H280" s="23">
        <f>'Mise A Jour BDD'!$A$12*3748</f>
        <v>3322.9768000000004</v>
      </c>
      <c r="I280" s="29">
        <f>32*'Mise A Jour BDD'!$A$12</f>
        <v>28.371200000000002</v>
      </c>
      <c r="J280" s="30">
        <f>'Mise A Jour BDD'!$A$12*600</f>
        <v>531.96</v>
      </c>
      <c r="K280" s="31" t="s">
        <v>252</v>
      </c>
      <c r="L280" s="32" t="s">
        <v>253</v>
      </c>
      <c r="M280" s="33" t="s">
        <v>257</v>
      </c>
    </row>
    <row r="281" spans="1:13" ht="20.25" customHeight="1" x14ac:dyDescent="0.25">
      <c r="A281" s="22" t="s">
        <v>69</v>
      </c>
      <c r="B281" s="23">
        <v>0</v>
      </c>
      <c r="C281" s="34">
        <v>0</v>
      </c>
      <c r="D281" s="35">
        <v>0</v>
      </c>
      <c r="E281" s="26">
        <f>'Mise A Jour BDD'!$A$12*3748</f>
        <v>3322.9768000000004</v>
      </c>
      <c r="F281" s="27">
        <f>'Mise A Jour BDD'!$A$12*2883</f>
        <v>2556.0678000000003</v>
      </c>
      <c r="G281" s="28">
        <f>'Mise A Jour BDD'!$A$12*2883</f>
        <v>2556.0678000000003</v>
      </c>
      <c r="H281" s="23">
        <f>'Mise A Jour BDD'!$A$12*3748</f>
        <v>3322.9768000000004</v>
      </c>
      <c r="I281" s="29">
        <f>32*'Mise A Jour BDD'!$A$12</f>
        <v>28.371200000000002</v>
      </c>
      <c r="J281" s="30">
        <f>'Mise A Jour BDD'!$A$12*600</f>
        <v>531.96</v>
      </c>
      <c r="K281" s="31" t="s">
        <v>252</v>
      </c>
      <c r="L281" s="32" t="s">
        <v>253</v>
      </c>
      <c r="M281" s="33" t="s">
        <v>257</v>
      </c>
    </row>
    <row r="282" spans="1:13" ht="20.25" customHeight="1" x14ac:dyDescent="0.25">
      <c r="A282" s="22" t="s">
        <v>66</v>
      </c>
      <c r="B282" s="23">
        <v>0</v>
      </c>
      <c r="C282" s="34">
        <v>0</v>
      </c>
      <c r="D282" s="35">
        <v>0</v>
      </c>
      <c r="E282" s="26">
        <f>'Mise A Jour BDD'!$A$12*3680</f>
        <v>3262.6880000000001</v>
      </c>
      <c r="F282" s="27">
        <f>'Mise A Jour BDD'!$A$12*2815</f>
        <v>2495.779</v>
      </c>
      <c r="G282" s="28">
        <f>'Mise A Jour BDD'!$A$12*2815</f>
        <v>2495.779</v>
      </c>
      <c r="H282" s="23">
        <f>'Mise A Jour BDD'!$A$12*3680</f>
        <v>3262.6880000000001</v>
      </c>
      <c r="I282" s="29">
        <f>32*'Mise A Jour BDD'!$A$12</f>
        <v>28.371200000000002</v>
      </c>
      <c r="J282" s="30">
        <f>'Mise A Jour BDD'!$A$12*600</f>
        <v>531.96</v>
      </c>
      <c r="K282" s="31" t="s">
        <v>252</v>
      </c>
      <c r="L282" s="32" t="s">
        <v>253</v>
      </c>
      <c r="M282" s="33" t="s">
        <v>258</v>
      </c>
    </row>
    <row r="283" spans="1:13" ht="20.25" customHeight="1" x14ac:dyDescent="0.25">
      <c r="A283" s="22" t="s">
        <v>71</v>
      </c>
      <c r="B283" s="23">
        <f>'Mise A Jour BDD'!$A$12*1662</f>
        <v>1473.5292000000002</v>
      </c>
      <c r="C283" s="34">
        <f>'Mise A Jour BDD'!$A$12*2182</f>
        <v>1934.5612000000001</v>
      </c>
      <c r="D283" s="35">
        <f>'Mise A Jour BDD'!$A$12*2182</f>
        <v>1934.5612000000001</v>
      </c>
      <c r="E283" s="26">
        <v>0</v>
      </c>
      <c r="F283" s="27">
        <v>0</v>
      </c>
      <c r="G283" s="28">
        <v>0</v>
      </c>
      <c r="H283" s="23">
        <v>0</v>
      </c>
      <c r="I283" s="29">
        <f>32*'Mise A Jour BDD'!$A$12</f>
        <v>28.371200000000002</v>
      </c>
      <c r="J283" s="30">
        <f>'Mise A Jour BDD'!$A$12*600</f>
        <v>531.96</v>
      </c>
      <c r="K283" s="31" t="s">
        <v>252</v>
      </c>
      <c r="L283" s="32" t="s">
        <v>253</v>
      </c>
      <c r="M283" s="33" t="s">
        <v>258</v>
      </c>
    </row>
    <row r="284" spans="1:13" ht="20.25" customHeight="1" x14ac:dyDescent="0.25">
      <c r="A284" s="22" t="s">
        <v>70</v>
      </c>
      <c r="B284" s="23">
        <v>0</v>
      </c>
      <c r="C284" s="34">
        <v>0</v>
      </c>
      <c r="D284" s="35">
        <v>0</v>
      </c>
      <c r="E284" s="26">
        <f>'Mise A Jour BDD'!$A$12*3680</f>
        <v>3262.6880000000001</v>
      </c>
      <c r="F284" s="27">
        <f>'Mise A Jour BDD'!$A$12*2815</f>
        <v>2495.779</v>
      </c>
      <c r="G284" s="28">
        <f>'Mise A Jour BDD'!$A$12*2815</f>
        <v>2495.779</v>
      </c>
      <c r="H284" s="23">
        <f>'Mise A Jour BDD'!$A$12*3680</f>
        <v>3262.6880000000001</v>
      </c>
      <c r="I284" s="29">
        <f>32*'Mise A Jour BDD'!$A$12</f>
        <v>28.371200000000002</v>
      </c>
      <c r="J284" s="30">
        <f>'Mise A Jour BDD'!$A$12*600</f>
        <v>531.96</v>
      </c>
      <c r="K284" s="31" t="s">
        <v>252</v>
      </c>
      <c r="L284" s="32" t="s">
        <v>253</v>
      </c>
      <c r="M284" s="33" t="s">
        <v>258</v>
      </c>
    </row>
    <row r="285" spans="1:13" ht="20.25" customHeight="1" x14ac:dyDescent="0.25">
      <c r="A285" s="22" t="s">
        <v>69</v>
      </c>
      <c r="B285" s="23">
        <v>0</v>
      </c>
      <c r="C285" s="34">
        <v>0</v>
      </c>
      <c r="D285" s="35">
        <v>0</v>
      </c>
      <c r="E285" s="26">
        <f>'Mise A Jour BDD'!$A$12*3680</f>
        <v>3262.6880000000001</v>
      </c>
      <c r="F285" s="27">
        <f>'Mise A Jour BDD'!$A$12*2815</f>
        <v>2495.779</v>
      </c>
      <c r="G285" s="28">
        <f>'Mise A Jour BDD'!$A$12*2815</f>
        <v>2495.779</v>
      </c>
      <c r="H285" s="23">
        <f>'Mise A Jour BDD'!$A$12*3680</f>
        <v>3262.6880000000001</v>
      </c>
      <c r="I285" s="29">
        <f>32*'Mise A Jour BDD'!$A$12</f>
        <v>28.371200000000002</v>
      </c>
      <c r="J285" s="30">
        <f>'Mise A Jour BDD'!$A$12*600</f>
        <v>531.96</v>
      </c>
      <c r="K285" s="31" t="s">
        <v>252</v>
      </c>
      <c r="L285" s="32" t="s">
        <v>253</v>
      </c>
      <c r="M285" s="33" t="s">
        <v>258</v>
      </c>
    </row>
    <row r="286" spans="1:13" ht="20.25" customHeight="1" x14ac:dyDescent="0.25">
      <c r="A286" s="22" t="s">
        <v>66</v>
      </c>
      <c r="B286" s="23">
        <v>1789</v>
      </c>
      <c r="C286" s="34">
        <v>2733</v>
      </c>
      <c r="D286" s="35">
        <v>2733</v>
      </c>
      <c r="E286" s="26">
        <v>0</v>
      </c>
      <c r="F286" s="27">
        <v>0</v>
      </c>
      <c r="G286" s="28">
        <v>0</v>
      </c>
      <c r="H286" s="23">
        <v>0</v>
      </c>
      <c r="I286" s="29">
        <v>0</v>
      </c>
      <c r="J286" s="30">
        <f>'Mise A Jour BDD'!$A$12*320</f>
        <v>283.71199999999999</v>
      </c>
      <c r="K286" s="31" t="s">
        <v>259</v>
      </c>
      <c r="L286" s="32" t="s">
        <v>260</v>
      </c>
      <c r="M286" s="33" t="s">
        <v>261</v>
      </c>
    </row>
    <row r="287" spans="1:13" ht="20.25" customHeight="1" x14ac:dyDescent="0.25">
      <c r="A287" s="22" t="s">
        <v>71</v>
      </c>
      <c r="B287" s="23">
        <v>1749</v>
      </c>
      <c r="C287" s="34">
        <v>2440</v>
      </c>
      <c r="D287" s="35">
        <v>2440</v>
      </c>
      <c r="E287" s="26">
        <v>3840</v>
      </c>
      <c r="F287" s="27">
        <v>2449</v>
      </c>
      <c r="G287" s="28">
        <v>2149</v>
      </c>
      <c r="H287" s="23">
        <v>3040</v>
      </c>
      <c r="I287" s="29">
        <v>0</v>
      </c>
      <c r="J287" s="30">
        <f>'Mise A Jour BDD'!$A$12*320</f>
        <v>283.71199999999999</v>
      </c>
      <c r="K287" s="31" t="s">
        <v>259</v>
      </c>
      <c r="L287" s="32" t="s">
        <v>260</v>
      </c>
      <c r="M287" s="33" t="s">
        <v>261</v>
      </c>
    </row>
    <row r="288" spans="1:13" ht="20.25" customHeight="1" x14ac:dyDescent="0.25">
      <c r="A288" s="22" t="s">
        <v>70</v>
      </c>
      <c r="B288" s="23">
        <v>1904</v>
      </c>
      <c r="C288" s="34">
        <v>2848</v>
      </c>
      <c r="D288" s="35">
        <v>2848</v>
      </c>
      <c r="E288" s="26">
        <v>0</v>
      </c>
      <c r="F288" s="27">
        <v>0</v>
      </c>
      <c r="G288" s="28">
        <v>0</v>
      </c>
      <c r="H288" s="23">
        <v>0</v>
      </c>
      <c r="I288" s="29">
        <v>0</v>
      </c>
      <c r="J288" s="30">
        <f>'Mise A Jour BDD'!$A$12*320</f>
        <v>283.71199999999999</v>
      </c>
      <c r="K288" s="31" t="s">
        <v>259</v>
      </c>
      <c r="L288" s="32" t="s">
        <v>260</v>
      </c>
      <c r="M288" s="33" t="s">
        <v>261</v>
      </c>
    </row>
    <row r="289" spans="1:13" ht="20.25" customHeight="1" x14ac:dyDescent="0.25">
      <c r="A289" s="22" t="s">
        <v>69</v>
      </c>
      <c r="B289" s="23">
        <v>1894</v>
      </c>
      <c r="C289" s="34">
        <v>2838</v>
      </c>
      <c r="D289" s="35">
        <v>2838</v>
      </c>
      <c r="E289" s="26">
        <v>0</v>
      </c>
      <c r="F289" s="27">
        <v>0</v>
      </c>
      <c r="G289" s="28">
        <v>0</v>
      </c>
      <c r="H289" s="23">
        <v>0</v>
      </c>
      <c r="I289" s="29">
        <v>0</v>
      </c>
      <c r="J289" s="30">
        <f>'Mise A Jour BDD'!$A$12*320</f>
        <v>283.71199999999999</v>
      </c>
      <c r="K289" s="31" t="s">
        <v>259</v>
      </c>
      <c r="L289" s="32" t="s">
        <v>260</v>
      </c>
      <c r="M289" s="33" t="s">
        <v>261</v>
      </c>
    </row>
    <row r="290" spans="1:13" ht="20.25" customHeight="1" x14ac:dyDescent="0.25">
      <c r="A290" s="22" t="s">
        <v>66</v>
      </c>
      <c r="B290" s="23">
        <f>'Mise A Jour BDD'!$A$12*1029</f>
        <v>912.31140000000005</v>
      </c>
      <c r="C290" s="34">
        <f>'Mise A Jour BDD'!$A$12*1566</f>
        <v>1388.4156</v>
      </c>
      <c r="D290" s="35">
        <f>'Mise A Jour BDD'!$A$12*2316</f>
        <v>2053.3656000000001</v>
      </c>
      <c r="E290" s="26">
        <v>0</v>
      </c>
      <c r="F290" s="27">
        <v>0</v>
      </c>
      <c r="G290" s="28">
        <v>0</v>
      </c>
      <c r="H290" s="23">
        <v>0</v>
      </c>
      <c r="I290" s="29">
        <v>0</v>
      </c>
      <c r="J290" s="30">
        <f>'Mise A Jour BDD'!$A$24*2838000</f>
        <v>110.682</v>
      </c>
      <c r="K290" s="31" t="s">
        <v>262</v>
      </c>
      <c r="L290" s="32" t="s">
        <v>263</v>
      </c>
      <c r="M290" s="33" t="s">
        <v>264</v>
      </c>
    </row>
    <row r="291" spans="1:13" ht="20.25" customHeight="1" x14ac:dyDescent="0.25">
      <c r="A291" s="22" t="s">
        <v>71</v>
      </c>
      <c r="B291" s="23">
        <f>'Mise A Jour BDD'!$A$12*817</f>
        <v>724.35220000000004</v>
      </c>
      <c r="C291" s="34">
        <f>'Mise A Jour BDD'!$A$12*1061</f>
        <v>940.68260000000009</v>
      </c>
      <c r="D291" s="35">
        <f>'Mise A Jour BDD'!$A$12*1061</f>
        <v>940.68260000000009</v>
      </c>
      <c r="E291" s="26">
        <v>0</v>
      </c>
      <c r="F291" s="27">
        <v>0</v>
      </c>
      <c r="G291" s="28">
        <v>0</v>
      </c>
      <c r="H291" s="23">
        <v>0</v>
      </c>
      <c r="I291" s="29">
        <v>0</v>
      </c>
      <c r="J291" s="30">
        <f>'Mise A Jour BDD'!$A$24*2838000</f>
        <v>110.682</v>
      </c>
      <c r="K291" s="31" t="s">
        <v>262</v>
      </c>
      <c r="L291" s="32" t="s">
        <v>263</v>
      </c>
      <c r="M291" s="33" t="s">
        <v>264</v>
      </c>
    </row>
    <row r="292" spans="1:13" ht="20.25" customHeight="1" x14ac:dyDescent="0.25">
      <c r="A292" s="22" t="s">
        <v>70</v>
      </c>
      <c r="B292" s="23">
        <f>'Mise A Jour BDD'!$A$12*1046</f>
        <v>927.3836</v>
      </c>
      <c r="C292" s="34">
        <f>'Mise A Jour BDD'!$A$12*1583</f>
        <v>1403.4878000000001</v>
      </c>
      <c r="D292" s="35">
        <f>'Mise A Jour BDD'!$A$12*1583</f>
        <v>1403.4878000000001</v>
      </c>
      <c r="E292" s="26">
        <v>0</v>
      </c>
      <c r="F292" s="27">
        <v>0</v>
      </c>
      <c r="G292" s="28">
        <v>0</v>
      </c>
      <c r="H292" s="23">
        <v>0</v>
      </c>
      <c r="I292" s="29">
        <v>0</v>
      </c>
      <c r="J292" s="30">
        <f>'Mise A Jour BDD'!$A$24*2838000</f>
        <v>110.682</v>
      </c>
      <c r="K292" s="31" t="s">
        <v>262</v>
      </c>
      <c r="L292" s="32" t="s">
        <v>263</v>
      </c>
      <c r="M292" s="33" t="s">
        <v>264</v>
      </c>
    </row>
    <row r="293" spans="1:13" ht="20.25" customHeight="1" x14ac:dyDescent="0.25">
      <c r="A293" s="22" t="s">
        <v>69</v>
      </c>
      <c r="B293" s="23">
        <f>'Mise A Jour BDD'!$A$12*1035</f>
        <v>917.63100000000009</v>
      </c>
      <c r="C293" s="34">
        <f>'Mise A Jour BDD'!$A$12*1572</f>
        <v>1393.7352000000001</v>
      </c>
      <c r="D293" s="35">
        <f>'Mise A Jour BDD'!$A$12*1572</f>
        <v>1393.7352000000001</v>
      </c>
      <c r="E293" s="26">
        <v>0</v>
      </c>
      <c r="F293" s="27">
        <v>0</v>
      </c>
      <c r="G293" s="28">
        <v>0</v>
      </c>
      <c r="H293" s="23">
        <v>0</v>
      </c>
      <c r="I293" s="29">
        <v>0</v>
      </c>
      <c r="J293" s="30">
        <f>'Mise A Jour BDD'!$A$24*2838000</f>
        <v>110.682</v>
      </c>
      <c r="K293" s="31" t="s">
        <v>262</v>
      </c>
      <c r="L293" s="32" t="s">
        <v>263</v>
      </c>
      <c r="M293" s="33" t="s">
        <v>264</v>
      </c>
    </row>
    <row r="294" spans="1:13" ht="20.25" customHeight="1" x14ac:dyDescent="0.25">
      <c r="A294" s="22" t="s">
        <v>66</v>
      </c>
      <c r="B294" s="23">
        <f>'Mise A Jour BDD'!$A$12*929</f>
        <v>823.65140000000008</v>
      </c>
      <c r="C294" s="34">
        <f>'Mise A Jour BDD'!$A$12*1391</f>
        <v>1233.2606000000001</v>
      </c>
      <c r="D294" s="35">
        <f>'Mise A Jour BDD'!$A$12*2141</f>
        <v>1898.2106000000001</v>
      </c>
      <c r="E294" s="26">
        <v>0</v>
      </c>
      <c r="F294" s="27">
        <v>0</v>
      </c>
      <c r="G294" s="28">
        <v>0</v>
      </c>
      <c r="H294" s="23">
        <v>0</v>
      </c>
      <c r="I294" s="29">
        <v>0</v>
      </c>
      <c r="J294" s="30">
        <f>'Mise A Jour BDD'!$A$24*2838000</f>
        <v>110.682</v>
      </c>
      <c r="K294" s="31" t="s">
        <v>262</v>
      </c>
      <c r="L294" s="32" t="s">
        <v>263</v>
      </c>
      <c r="M294" s="33" t="s">
        <v>265</v>
      </c>
    </row>
    <row r="295" spans="1:13" ht="20.25" customHeight="1" x14ac:dyDescent="0.25">
      <c r="A295" s="22" t="s">
        <v>71</v>
      </c>
      <c r="B295" s="23">
        <f>'Mise A Jour BDD'!$A$12*717</f>
        <v>635.69220000000007</v>
      </c>
      <c r="C295" s="34">
        <f>'Mise A Jour BDD'!$A$12*761</f>
        <v>674.70260000000007</v>
      </c>
      <c r="D295" s="35">
        <f>'Mise A Jour BDD'!$A$12*761</f>
        <v>674.70260000000007</v>
      </c>
      <c r="E295" s="26">
        <v>0</v>
      </c>
      <c r="F295" s="27">
        <v>0</v>
      </c>
      <c r="G295" s="28">
        <v>0</v>
      </c>
      <c r="H295" s="23">
        <v>0</v>
      </c>
      <c r="I295" s="29">
        <v>0</v>
      </c>
      <c r="J295" s="30">
        <f>'Mise A Jour BDD'!$A$24*2838000</f>
        <v>110.682</v>
      </c>
      <c r="K295" s="31" t="s">
        <v>262</v>
      </c>
      <c r="L295" s="32" t="s">
        <v>263</v>
      </c>
      <c r="M295" s="33" t="s">
        <v>265</v>
      </c>
    </row>
    <row r="296" spans="1:13" ht="20.25" customHeight="1" x14ac:dyDescent="0.25">
      <c r="A296" s="22" t="s">
        <v>70</v>
      </c>
      <c r="B296" s="23">
        <f>'Mise A Jour BDD'!$A$12*946</f>
        <v>838.72360000000003</v>
      </c>
      <c r="C296" s="34">
        <f>'Mise A Jour BDD'!$A$12*1408</f>
        <v>1248.3328000000001</v>
      </c>
      <c r="D296" s="35">
        <f>'Mise A Jour BDD'!$A$12*1408</f>
        <v>1248.3328000000001</v>
      </c>
      <c r="E296" s="26">
        <v>0</v>
      </c>
      <c r="F296" s="27">
        <v>0</v>
      </c>
      <c r="G296" s="28">
        <v>0</v>
      </c>
      <c r="H296" s="23">
        <v>0</v>
      </c>
      <c r="I296" s="29">
        <v>0</v>
      </c>
      <c r="J296" s="30">
        <f>'Mise A Jour BDD'!$A$24*2838000</f>
        <v>110.682</v>
      </c>
      <c r="K296" s="31" t="s">
        <v>262</v>
      </c>
      <c r="L296" s="32" t="s">
        <v>263</v>
      </c>
      <c r="M296" s="33" t="s">
        <v>265</v>
      </c>
    </row>
    <row r="297" spans="1:13" ht="20.25" customHeight="1" x14ac:dyDescent="0.25">
      <c r="A297" s="22" t="s">
        <v>69</v>
      </c>
      <c r="B297" s="23">
        <f>'Mise A Jour BDD'!$A$12*935</f>
        <v>828.971</v>
      </c>
      <c r="C297" s="34">
        <f>'Mise A Jour BDD'!$A$12*1397</f>
        <v>1238.5802000000001</v>
      </c>
      <c r="D297" s="35">
        <f>'Mise A Jour BDD'!$A$12*1397</f>
        <v>1238.5802000000001</v>
      </c>
      <c r="E297" s="26">
        <v>0</v>
      </c>
      <c r="F297" s="27">
        <v>0</v>
      </c>
      <c r="G297" s="28">
        <v>0</v>
      </c>
      <c r="H297" s="23">
        <v>0</v>
      </c>
      <c r="I297" s="29">
        <v>0</v>
      </c>
      <c r="J297" s="30">
        <f>'Mise A Jour BDD'!$A$24*2838000</f>
        <v>110.682</v>
      </c>
      <c r="K297" s="31" t="s">
        <v>262</v>
      </c>
      <c r="L297" s="32" t="s">
        <v>263</v>
      </c>
      <c r="M297" s="33" t="s">
        <v>265</v>
      </c>
    </row>
    <row r="298" spans="1:13" ht="20.25" customHeight="1" x14ac:dyDescent="0.25">
      <c r="A298" s="22" t="s">
        <v>66</v>
      </c>
      <c r="B298" s="23">
        <f>'Mise A Jour BDD'!$A$12*2723</f>
        <v>2414.2118</v>
      </c>
      <c r="C298" s="34">
        <f>'Mise A Jour BDD'!$A$12*4661</f>
        <v>4132.4426000000003</v>
      </c>
      <c r="D298" s="35">
        <f>'Mise A Jour BDD'!$A$12*4661</f>
        <v>4132.4426000000003</v>
      </c>
      <c r="E298" s="26">
        <v>0</v>
      </c>
      <c r="F298" s="27">
        <v>0</v>
      </c>
      <c r="G298" s="28">
        <v>0</v>
      </c>
      <c r="H298" s="23">
        <v>0</v>
      </c>
      <c r="I298" s="29">
        <v>0</v>
      </c>
      <c r="J298" s="30">
        <v>0</v>
      </c>
      <c r="K298" s="31" t="s">
        <v>266</v>
      </c>
      <c r="L298" s="32" t="s">
        <v>267</v>
      </c>
      <c r="M298" s="33" t="s">
        <v>268</v>
      </c>
    </row>
    <row r="299" spans="1:13" ht="20.25" customHeight="1" x14ac:dyDescent="0.25">
      <c r="A299" s="22" t="s">
        <v>71</v>
      </c>
      <c r="B299" s="23">
        <f>'Mise A Jour BDD'!$A$12*2284</f>
        <v>2024.9944</v>
      </c>
      <c r="C299" s="24">
        <f>'Mise A Jour BDD'!$A$12*3934</f>
        <v>3487.8844000000004</v>
      </c>
      <c r="D299" s="25">
        <f>'Mise A Jour BDD'!$A$12*3934</f>
        <v>3487.8844000000004</v>
      </c>
      <c r="E299" s="26">
        <v>0</v>
      </c>
      <c r="F299" s="27">
        <v>0</v>
      </c>
      <c r="G299" s="28">
        <v>0</v>
      </c>
      <c r="H299" s="23">
        <v>0</v>
      </c>
      <c r="I299" s="29">
        <v>0</v>
      </c>
      <c r="J299" s="30">
        <v>0</v>
      </c>
      <c r="K299" s="31" t="s">
        <v>266</v>
      </c>
      <c r="L299" s="32" t="s">
        <v>267</v>
      </c>
      <c r="M299" s="33" t="s">
        <v>268</v>
      </c>
    </row>
    <row r="300" spans="1:13" ht="20.25" customHeight="1" x14ac:dyDescent="0.25">
      <c r="A300" s="22" t="s">
        <v>70</v>
      </c>
      <c r="B300" s="23">
        <f>'Mise A Jour BDD'!$A$12*2740</f>
        <v>2429.2840000000001</v>
      </c>
      <c r="C300" s="34">
        <f>'Mise A Jour BDD'!$A$12*4678</f>
        <v>4147.5147999999999</v>
      </c>
      <c r="D300" s="35">
        <f>'Mise A Jour BDD'!$A$12*4678</f>
        <v>4147.5147999999999</v>
      </c>
      <c r="E300" s="26">
        <v>0</v>
      </c>
      <c r="F300" s="27">
        <v>0</v>
      </c>
      <c r="G300" s="28">
        <v>0</v>
      </c>
      <c r="H300" s="23">
        <v>0</v>
      </c>
      <c r="I300" s="29">
        <v>0</v>
      </c>
      <c r="J300" s="30">
        <v>0</v>
      </c>
      <c r="K300" s="31" t="s">
        <v>266</v>
      </c>
      <c r="L300" s="32" t="s">
        <v>267</v>
      </c>
      <c r="M300" s="33" t="s">
        <v>268</v>
      </c>
    </row>
    <row r="301" spans="1:13" ht="20.25" customHeight="1" thickBot="1" x14ac:dyDescent="0.3">
      <c r="A301" s="40" t="s">
        <v>69</v>
      </c>
      <c r="B301" s="41">
        <f>'Mise A Jour BDD'!$A$12*2729</f>
        <v>2419.5314000000003</v>
      </c>
      <c r="C301" s="42">
        <f>'Mise A Jour BDD'!$A$12*4667</f>
        <v>4137.7622000000001</v>
      </c>
      <c r="D301" s="43">
        <f>'Mise A Jour BDD'!$A$12*4667</f>
        <v>4137.7622000000001</v>
      </c>
      <c r="E301" s="44">
        <v>0</v>
      </c>
      <c r="F301" s="45">
        <v>0</v>
      </c>
      <c r="G301" s="46">
        <v>0</v>
      </c>
      <c r="H301" s="41">
        <v>0</v>
      </c>
      <c r="I301" s="47">
        <v>0</v>
      </c>
      <c r="J301" s="48">
        <v>0</v>
      </c>
      <c r="K301" s="49" t="s">
        <v>266</v>
      </c>
      <c r="L301" s="50" t="s">
        <v>267</v>
      </c>
      <c r="M301" s="51" t="s">
        <v>268</v>
      </c>
    </row>
    <row r="302" spans="1:13" ht="15.75" thickTop="1" x14ac:dyDescent="0.25"/>
  </sheetData>
  <mergeCells count="2">
    <mergeCell ref="A1:M1"/>
    <mergeCell ref="N58:N7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50"/>
  </sheetPr>
  <dimension ref="A1:B24"/>
  <sheetViews>
    <sheetView workbookViewId="0">
      <selection activeCell="A19" sqref="A19"/>
    </sheetView>
  </sheetViews>
  <sheetFormatPr baseColWidth="10" defaultRowHeight="15" x14ac:dyDescent="0.25"/>
  <cols>
    <col min="1" max="1" width="42" customWidth="1"/>
    <col min="2" max="2" width="15.140625" customWidth="1"/>
    <col min="3" max="4" width="28" bestFit="1" customWidth="1"/>
    <col min="5" max="5" width="24.42578125" customWidth="1"/>
    <col min="6" max="6" width="24.42578125" bestFit="1" customWidth="1"/>
    <col min="7" max="7" width="38.140625" bestFit="1" customWidth="1"/>
    <col min="8" max="8" width="26.85546875" customWidth="1"/>
    <col min="9" max="9" width="38.85546875" bestFit="1" customWidth="1"/>
  </cols>
  <sheetData>
    <row r="1" spans="1:2" x14ac:dyDescent="0.25">
      <c r="A1" s="54" t="s">
        <v>55</v>
      </c>
      <c r="B1" t="s">
        <v>66</v>
      </c>
    </row>
    <row r="2" spans="1:2" x14ac:dyDescent="0.25">
      <c r="A2" s="54" t="s">
        <v>31</v>
      </c>
      <c r="B2" t="s">
        <v>255</v>
      </c>
    </row>
    <row r="4" spans="1:2" ht="14.45" x14ac:dyDescent="0.35">
      <c r="A4" s="54" t="s">
        <v>58</v>
      </c>
    </row>
    <row r="5" spans="1:2" x14ac:dyDescent="0.25">
      <c r="A5" s="52" t="s">
        <v>59</v>
      </c>
      <c r="B5" s="53">
        <v>0</v>
      </c>
    </row>
    <row r="6" spans="1:2" x14ac:dyDescent="0.25">
      <c r="A6" s="52" t="s">
        <v>60</v>
      </c>
      <c r="B6" s="53">
        <v>0</v>
      </c>
    </row>
    <row r="7" spans="1:2" x14ac:dyDescent="0.25">
      <c r="A7" s="52" t="s">
        <v>61</v>
      </c>
      <c r="B7" s="53">
        <v>2495.779</v>
      </c>
    </row>
    <row r="8" spans="1:2" x14ac:dyDescent="0.25">
      <c r="A8" s="52" t="s">
        <v>62</v>
      </c>
      <c r="B8" s="53">
        <v>3262.6880000000001</v>
      </c>
    </row>
    <row r="9" spans="1:2" x14ac:dyDescent="0.25">
      <c r="A9" s="52" t="s">
        <v>63</v>
      </c>
      <c r="B9" s="53">
        <v>2495.779</v>
      </c>
    </row>
    <row r="10" spans="1:2" x14ac:dyDescent="0.25">
      <c r="A10" s="52" t="s">
        <v>64</v>
      </c>
      <c r="B10" s="53">
        <v>3262.6880000000001</v>
      </c>
    </row>
    <row r="11" spans="1:2" x14ac:dyDescent="0.25">
      <c r="A11" s="52" t="s">
        <v>65</v>
      </c>
      <c r="B11" s="53">
        <v>0</v>
      </c>
    </row>
    <row r="12" spans="1:2" x14ac:dyDescent="0.25">
      <c r="A12" s="52" t="s">
        <v>67</v>
      </c>
      <c r="B12" s="53">
        <v>28.371200000000002</v>
      </c>
    </row>
    <row r="13" spans="1:2" x14ac:dyDescent="0.25">
      <c r="A13" s="52" t="s">
        <v>68</v>
      </c>
      <c r="B13" s="53">
        <v>531.96</v>
      </c>
    </row>
    <row r="24" spans="1:1" ht="14.45" x14ac:dyDescent="0.35">
      <c r="A24" t="s">
        <v>292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9900"/>
  </sheetPr>
  <dimension ref="A1:B13"/>
  <sheetViews>
    <sheetView workbookViewId="0">
      <selection activeCell="D29" sqref="D29"/>
    </sheetView>
  </sheetViews>
  <sheetFormatPr baseColWidth="10" defaultRowHeight="15" x14ac:dyDescent="0.25"/>
  <cols>
    <col min="1" max="1" width="42" bestFit="1" customWidth="1"/>
    <col min="2" max="2" width="15.140625" customWidth="1"/>
    <col min="3" max="4" width="30.28515625" customWidth="1"/>
    <col min="5" max="5" width="26.5703125" bestFit="1" customWidth="1"/>
  </cols>
  <sheetData>
    <row r="1" spans="1:2" x14ac:dyDescent="0.25">
      <c r="A1" s="54" t="s">
        <v>55</v>
      </c>
      <c r="B1" t="s">
        <v>66</v>
      </c>
    </row>
    <row r="2" spans="1:2" x14ac:dyDescent="0.25">
      <c r="A2" s="54" t="s">
        <v>31</v>
      </c>
      <c r="B2" t="s">
        <v>255</v>
      </c>
    </row>
    <row r="4" spans="1:2" ht="14.45" x14ac:dyDescent="0.35">
      <c r="A4" s="54" t="s">
        <v>58</v>
      </c>
    </row>
    <row r="5" spans="1:2" x14ac:dyDescent="0.25">
      <c r="A5" s="52" t="s">
        <v>59</v>
      </c>
      <c r="B5" s="53">
        <v>0</v>
      </c>
    </row>
    <row r="6" spans="1:2" x14ac:dyDescent="0.25">
      <c r="A6" s="52" t="s">
        <v>60</v>
      </c>
      <c r="B6" s="53">
        <v>0</v>
      </c>
    </row>
    <row r="7" spans="1:2" x14ac:dyDescent="0.25">
      <c r="A7" s="52" t="s">
        <v>61</v>
      </c>
      <c r="B7" s="53">
        <v>2495.779</v>
      </c>
    </row>
    <row r="8" spans="1:2" x14ac:dyDescent="0.25">
      <c r="A8" s="52" t="s">
        <v>62</v>
      </c>
      <c r="B8" s="53">
        <v>3262.6880000000001</v>
      </c>
    </row>
    <row r="9" spans="1:2" x14ac:dyDescent="0.25">
      <c r="A9" s="52" t="s">
        <v>63</v>
      </c>
      <c r="B9" s="53">
        <v>2495.779</v>
      </c>
    </row>
    <row r="10" spans="1:2" x14ac:dyDescent="0.25">
      <c r="A10" s="52" t="s">
        <v>64</v>
      </c>
      <c r="B10" s="53">
        <v>3262.6880000000001</v>
      </c>
    </row>
    <row r="11" spans="1:2" x14ac:dyDescent="0.25">
      <c r="A11" s="52" t="s">
        <v>65</v>
      </c>
      <c r="B11" s="53">
        <v>0</v>
      </c>
    </row>
    <row r="12" spans="1:2" x14ac:dyDescent="0.25">
      <c r="A12" s="52" t="s">
        <v>67</v>
      </c>
      <c r="B12" s="53">
        <v>28.371200000000002</v>
      </c>
    </row>
    <row r="13" spans="1:2" x14ac:dyDescent="0.25">
      <c r="A13" s="52" t="s">
        <v>68</v>
      </c>
      <c r="B13" s="53">
        <v>531.96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FF00"/>
  </sheetPr>
  <dimension ref="A1:B13"/>
  <sheetViews>
    <sheetView workbookViewId="0">
      <selection activeCell="E27" sqref="E27"/>
    </sheetView>
  </sheetViews>
  <sheetFormatPr baseColWidth="10" defaultRowHeight="15" x14ac:dyDescent="0.25"/>
  <cols>
    <col min="1" max="1" width="42" bestFit="1" customWidth="1"/>
    <col min="2" max="2" width="20.5703125" customWidth="1"/>
    <col min="3" max="4" width="30.28515625" customWidth="1"/>
    <col min="5" max="6" width="26.5703125" customWidth="1"/>
  </cols>
  <sheetData>
    <row r="1" spans="1:2" x14ac:dyDescent="0.25">
      <c r="A1" s="54" t="s">
        <v>55</v>
      </c>
      <c r="B1" t="s">
        <v>71</v>
      </c>
    </row>
    <row r="2" spans="1:2" x14ac:dyDescent="0.25">
      <c r="A2" s="54" t="s">
        <v>31</v>
      </c>
      <c r="B2" t="s">
        <v>94</v>
      </c>
    </row>
    <row r="4" spans="1:2" ht="14.45" x14ac:dyDescent="0.35">
      <c r="A4" s="54" t="s">
        <v>58</v>
      </c>
    </row>
    <row r="5" spans="1:2" x14ac:dyDescent="0.25">
      <c r="A5" s="52" t="s">
        <v>59</v>
      </c>
      <c r="B5" s="53">
        <v>1084.3118000000002</v>
      </c>
    </row>
    <row r="6" spans="1:2" x14ac:dyDescent="0.25">
      <c r="A6" s="52" t="s">
        <v>60</v>
      </c>
      <c r="B6" s="53">
        <v>1368.0238000000002</v>
      </c>
    </row>
    <row r="7" spans="1:2" x14ac:dyDescent="0.25">
      <c r="A7" s="52" t="s">
        <v>61</v>
      </c>
      <c r="B7" s="53">
        <v>0</v>
      </c>
    </row>
    <row r="8" spans="1:2" x14ac:dyDescent="0.25">
      <c r="A8" s="52" t="s">
        <v>62</v>
      </c>
      <c r="B8" s="53">
        <v>0</v>
      </c>
    </row>
    <row r="9" spans="1:2" x14ac:dyDescent="0.25">
      <c r="A9" s="52" t="s">
        <v>63</v>
      </c>
      <c r="B9" s="53">
        <v>0</v>
      </c>
    </row>
    <row r="10" spans="1:2" x14ac:dyDescent="0.25">
      <c r="A10" s="52" t="s">
        <v>64</v>
      </c>
      <c r="B10" s="53">
        <v>0</v>
      </c>
    </row>
    <row r="11" spans="1:2" x14ac:dyDescent="0.25">
      <c r="A11" s="52" t="s">
        <v>65</v>
      </c>
      <c r="B11" s="53">
        <v>1368.0238000000002</v>
      </c>
    </row>
    <row r="12" spans="1:2" x14ac:dyDescent="0.25">
      <c r="A12" s="52" t="s">
        <v>67</v>
      </c>
      <c r="B12" s="53">
        <v>0</v>
      </c>
    </row>
    <row r="13" spans="1:2" x14ac:dyDescent="0.25">
      <c r="A13" s="52" t="s">
        <v>68</v>
      </c>
      <c r="B13" s="5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Utilisateur</vt:lpstr>
      <vt:lpstr>INPUT DATA 2</vt:lpstr>
      <vt:lpstr>CALCUL COUTS</vt:lpstr>
      <vt:lpstr>données</vt:lpstr>
      <vt:lpstr>Mise A Jour BDD</vt:lpstr>
      <vt:lpstr>Données bateau</vt:lpstr>
      <vt:lpstr>tcd marchan</vt:lpstr>
      <vt:lpstr>tcd outil</vt:lpstr>
      <vt:lpstr>tcd transfo</vt:lpstr>
      <vt:lpstr>'Mise A Jour BDD'!Referentiel_de_prix_de_revient</vt:lpstr>
      <vt:lpstr>'Mise A Jour BDD'!Referentiel_prix_de_revient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GASC Guillaume</dc:creator>
  <cp:lastModifiedBy>GASC Guillaume</cp:lastModifiedBy>
  <dcterms:created xsi:type="dcterms:W3CDTF">2016-04-15T13:47:17Z</dcterms:created>
  <dcterms:modified xsi:type="dcterms:W3CDTF">2016-04-26T12:41:46Z</dcterms:modified>
</cp:coreProperties>
</file>