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/>
  <bookViews>
    <workbookView xWindow="14385" yWindow="-15" windowWidth="3600" windowHeight="12000" tabRatio="634"/>
  </bookViews>
  <sheets>
    <sheet name="Priorité de passage" sheetId="16" r:id="rId1"/>
  </sheets>
  <definedNames>
    <definedName name="_xlnm._FilterDatabase" localSheetId="0" hidden="1">'Priorité de passage'!$F$31:$T$55</definedName>
    <definedName name="Compteur">'Priorité de passage'!$A$31:$C$54</definedName>
    <definedName name="Ctrl_roulage">'Priorité de passage'!$F$31:$T$55</definedName>
    <definedName name="table_km">'Priorité de passage'!#REF!</definedName>
    <definedName name="Zone_de_travail">'Priorité de passage'!$A$2:$E$26</definedName>
    <definedName name="Zone_dimpression" localSheetId="0">'Priorité de passage'!$A$2:$N$26</definedName>
  </definedNames>
  <calcPr calcId="125725"/>
</workbook>
</file>

<file path=xl/calcChain.xml><?xml version="1.0" encoding="utf-8"?>
<calcChain xmlns="http://schemas.openxmlformats.org/spreadsheetml/2006/main">
  <c r="G32" i="16"/>
  <c r="H32" s="1"/>
  <c r="K32"/>
  <c r="L32" s="1"/>
  <c r="T32"/>
  <c r="G33"/>
  <c r="H33"/>
  <c r="I33"/>
  <c r="K33"/>
  <c r="L33" s="1"/>
  <c r="T33"/>
  <c r="G34"/>
  <c r="H34" s="1"/>
  <c r="K34"/>
  <c r="L34"/>
  <c r="T34"/>
  <c r="G35"/>
  <c r="H35" s="1"/>
  <c r="K35"/>
  <c r="L35" s="1"/>
  <c r="T35"/>
  <c r="G36"/>
  <c r="H36" s="1"/>
  <c r="K36"/>
  <c r="L36" s="1"/>
  <c r="T36"/>
  <c r="G37"/>
  <c r="H37"/>
  <c r="I37" s="1"/>
  <c r="K37"/>
  <c r="L37" s="1"/>
  <c r="T37"/>
  <c r="G38"/>
  <c r="H38" s="1"/>
  <c r="K38"/>
  <c r="L38"/>
  <c r="T38"/>
  <c r="G39"/>
  <c r="H39"/>
  <c r="I39" s="1"/>
  <c r="K39"/>
  <c r="T39"/>
  <c r="G40"/>
  <c r="H40" s="1"/>
  <c r="K40"/>
  <c r="L40"/>
  <c r="T40"/>
  <c r="G41"/>
  <c r="H41"/>
  <c r="I41" s="1"/>
  <c r="K41"/>
  <c r="L41" s="1"/>
  <c r="T41"/>
  <c r="G42"/>
  <c r="H42" s="1"/>
  <c r="K42"/>
  <c r="L42"/>
  <c r="T42"/>
  <c r="G43"/>
  <c r="H43"/>
  <c r="I43" s="1"/>
  <c r="K43"/>
  <c r="T43"/>
  <c r="G44"/>
  <c r="H44" s="1"/>
  <c r="K44"/>
  <c r="L44" s="1"/>
  <c r="T44"/>
  <c r="G45"/>
  <c r="H45"/>
  <c r="I45" s="1"/>
  <c r="K45"/>
  <c r="L45" s="1"/>
  <c r="T45"/>
  <c r="G46"/>
  <c r="H46" s="1"/>
  <c r="K46"/>
  <c r="L46"/>
  <c r="T46"/>
  <c r="G47"/>
  <c r="H47"/>
  <c r="I47" s="1"/>
  <c r="K47"/>
  <c r="T47"/>
  <c r="G48"/>
  <c r="H48" s="1"/>
  <c r="K48"/>
  <c r="L48" s="1"/>
  <c r="T48"/>
  <c r="G49"/>
  <c r="H49"/>
  <c r="I49" s="1"/>
  <c r="K49"/>
  <c r="L49" s="1"/>
  <c r="T49"/>
  <c r="G50"/>
  <c r="H50" s="1"/>
  <c r="K50"/>
  <c r="L50"/>
  <c r="T50"/>
  <c r="G51"/>
  <c r="H51"/>
  <c r="I51" s="1"/>
  <c r="K51"/>
  <c r="T51"/>
  <c r="G52"/>
  <c r="H52" s="1"/>
  <c r="K52"/>
  <c r="L52"/>
  <c r="T52"/>
  <c r="G53"/>
  <c r="H53"/>
  <c r="I53" s="1"/>
  <c r="K53"/>
  <c r="L53" s="1"/>
  <c r="T53"/>
  <c r="G54"/>
  <c r="H54" s="1"/>
  <c r="K54"/>
  <c r="L54"/>
  <c r="T54"/>
  <c r="G55"/>
  <c r="H55"/>
  <c r="K55"/>
  <c r="L55" s="1"/>
  <c r="T55"/>
  <c r="D6"/>
  <c r="D8"/>
  <c r="D5"/>
  <c r="D4"/>
  <c r="D11"/>
  <c r="D12"/>
  <c r="D7"/>
  <c r="D10"/>
  <c r="D14"/>
  <c r="D13"/>
  <c r="D17"/>
  <c r="D18"/>
  <c r="D16"/>
  <c r="D15"/>
  <c r="D21"/>
  <c r="D19"/>
  <c r="D20"/>
  <c r="D22"/>
  <c r="D23"/>
  <c r="D25"/>
  <c r="D24"/>
  <c r="D26"/>
  <c r="D9"/>
  <c r="D3"/>
  <c r="I44" l="1"/>
  <c r="I52"/>
  <c r="I35"/>
  <c r="I34"/>
  <c r="H57"/>
  <c r="I32"/>
  <c r="I48"/>
  <c r="I46"/>
  <c r="I42"/>
  <c r="I40"/>
  <c r="Q40"/>
  <c r="R40" s="1"/>
  <c r="I38"/>
  <c r="Q38"/>
  <c r="R38" s="1"/>
  <c r="I36"/>
  <c r="Q54"/>
  <c r="R54" s="1"/>
  <c r="I54"/>
  <c r="I50"/>
  <c r="Q50"/>
  <c r="R50" s="1"/>
  <c r="K57"/>
  <c r="I55"/>
  <c r="L51"/>
  <c r="L47"/>
  <c r="L43"/>
  <c r="L39"/>
  <c r="L58" s="1"/>
  <c r="C24"/>
  <c r="C19"/>
  <c r="C9"/>
  <c r="I58" l="1"/>
  <c r="E19"/>
  <c r="E11"/>
  <c r="S40" s="1"/>
  <c r="E6"/>
  <c r="E24"/>
  <c r="E3"/>
  <c r="E8"/>
  <c r="E15"/>
  <c r="E10"/>
  <c r="E4"/>
  <c r="E13"/>
  <c r="E7"/>
  <c r="E5"/>
  <c r="E9"/>
  <c r="S38" s="1"/>
  <c r="E12"/>
  <c r="E21"/>
  <c r="S50" s="1"/>
  <c r="E16"/>
  <c r="E20"/>
  <c r="E14"/>
  <c r="E23"/>
  <c r="E22"/>
  <c r="E25"/>
  <c r="S54" s="1"/>
  <c r="E18"/>
  <c r="E17"/>
  <c r="E26"/>
  <c r="S49" l="1"/>
  <c r="Q49"/>
  <c r="R49" s="1"/>
  <c r="S33"/>
  <c r="Q33"/>
  <c r="R33" s="1"/>
  <c r="S32"/>
  <c r="Q32"/>
  <c r="R32" s="1"/>
  <c r="S48"/>
  <c r="Q48"/>
  <c r="R48" s="1"/>
  <c r="S47"/>
  <c r="Q47"/>
  <c r="R47" s="1"/>
  <c r="S43"/>
  <c r="Q43"/>
  <c r="R43" s="1"/>
  <c r="S41"/>
  <c r="Q41"/>
  <c r="R41" s="1"/>
  <c r="S42"/>
  <c r="Q42"/>
  <c r="R42" s="1"/>
  <c r="S37"/>
  <c r="Q37"/>
  <c r="R37" s="1"/>
  <c r="S46"/>
  <c r="Q46"/>
  <c r="R46" s="1"/>
  <c r="S52"/>
  <c r="Q52"/>
  <c r="R52" s="1"/>
  <c r="S36"/>
  <c r="Q36"/>
  <c r="R36" s="1"/>
  <c r="S44"/>
  <c r="Q44"/>
  <c r="R44" s="1"/>
  <c r="S35"/>
  <c r="Q35"/>
  <c r="R35" s="1"/>
  <c r="S55"/>
  <c r="Q55"/>
  <c r="R55" s="1"/>
  <c r="S51"/>
  <c r="Q51"/>
  <c r="R51" s="1"/>
  <c r="S45"/>
  <c r="Q45"/>
  <c r="R45" s="1"/>
  <c r="S34"/>
  <c r="Q34"/>
  <c r="R34" s="1"/>
  <c r="S39"/>
  <c r="Q39"/>
  <c r="R39" s="1"/>
  <c r="S53"/>
  <c r="Q53"/>
  <c r="R53" s="1"/>
  <c r="D1"/>
</calcChain>
</file>

<file path=xl/sharedStrings.xml><?xml version="1.0" encoding="utf-8"?>
<sst xmlns="http://schemas.openxmlformats.org/spreadsheetml/2006/main" count="93" uniqueCount="39">
  <si>
    <t>Type</t>
  </si>
  <si>
    <t>Km prochaine révision</t>
  </si>
  <si>
    <t>Km jour</t>
  </si>
  <si>
    <t>Ecart</t>
  </si>
  <si>
    <t>Tramway</t>
  </si>
  <si>
    <t>TW11</t>
  </si>
  <si>
    <t>TW15</t>
  </si>
  <si>
    <t>TW23</t>
  </si>
  <si>
    <t>TW02</t>
  </si>
  <si>
    <t>TW24</t>
  </si>
  <si>
    <t>TW04</t>
  </si>
  <si>
    <t>TW19</t>
  </si>
  <si>
    <t>TW14</t>
  </si>
  <si>
    <t>TW17</t>
  </si>
  <si>
    <t>TW01</t>
  </si>
  <si>
    <t>TW16</t>
  </si>
  <si>
    <t>TW09</t>
  </si>
  <si>
    <t>TW13</t>
  </si>
  <si>
    <t>TW10</t>
  </si>
  <si>
    <t>TW21</t>
  </si>
  <si>
    <t>TW22</t>
  </si>
  <si>
    <t>TW06</t>
  </si>
  <si>
    <t>TW07</t>
  </si>
  <si>
    <t>TW03</t>
  </si>
  <si>
    <t>TW18</t>
  </si>
  <si>
    <t>TW20</t>
  </si>
  <si>
    <t>TW12</t>
  </si>
  <si>
    <t>TW08</t>
  </si>
  <si>
    <t>TW05</t>
  </si>
  <si>
    <t>Roulage</t>
  </si>
  <si>
    <t>Aide ?</t>
  </si>
  <si>
    <t>TW</t>
  </si>
  <si>
    <t>Passage Rév</t>
  </si>
  <si>
    <t>Jour Rev +/- 1</t>
  </si>
  <si>
    <t>Moyenne   :</t>
  </si>
  <si>
    <t>Nb tramway</t>
  </si>
  <si>
    <t>N-1</t>
  </si>
  <si>
    <t>N-2</t>
  </si>
  <si>
    <t>N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</si>
</sst>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6" formatCode="[$-F800]dddd\,\ mmmm\ dd\,\ yyyy"/>
  </numFmts>
  <fonts count="1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mic Sans MS"/>
      <family val="4"/>
    </font>
    <font>
      <sz val="10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8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/>
      <right style="thin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</borders>
  <cellStyleXfs count="143">
    <xf numFmtId="0" fontId="0" fillId="0" borderId="0"/>
    <xf numFmtId="164" fontId="11" fillId="0" borderId="0" applyFont="0" applyFill="0" applyBorder="0" applyAlignment="0" applyProtection="0"/>
    <xf numFmtId="0" fontId="12" fillId="0" borderId="0"/>
    <xf numFmtId="0" fontId="11" fillId="0" borderId="0"/>
    <xf numFmtId="0" fontId="10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4" fontId="15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0">
    <xf numFmtId="0" fontId="0" fillId="0" borderId="0" xfId="0"/>
    <xf numFmtId="0" fontId="12" fillId="0" borderId="0" xfId="2"/>
    <xf numFmtId="14" fontId="14" fillId="0" borderId="0" xfId="0" applyNumberFormat="1" applyFont="1" applyBorder="1" applyAlignment="1">
      <alignment horizontal="center"/>
    </xf>
    <xf numFmtId="3" fontId="13" fillId="0" borderId="0" xfId="2" applyNumberFormat="1" applyFont="1" applyBorder="1" applyAlignment="1">
      <alignment horizontal="center"/>
    </xf>
    <xf numFmtId="3" fontId="13" fillId="0" borderId="0" xfId="2" applyNumberFormat="1" applyFont="1" applyFill="1" applyBorder="1" applyAlignment="1">
      <alignment horizontal="center"/>
    </xf>
    <xf numFmtId="0" fontId="13" fillId="0" borderId="0" xfId="2" applyFont="1" applyAlignment="1">
      <alignment horizontal="center"/>
    </xf>
    <xf numFmtId="3" fontId="13" fillId="0" borderId="0" xfId="2" applyNumberFormat="1" applyFont="1" applyFill="1" applyAlignment="1">
      <alignment horizontal="center"/>
    </xf>
    <xf numFmtId="1" fontId="13" fillId="0" borderId="0" xfId="2" applyNumberFormat="1" applyFont="1" applyAlignment="1">
      <alignment horizontal="center"/>
    </xf>
    <xf numFmtId="1" fontId="13" fillId="0" borderId="1" xfId="0" applyNumberFormat="1" applyFont="1" applyFill="1" applyBorder="1" applyAlignment="1">
      <alignment horizontal="center" vertical="center"/>
    </xf>
    <xf numFmtId="3" fontId="12" fillId="0" borderId="0" xfId="2" applyNumberFormat="1"/>
    <xf numFmtId="3" fontId="13" fillId="0" borderId="0" xfId="2" applyNumberFormat="1" applyFont="1" applyFill="1" applyBorder="1" applyAlignment="1">
      <alignment horizontal="center" vertical="center"/>
    </xf>
    <xf numFmtId="1" fontId="13" fillId="2" borderId="1" xfId="2" applyNumberFormat="1" applyFont="1" applyFill="1" applyBorder="1" applyAlignment="1">
      <alignment horizontal="center" vertical="center"/>
    </xf>
    <xf numFmtId="0" fontId="12" fillId="0" borderId="0" xfId="2" applyAlignment="1">
      <alignment vertical="center"/>
    </xf>
    <xf numFmtId="3" fontId="11" fillId="0" borderId="1" xfId="2" applyNumberFormat="1" applyFont="1" applyFill="1" applyBorder="1" applyAlignment="1">
      <alignment horizontal="center"/>
    </xf>
    <xf numFmtId="1" fontId="11" fillId="0" borderId="8" xfId="2" applyNumberFormat="1" applyFont="1" applyFill="1" applyBorder="1" applyAlignment="1">
      <alignment horizontal="center" vertical="center"/>
    </xf>
    <xf numFmtId="2" fontId="13" fillId="0" borderId="8" xfId="2" applyNumberFormat="1" applyFont="1" applyFill="1" applyBorder="1" applyAlignment="1">
      <alignment horizontal="center" vertical="center"/>
    </xf>
    <xf numFmtId="3" fontId="12" fillId="0" borderId="0" xfId="2" applyNumberFormat="1" applyBorder="1"/>
    <xf numFmtId="0" fontId="12" fillId="0" borderId="0" xfId="2" applyBorder="1"/>
    <xf numFmtId="3" fontId="11" fillId="0" borderId="1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13" fillId="0" borderId="5" xfId="0" applyNumberFormat="1" applyFont="1" applyFill="1" applyBorder="1" applyAlignment="1">
      <alignment horizontal="center" vertical="center"/>
    </xf>
    <xf numFmtId="1" fontId="13" fillId="2" borderId="5" xfId="2" applyNumberFormat="1" applyFont="1" applyFill="1" applyBorder="1" applyAlignment="1">
      <alignment horizontal="center" vertical="center"/>
    </xf>
    <xf numFmtId="0" fontId="13" fillId="3" borderId="4" xfId="0" quotePrefix="1" applyFont="1" applyFill="1" applyBorder="1" applyAlignment="1">
      <alignment horizontal="center" vertical="center"/>
    </xf>
    <xf numFmtId="0" fontId="11" fillId="3" borderId="4" xfId="0" quotePrefix="1" applyFont="1" applyFill="1" applyBorder="1" applyAlignment="1">
      <alignment horizontal="center" vertical="center"/>
    </xf>
    <xf numFmtId="1" fontId="13" fillId="3" borderId="4" xfId="2" applyNumberFormat="1" applyFont="1" applyFill="1" applyBorder="1" applyAlignment="1">
      <alignment horizontal="center" vertical="center"/>
    </xf>
    <xf numFmtId="0" fontId="13" fillId="4" borderId="4" xfId="0" quotePrefix="1" applyFont="1" applyFill="1" applyBorder="1" applyAlignment="1">
      <alignment horizontal="center" vertical="center"/>
    </xf>
    <xf numFmtId="0" fontId="11" fillId="4" borderId="4" xfId="0" quotePrefix="1" applyFont="1" applyFill="1" applyBorder="1" applyAlignment="1">
      <alignment horizontal="center" vertical="center"/>
    </xf>
    <xf numFmtId="1" fontId="13" fillId="0" borderId="2" xfId="0" applyNumberFormat="1" applyFont="1" applyFill="1" applyBorder="1" applyAlignment="1">
      <alignment horizontal="center" vertical="center"/>
    </xf>
    <xf numFmtId="1" fontId="13" fillId="2" borderId="2" xfId="2" applyNumberFormat="1" applyFont="1" applyFill="1" applyBorder="1" applyAlignment="1">
      <alignment horizontal="center" vertical="center"/>
    </xf>
    <xf numFmtId="3" fontId="11" fillId="0" borderId="5" xfId="2" applyNumberFormat="1" applyFont="1" applyFill="1" applyBorder="1" applyAlignment="1">
      <alignment horizontal="center"/>
    </xf>
    <xf numFmtId="0" fontId="13" fillId="3" borderId="7" xfId="0" quotePrefix="1" applyFont="1" applyFill="1" applyBorder="1" applyAlignment="1">
      <alignment horizontal="center" vertical="center"/>
    </xf>
    <xf numFmtId="1" fontId="13" fillId="3" borderId="3" xfId="2" applyNumberFormat="1" applyFont="1" applyFill="1" applyBorder="1" applyAlignment="1">
      <alignment horizontal="center" vertical="center"/>
    </xf>
    <xf numFmtId="3" fontId="11" fillId="0" borderId="2" xfId="2" applyNumberFormat="1" applyFont="1" applyFill="1" applyBorder="1" applyAlignment="1">
      <alignment horizontal="center"/>
    </xf>
    <xf numFmtId="0" fontId="2" fillId="0" borderId="0" xfId="141"/>
    <xf numFmtId="0" fontId="12" fillId="0" borderId="9" xfId="2" applyBorder="1" applyAlignment="1">
      <alignment horizontal="center" vertical="center"/>
    </xf>
    <xf numFmtId="0" fontId="11" fillId="3" borderId="10" xfId="0" quotePrefix="1" applyFont="1" applyFill="1" applyBorder="1" applyAlignment="1">
      <alignment horizontal="center" vertical="center"/>
    </xf>
    <xf numFmtId="0" fontId="1" fillId="0" borderId="0" xfId="142" applyFont="1" applyBorder="1" applyAlignment="1">
      <alignment horizontal="center" vertical="center"/>
    </xf>
    <xf numFmtId="1" fontId="12" fillId="0" borderId="0" xfId="2" applyNumberFormat="1" applyBorder="1" applyAlignment="1">
      <alignment horizontal="center" vertical="center"/>
    </xf>
    <xf numFmtId="0" fontId="12" fillId="0" borderId="1" xfId="2" applyBorder="1" applyAlignment="1">
      <alignment horizontal="center" vertical="center"/>
    </xf>
    <xf numFmtId="0" fontId="1" fillId="0" borderId="0" xfId="141" applyFont="1" applyBorder="1" applyAlignment="1">
      <alignment horizontal="center" vertical="center"/>
    </xf>
    <xf numFmtId="2" fontId="12" fillId="0" borderId="0" xfId="2" applyNumberFormat="1" applyBorder="1" applyAlignment="1">
      <alignment horizontal="center" vertical="center"/>
    </xf>
    <xf numFmtId="14" fontId="12" fillId="0" borderId="0" xfId="2" applyNumberFormat="1" applyBorder="1" applyAlignment="1">
      <alignment horizontal="center" vertical="center"/>
    </xf>
    <xf numFmtId="0" fontId="12" fillId="0" borderId="11" xfId="2" applyBorder="1" applyAlignment="1">
      <alignment horizontal="center" vertical="center"/>
    </xf>
    <xf numFmtId="1" fontId="11" fillId="3" borderId="12" xfId="2" applyNumberFormat="1" applyFont="1" applyFill="1" applyBorder="1" applyAlignment="1">
      <alignment horizontal="center" vertical="center"/>
    </xf>
    <xf numFmtId="0" fontId="11" fillId="3" borderId="12" xfId="0" quotePrefix="1" applyFont="1" applyFill="1" applyBorder="1" applyAlignment="1">
      <alignment horizontal="center" vertical="center"/>
    </xf>
    <xf numFmtId="0" fontId="11" fillId="4" borderId="12" xfId="0" quotePrefix="1" applyFont="1" applyFill="1" applyBorder="1" applyAlignment="1">
      <alignment horizontal="center" vertical="center"/>
    </xf>
    <xf numFmtId="1" fontId="11" fillId="3" borderId="13" xfId="2" applyNumberFormat="1" applyFont="1" applyFill="1" applyBorder="1" applyAlignment="1">
      <alignment horizontal="center" vertical="center"/>
    </xf>
    <xf numFmtId="0" fontId="1" fillId="0" borderId="14" xfId="142" applyFont="1" applyBorder="1" applyAlignment="1">
      <alignment horizontal="center" vertical="center"/>
    </xf>
    <xf numFmtId="0" fontId="12" fillId="0" borderId="15" xfId="2" applyBorder="1" applyAlignment="1">
      <alignment horizontal="center" vertical="center"/>
    </xf>
    <xf numFmtId="0" fontId="1" fillId="0" borderId="14" xfId="141" applyFont="1" applyBorder="1" applyAlignment="1">
      <alignment horizontal="center" vertical="center"/>
    </xf>
    <xf numFmtId="2" fontId="12" fillId="0" borderId="14" xfId="2" applyNumberFormat="1" applyBorder="1" applyAlignment="1">
      <alignment horizontal="center" vertical="center"/>
    </xf>
    <xf numFmtId="14" fontId="12" fillId="0" borderId="14" xfId="2" applyNumberFormat="1" applyBorder="1" applyAlignment="1">
      <alignment horizontal="center" vertical="center"/>
    </xf>
    <xf numFmtId="0" fontId="12" fillId="0" borderId="16" xfId="2" applyBorder="1" applyAlignment="1">
      <alignment horizontal="center" vertical="center"/>
    </xf>
    <xf numFmtId="3" fontId="11" fillId="0" borderId="17" xfId="2" applyNumberFormat="1" applyFont="1" applyFill="1" applyBorder="1" applyAlignment="1">
      <alignment horizontal="center" vertical="center"/>
    </xf>
    <xf numFmtId="0" fontId="12" fillId="0" borderId="18" xfId="2" applyBorder="1" applyAlignment="1">
      <alignment horizontal="center" vertical="center"/>
    </xf>
    <xf numFmtId="0" fontId="12" fillId="0" borderId="20" xfId="2" applyBorder="1" applyAlignment="1">
      <alignment horizontal="center" vertical="center"/>
    </xf>
    <xf numFmtId="0" fontId="12" fillId="0" borderId="0" xfId="2" applyBorder="1" applyAlignment="1">
      <alignment horizontal="center" vertical="center"/>
    </xf>
    <xf numFmtId="22" fontId="12" fillId="0" borderId="11" xfId="2" applyNumberFormat="1" applyBorder="1" applyAlignment="1">
      <alignment horizontal="center" vertical="center"/>
    </xf>
    <xf numFmtId="0" fontId="12" fillId="0" borderId="21" xfId="2" applyBorder="1" applyAlignment="1">
      <alignment horizontal="center" vertical="center"/>
    </xf>
    <xf numFmtId="0" fontId="12" fillId="0" borderId="14" xfId="2" applyBorder="1" applyAlignment="1">
      <alignment horizontal="center" vertical="center"/>
    </xf>
    <xf numFmtId="22" fontId="12" fillId="0" borderId="16" xfId="2" applyNumberFormat="1" applyBorder="1" applyAlignment="1">
      <alignment horizontal="center" vertical="center"/>
    </xf>
    <xf numFmtId="22" fontId="12" fillId="0" borderId="19" xfId="2" applyNumberFormat="1" applyBorder="1" applyAlignment="1">
      <alignment horizontal="center" vertical="center"/>
    </xf>
    <xf numFmtId="0" fontId="12" fillId="0" borderId="22" xfId="2" applyBorder="1" applyAlignment="1">
      <alignment horizontal="center" vertical="center"/>
    </xf>
    <xf numFmtId="0" fontId="12" fillId="0" borderId="6" xfId="2" applyBorder="1" applyAlignment="1">
      <alignment horizontal="center" vertical="center"/>
    </xf>
    <xf numFmtId="1" fontId="12" fillId="0" borderId="9" xfId="2" applyNumberFormat="1" applyBorder="1" applyAlignment="1">
      <alignment horizontal="center" vertical="center"/>
    </xf>
    <xf numFmtId="1" fontId="12" fillId="0" borderId="25" xfId="2" applyNumberFormat="1" applyBorder="1" applyAlignment="1">
      <alignment horizontal="center" vertical="center"/>
    </xf>
    <xf numFmtId="3" fontId="11" fillId="5" borderId="9" xfId="2" applyNumberFormat="1" applyFont="1" applyFill="1" applyBorder="1" applyAlignment="1">
      <alignment horizontal="center" vertical="center"/>
    </xf>
    <xf numFmtId="0" fontId="12" fillId="5" borderId="9" xfId="2" applyFill="1" applyBorder="1" applyAlignment="1">
      <alignment horizontal="center" vertical="center"/>
    </xf>
    <xf numFmtId="3" fontId="11" fillId="0" borderId="0" xfId="2" applyNumberFormat="1" applyFont="1" applyFill="1" applyBorder="1" applyAlignment="1">
      <alignment horizontal="center" vertical="center"/>
    </xf>
    <xf numFmtId="49" fontId="11" fillId="5" borderId="23" xfId="2" applyNumberFormat="1" applyFont="1" applyFill="1" applyBorder="1" applyAlignment="1">
      <alignment horizontal="center" vertical="center"/>
    </xf>
    <xf numFmtId="0" fontId="12" fillId="0" borderId="0" xfId="2" applyAlignment="1">
      <alignment horizontal="center" vertical="center"/>
    </xf>
    <xf numFmtId="0" fontId="12" fillId="5" borderId="24" xfId="2" applyFill="1" applyBorder="1" applyAlignment="1">
      <alignment horizontal="center" vertical="center"/>
    </xf>
    <xf numFmtId="14" fontId="12" fillId="0" borderId="0" xfId="2" applyNumberFormat="1" applyAlignment="1">
      <alignment horizontal="center" vertical="center"/>
    </xf>
    <xf numFmtId="2" fontId="12" fillId="0" borderId="0" xfId="2" applyNumberFormat="1" applyAlignment="1">
      <alignment horizontal="center" vertical="center"/>
    </xf>
    <xf numFmtId="0" fontId="12" fillId="0" borderId="0" xfId="2" applyNumberFormat="1" applyBorder="1" applyAlignment="1">
      <alignment horizontal="center" vertical="center"/>
    </xf>
    <xf numFmtId="0" fontId="12" fillId="5" borderId="26" xfId="2" applyFill="1" applyBorder="1" applyAlignment="1">
      <alignment horizontal="center" vertical="center"/>
    </xf>
    <xf numFmtId="166" fontId="11" fillId="5" borderId="9" xfId="2" applyNumberFormat="1" applyFont="1" applyFill="1" applyBorder="1" applyAlignment="1">
      <alignment horizontal="center" vertical="center"/>
    </xf>
    <xf numFmtId="166" fontId="12" fillId="5" borderId="9" xfId="2" applyNumberFormat="1" applyFill="1" applyBorder="1" applyAlignment="1">
      <alignment horizontal="center" vertical="center"/>
    </xf>
    <xf numFmtId="0" fontId="12" fillId="5" borderId="0" xfId="2" applyFill="1" applyAlignment="1">
      <alignment horizontal="center" vertical="center"/>
    </xf>
    <xf numFmtId="0" fontId="16" fillId="0" borderId="14" xfId="2" applyFont="1" applyBorder="1" applyAlignment="1">
      <alignment horizontal="center" vertical="top"/>
    </xf>
  </cellXfs>
  <cellStyles count="143">
    <cellStyle name="Euro" xfId="1"/>
    <cellStyle name="Euro 2" xfId="132"/>
    <cellStyle name="Euro 3" xfId="131"/>
    <cellStyle name="Normal" xfId="0" builtinId="0"/>
    <cellStyle name="Normal 10" xfId="17"/>
    <cellStyle name="Normal 11" xfId="20"/>
    <cellStyle name="Normal 11 2" xfId="34"/>
    <cellStyle name="Normal 11 2 2" xfId="64"/>
    <cellStyle name="Normal 11 2 2 2" xfId="124"/>
    <cellStyle name="Normal 11 2 3" xfId="94"/>
    <cellStyle name="Normal 11 3" xfId="40"/>
    <cellStyle name="Normal 11 3 2" xfId="70"/>
    <cellStyle name="Normal 11 3 2 2" xfId="130"/>
    <cellStyle name="Normal 11 3 3" xfId="100"/>
    <cellStyle name="Normal 11 4" xfId="50"/>
    <cellStyle name="Normal 11 4 2" xfId="110"/>
    <cellStyle name="Normal 11 5" xfId="80"/>
    <cellStyle name="Normal 12" xfId="140"/>
    <cellStyle name="Normal 2" xfId="4"/>
    <cellStyle name="Normal 2 10" xfId="22"/>
    <cellStyle name="Normal 2 10 2" xfId="52"/>
    <cellStyle name="Normal 2 10 2 2" xfId="112"/>
    <cellStyle name="Normal 2 10 3" xfId="82"/>
    <cellStyle name="Normal 2 11" xfId="26"/>
    <cellStyle name="Normal 2 11 2" xfId="56"/>
    <cellStyle name="Normal 2 11 2 2" xfId="116"/>
    <cellStyle name="Normal 2 11 3" xfId="86"/>
    <cellStyle name="Normal 2 12" xfId="41"/>
    <cellStyle name="Normal 2 12 2" xfId="101"/>
    <cellStyle name="Normal 2 13" xfId="71"/>
    <cellStyle name="Normal 2 14" xfId="133"/>
    <cellStyle name="Normal 2 2" xfId="5"/>
    <cellStyle name="Normal 2 2 2" xfId="23"/>
    <cellStyle name="Normal 2 2 2 2" xfId="53"/>
    <cellStyle name="Normal 2 2 2 2 2" xfId="113"/>
    <cellStyle name="Normal 2 2 2 3" xfId="83"/>
    <cellStyle name="Normal 2 2 3" xfId="24"/>
    <cellStyle name="Normal 2 2 3 2" xfId="54"/>
    <cellStyle name="Normal 2 2 3 2 2" xfId="114"/>
    <cellStyle name="Normal 2 2 3 3" xfId="84"/>
    <cellStyle name="Normal 2 2 4" xfId="42"/>
    <cellStyle name="Normal 2 2 4 2" xfId="102"/>
    <cellStyle name="Normal 2 2 5" xfId="72"/>
    <cellStyle name="Normal 2 2 6" xfId="134"/>
    <cellStyle name="Normal 2 3" xfId="7"/>
    <cellStyle name="Normal 2 3 2" xfId="25"/>
    <cellStyle name="Normal 2 3 2 2" xfId="55"/>
    <cellStyle name="Normal 2 3 2 2 2" xfId="115"/>
    <cellStyle name="Normal 2 3 2 3" xfId="85"/>
    <cellStyle name="Normal 2 3 3" xfId="31"/>
    <cellStyle name="Normal 2 3 3 2" xfId="61"/>
    <cellStyle name="Normal 2 3 3 2 2" xfId="121"/>
    <cellStyle name="Normal 2 3 3 3" xfId="91"/>
    <cellStyle name="Normal 2 3 4" xfId="43"/>
    <cellStyle name="Normal 2 3 4 2" xfId="103"/>
    <cellStyle name="Normal 2 3 5" xfId="73"/>
    <cellStyle name="Normal 2 3 6" xfId="135"/>
    <cellStyle name="Normal 2 4" xfId="9"/>
    <cellStyle name="Normal 2 4 2" xfId="27"/>
    <cellStyle name="Normal 2 4 2 2" xfId="57"/>
    <cellStyle name="Normal 2 4 2 2 2" xfId="117"/>
    <cellStyle name="Normal 2 4 2 3" xfId="87"/>
    <cellStyle name="Normal 2 4 3" xfId="21"/>
    <cellStyle name="Normal 2 4 3 2" xfId="51"/>
    <cellStyle name="Normal 2 4 3 2 2" xfId="111"/>
    <cellStyle name="Normal 2 4 3 3" xfId="81"/>
    <cellStyle name="Normal 2 4 4" xfId="44"/>
    <cellStyle name="Normal 2 4 4 2" xfId="104"/>
    <cellStyle name="Normal 2 4 5" xfId="74"/>
    <cellStyle name="Normal 2 4 6" xfId="136"/>
    <cellStyle name="Normal 2 5" xfId="12"/>
    <cellStyle name="Normal 2 5 2" xfId="28"/>
    <cellStyle name="Normal 2 5 2 2" xfId="58"/>
    <cellStyle name="Normal 2 5 2 2 2" xfId="118"/>
    <cellStyle name="Normal 2 5 2 3" xfId="88"/>
    <cellStyle name="Normal 2 5 3" xfId="35"/>
    <cellStyle name="Normal 2 5 3 2" xfId="65"/>
    <cellStyle name="Normal 2 5 3 2 2" xfId="125"/>
    <cellStyle name="Normal 2 5 3 3" xfId="95"/>
    <cellStyle name="Normal 2 5 4" xfId="45"/>
    <cellStyle name="Normal 2 5 4 2" xfId="105"/>
    <cellStyle name="Normal 2 5 5" xfId="75"/>
    <cellStyle name="Normal 2 5 6" xfId="137"/>
    <cellStyle name="Normal 2 6" xfId="14"/>
    <cellStyle name="Normal 2 6 2" xfId="29"/>
    <cellStyle name="Normal 2 6 2 2" xfId="59"/>
    <cellStyle name="Normal 2 6 2 2 2" xfId="119"/>
    <cellStyle name="Normal 2 6 2 3" xfId="89"/>
    <cellStyle name="Normal 2 6 3" xfId="36"/>
    <cellStyle name="Normal 2 6 3 2" xfId="66"/>
    <cellStyle name="Normal 2 6 3 2 2" xfId="126"/>
    <cellStyle name="Normal 2 6 3 3" xfId="96"/>
    <cellStyle name="Normal 2 6 4" xfId="46"/>
    <cellStyle name="Normal 2 6 4 2" xfId="106"/>
    <cellStyle name="Normal 2 6 5" xfId="76"/>
    <cellStyle name="Normal 2 6 6" xfId="138"/>
    <cellStyle name="Normal 2 7" xfId="15"/>
    <cellStyle name="Normal 2 7 2" xfId="30"/>
    <cellStyle name="Normal 2 7 2 2" xfId="60"/>
    <cellStyle name="Normal 2 7 2 2 2" xfId="120"/>
    <cellStyle name="Normal 2 7 2 3" xfId="90"/>
    <cellStyle name="Normal 2 7 3" xfId="37"/>
    <cellStyle name="Normal 2 7 3 2" xfId="67"/>
    <cellStyle name="Normal 2 7 3 2 2" xfId="127"/>
    <cellStyle name="Normal 2 7 3 3" xfId="97"/>
    <cellStyle name="Normal 2 7 4" xfId="47"/>
    <cellStyle name="Normal 2 7 4 2" xfId="107"/>
    <cellStyle name="Normal 2 7 5" xfId="77"/>
    <cellStyle name="Normal 2 8" xfId="18"/>
    <cellStyle name="Normal 2 8 2" xfId="32"/>
    <cellStyle name="Normal 2 8 2 2" xfId="62"/>
    <cellStyle name="Normal 2 8 2 2 2" xfId="122"/>
    <cellStyle name="Normal 2 8 2 3" xfId="92"/>
    <cellStyle name="Normal 2 8 3" xfId="38"/>
    <cellStyle name="Normal 2 8 3 2" xfId="68"/>
    <cellStyle name="Normal 2 8 3 2 2" xfId="128"/>
    <cellStyle name="Normal 2 8 3 3" xfId="98"/>
    <cellStyle name="Normal 2 8 4" xfId="48"/>
    <cellStyle name="Normal 2 8 4 2" xfId="108"/>
    <cellStyle name="Normal 2 8 5" xfId="78"/>
    <cellStyle name="Normal 2 9" xfId="19"/>
    <cellStyle name="Normal 2 9 2" xfId="33"/>
    <cellStyle name="Normal 2 9 2 2" xfId="63"/>
    <cellStyle name="Normal 2 9 2 2 2" xfId="123"/>
    <cellStyle name="Normal 2 9 2 3" xfId="93"/>
    <cellStyle name="Normal 2 9 3" xfId="39"/>
    <cellStyle name="Normal 2 9 3 2" xfId="69"/>
    <cellStyle name="Normal 2 9 3 2 2" xfId="129"/>
    <cellStyle name="Normal 2 9 3 3" xfId="99"/>
    <cellStyle name="Normal 2 9 4" xfId="49"/>
    <cellStyle name="Normal 2 9 4 2" xfId="109"/>
    <cellStyle name="Normal 2 9 5" xfId="79"/>
    <cellStyle name="Normal 3" xfId="3"/>
    <cellStyle name="Normal 4" xfId="6"/>
    <cellStyle name="Normal 4 2" xfId="139"/>
    <cellStyle name="Normal 5" xfId="8"/>
    <cellStyle name="Normal 6" xfId="10"/>
    <cellStyle name="Normal 7" xfId="13"/>
    <cellStyle name="Normal 8" xfId="11"/>
    <cellStyle name="Normal 9" xfId="16"/>
    <cellStyle name="Normal_priorité de passage" xfId="2"/>
    <cellStyle name="Normal_Priorité de passage_2" xfId="142"/>
    <cellStyle name="Normal_Priorité de passage_3" xfId="141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0000"/>
      </font>
    </dxf>
    <dxf>
      <font>
        <condense val="0"/>
        <extend val="0"/>
        <color indexed="52"/>
      </font>
    </dxf>
    <dxf>
      <font>
        <condense val="0"/>
        <extend val="0"/>
        <color indexed="10"/>
      </font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A6306"/>
      <color rgb="FF66FFFF"/>
      <color rgb="FFF2DDD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1066801</xdr:colOff>
      <xdr:row>29</xdr:row>
      <xdr:rowOff>123824</xdr:rowOff>
    </xdr:from>
    <xdr:to>
      <xdr:col>9</xdr:col>
      <xdr:colOff>333376</xdr:colOff>
      <xdr:row>30</xdr:row>
      <xdr:rowOff>9524</xdr:rowOff>
    </xdr:to>
    <xdr:sp macro="" textlink="">
      <xdr:nvSpPr>
        <xdr:cNvPr id="2" name="Flèche droite 1"/>
        <xdr:cNvSpPr/>
      </xdr:nvSpPr>
      <xdr:spPr bwMode="auto">
        <a:xfrm>
          <a:off x="10134601" y="123824"/>
          <a:ext cx="1981200" cy="66675"/>
        </a:xfrm>
        <a:prstGeom prst="rightArrow">
          <a:avLst/>
        </a:prstGeom>
        <a:ln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1057276</xdr:colOff>
      <xdr:row>29</xdr:row>
      <xdr:rowOff>133350</xdr:rowOff>
    </xdr:from>
    <xdr:to>
      <xdr:col>12</xdr:col>
      <xdr:colOff>238126</xdr:colOff>
      <xdr:row>30</xdr:row>
      <xdr:rowOff>9525</xdr:rowOff>
    </xdr:to>
    <xdr:sp macro="" textlink="">
      <xdr:nvSpPr>
        <xdr:cNvPr id="3" name="Flèche droite 2"/>
        <xdr:cNvSpPr/>
      </xdr:nvSpPr>
      <xdr:spPr bwMode="auto">
        <a:xfrm>
          <a:off x="12839701" y="133350"/>
          <a:ext cx="1809750" cy="57150"/>
        </a:xfrm>
        <a:prstGeom prst="rightArrow">
          <a:avLst/>
        </a:prstGeom>
        <a:ln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9525</xdr:colOff>
      <xdr:row>21</xdr:row>
      <xdr:rowOff>219075</xdr:rowOff>
    </xdr:from>
    <xdr:to>
      <xdr:col>12</xdr:col>
      <xdr:colOff>1352550</xdr:colOff>
      <xdr:row>27</xdr:row>
      <xdr:rowOff>28575</xdr:rowOff>
    </xdr:to>
    <xdr:sp macro="" textlink="">
      <xdr:nvSpPr>
        <xdr:cNvPr id="4" name="ZoneTexte 3"/>
        <xdr:cNvSpPr txBox="1"/>
      </xdr:nvSpPr>
      <xdr:spPr>
        <a:xfrm>
          <a:off x="7019925" y="5695950"/>
          <a:ext cx="5314950" cy="1333500"/>
        </a:xfrm>
        <a:prstGeom prst="rect">
          <a:avLst/>
        </a:prstGeom>
        <a:solidFill>
          <a:schemeClr val="lt1"/>
        </a:solidFill>
        <a:ln w="762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</a:t>
          </a:r>
          <a:r>
            <a:rPr lang="fr-FR" sz="1100" baseline="0"/>
            <a:t>  savoir si c'est possible  de  faire basculer automatiquement les valeurs N-1 en N-2 et les valeur N en N-1? </a:t>
          </a:r>
        </a:p>
        <a:p>
          <a:r>
            <a:rPr lang="fr-FR" sz="1100" baseline="0"/>
            <a:t>Mes valeurs N se mettent à jour automatiquement dès que je mets à jour mon "compteur" du jour. </a:t>
          </a:r>
        </a:p>
        <a:p>
          <a:r>
            <a:rPr lang="fr-FR" sz="1100" baseline="0"/>
            <a:t>En gro à chaque fois que je mettrait mon compteur à jour, j'aimerai que mes valeurs basculent. </a:t>
          </a:r>
        </a:p>
        <a:p>
          <a:r>
            <a:rPr lang="fr-FR" sz="1100" baseline="0"/>
            <a:t>Je vous remercie à l'avance, et bonne journée.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U58"/>
  <sheetViews>
    <sheetView tabSelected="1" topLeftCell="A22" workbookViewId="0">
      <selection activeCell="E33" sqref="E33"/>
    </sheetView>
  </sheetViews>
  <sheetFormatPr baseColWidth="10" defaultColWidth="12.5703125" defaultRowHeight="15"/>
  <cols>
    <col min="1" max="1" width="9.7109375" style="7" customWidth="1"/>
    <col min="2" max="2" width="11.85546875" style="5" customWidth="1"/>
    <col min="3" max="3" width="19.85546875" style="5" customWidth="1"/>
    <col min="4" max="4" width="10.42578125" style="5" customWidth="1"/>
    <col min="5" max="5" width="16.28515625" style="5" customWidth="1"/>
    <col min="6" max="6" width="16.28515625" style="6" customWidth="1"/>
    <col min="7" max="7" width="20.7109375" style="6" bestFit="1" customWidth="1"/>
    <col min="8" max="8" width="10.140625" style="6" customWidth="1"/>
    <col min="9" max="9" width="4.42578125" style="6" customWidth="1"/>
    <col min="10" max="10" width="16.28515625" style="1" bestFit="1" customWidth="1"/>
    <col min="11" max="11" width="16.42578125" style="1" bestFit="1" customWidth="1"/>
    <col min="12" max="12" width="12.28515625" style="1" bestFit="1" customWidth="1"/>
    <col min="13" max="13" width="20.85546875" style="1" bestFit="1" customWidth="1"/>
    <col min="14" max="14" width="12.5703125" style="1" customWidth="1"/>
    <col min="15" max="15" width="3.140625" style="1" customWidth="1"/>
    <col min="16" max="16" width="6.140625" style="1" customWidth="1"/>
    <col min="17" max="17" width="14.7109375" style="1" bestFit="1" customWidth="1"/>
    <col min="18" max="18" width="16.42578125" style="1" bestFit="1" customWidth="1"/>
    <col min="19" max="19" width="17" style="1" bestFit="1" customWidth="1"/>
    <col min="20" max="23" width="12.5703125" style="1" customWidth="1"/>
    <col min="24" max="25" width="17.7109375" style="1" bestFit="1" customWidth="1"/>
    <col min="26" max="26" width="12.5703125" style="1"/>
    <col min="27" max="27" width="17.7109375" style="1" bestFit="1" customWidth="1"/>
    <col min="28" max="16384" width="12.5703125" style="1"/>
  </cols>
  <sheetData>
    <row r="1" spans="1:21" ht="15.75" thickBot="1">
      <c r="A1" s="3"/>
      <c r="B1" s="3"/>
      <c r="C1" s="3"/>
      <c r="D1" s="2">
        <f ca="1">TODAY()</f>
        <v>42608</v>
      </c>
      <c r="E1" s="3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1:21" s="12" customFormat="1" ht="16.5" thickTop="1" thickBot="1">
      <c r="A2" s="14" t="s">
        <v>4</v>
      </c>
      <c r="B2" s="15" t="s">
        <v>0</v>
      </c>
      <c r="C2" s="15" t="s">
        <v>1</v>
      </c>
      <c r="D2" s="15" t="s">
        <v>2</v>
      </c>
      <c r="E2" s="15" t="s">
        <v>3</v>
      </c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1:21" ht="21" customHeight="1">
      <c r="A3" s="30" t="s">
        <v>28</v>
      </c>
      <c r="B3" s="20">
        <v>9000</v>
      </c>
      <c r="C3" s="29">
        <v>1323000</v>
      </c>
      <c r="D3" s="33">
        <f t="shared" ref="D3:D26" si="0">VLOOKUP(A3,Compteur,2,FALSE)</f>
        <v>1324814</v>
      </c>
      <c r="E3" s="21">
        <f t="shared" ref="E3:E26" si="1">D3-C3</f>
        <v>1814</v>
      </c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 ht="21" customHeight="1">
      <c r="A4" s="22" t="s">
        <v>16</v>
      </c>
      <c r="B4" s="8">
        <v>9000</v>
      </c>
      <c r="C4" s="18">
        <v>1305000</v>
      </c>
      <c r="D4" s="33">
        <f t="shared" si="0"/>
        <v>1304969</v>
      </c>
      <c r="E4" s="11">
        <f t="shared" si="1"/>
        <v>-31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 ht="21" customHeight="1">
      <c r="A5" s="22" t="s">
        <v>26</v>
      </c>
      <c r="B5" s="8">
        <v>36000</v>
      </c>
      <c r="C5" s="13">
        <v>1404000</v>
      </c>
      <c r="D5" s="33">
        <f t="shared" si="0"/>
        <v>1403040</v>
      </c>
      <c r="E5" s="11">
        <f t="shared" si="1"/>
        <v>-960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 ht="21" customHeight="1">
      <c r="A6" s="22" t="s">
        <v>23</v>
      </c>
      <c r="B6" s="8">
        <v>36000</v>
      </c>
      <c r="C6" s="18">
        <v>1332000</v>
      </c>
      <c r="D6" s="33">
        <f t="shared" si="0"/>
        <v>1330856</v>
      </c>
      <c r="E6" s="11">
        <f t="shared" si="1"/>
        <v>-1144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 ht="21" customHeight="1">
      <c r="A7" s="24" t="s">
        <v>5</v>
      </c>
      <c r="B7" s="8">
        <v>9000</v>
      </c>
      <c r="C7" s="18">
        <v>1377000</v>
      </c>
      <c r="D7" s="33">
        <f t="shared" si="0"/>
        <v>1375845</v>
      </c>
      <c r="E7" s="11">
        <f t="shared" si="1"/>
        <v>-1155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 ht="21" customHeight="1">
      <c r="A8" s="22" t="s">
        <v>21</v>
      </c>
      <c r="B8" s="8">
        <v>72000</v>
      </c>
      <c r="C8" s="18">
        <v>1224000</v>
      </c>
      <c r="D8" s="33">
        <f t="shared" si="0"/>
        <v>1222522</v>
      </c>
      <c r="E8" s="11">
        <f t="shared" si="1"/>
        <v>-1478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 ht="21" customHeight="1">
      <c r="A9" s="25" t="s">
        <v>17</v>
      </c>
      <c r="B9" s="8">
        <v>18000</v>
      </c>
      <c r="C9" s="13">
        <f>1242000</f>
        <v>1242000</v>
      </c>
      <c r="D9" s="33">
        <f t="shared" si="0"/>
        <v>1240462</v>
      </c>
      <c r="E9" s="11">
        <f t="shared" si="1"/>
        <v>-1538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 ht="21" customHeight="1">
      <c r="A10" s="22" t="s">
        <v>27</v>
      </c>
      <c r="B10" s="8">
        <v>18000</v>
      </c>
      <c r="C10" s="13">
        <v>1386000</v>
      </c>
      <c r="D10" s="33">
        <f t="shared" si="0"/>
        <v>1383644</v>
      </c>
      <c r="E10" s="11">
        <f t="shared" si="1"/>
        <v>-2356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 ht="21" customHeight="1">
      <c r="A11" s="26" t="s">
        <v>8</v>
      </c>
      <c r="B11" s="8">
        <v>9000</v>
      </c>
      <c r="C11" s="13">
        <v>1125000</v>
      </c>
      <c r="D11" s="33">
        <f t="shared" si="0"/>
        <v>1122172</v>
      </c>
      <c r="E11" s="11">
        <f t="shared" si="1"/>
        <v>-2828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 ht="21" customHeight="1">
      <c r="A12" s="22" t="s">
        <v>12</v>
      </c>
      <c r="B12" s="8">
        <v>36000</v>
      </c>
      <c r="C12" s="13">
        <v>1260000</v>
      </c>
      <c r="D12" s="33">
        <f t="shared" si="0"/>
        <v>1256839</v>
      </c>
      <c r="E12" s="11">
        <f t="shared" si="1"/>
        <v>-3161</v>
      </c>
      <c r="F12"/>
      <c r="G12"/>
      <c r="H12"/>
      <c r="I12"/>
      <c r="J12"/>
      <c r="K12"/>
      <c r="L12"/>
      <c r="M12"/>
      <c r="N12"/>
      <c r="O12"/>
      <c r="P12"/>
      <c r="Q12" s="16"/>
      <c r="R12" s="17"/>
      <c r="S12" s="17"/>
      <c r="T12" s="17"/>
      <c r="U12" s="17"/>
    </row>
    <row r="13" spans="1:21" ht="21" customHeight="1">
      <c r="A13" s="22" t="s">
        <v>18</v>
      </c>
      <c r="B13" s="8">
        <v>9000</v>
      </c>
      <c r="C13" s="13">
        <v>1431000</v>
      </c>
      <c r="D13" s="33">
        <f t="shared" si="0"/>
        <v>1427560</v>
      </c>
      <c r="E13" s="11">
        <f t="shared" si="1"/>
        <v>-3440</v>
      </c>
      <c r="F13"/>
      <c r="G13"/>
      <c r="H13"/>
      <c r="I13"/>
      <c r="J13"/>
      <c r="K13"/>
      <c r="L13"/>
      <c r="M13"/>
      <c r="N13"/>
      <c r="O13"/>
      <c r="P13"/>
      <c r="Q13" s="16"/>
      <c r="R13" s="17"/>
      <c r="S13" s="17"/>
      <c r="T13" s="17"/>
      <c r="U13" s="17"/>
    </row>
    <row r="14" spans="1:21" ht="21" customHeight="1">
      <c r="A14" s="23" t="s">
        <v>24</v>
      </c>
      <c r="B14" s="8">
        <v>9000</v>
      </c>
      <c r="C14" s="13">
        <v>1341000</v>
      </c>
      <c r="D14" s="33">
        <f t="shared" si="0"/>
        <v>1337366</v>
      </c>
      <c r="E14" s="11">
        <f t="shared" si="1"/>
        <v>-3634</v>
      </c>
      <c r="F14"/>
      <c r="G14"/>
      <c r="H14"/>
      <c r="I14"/>
      <c r="J14"/>
      <c r="K14"/>
      <c r="L14"/>
      <c r="M14"/>
      <c r="N14"/>
      <c r="O14"/>
      <c r="P14"/>
      <c r="Q14" s="9"/>
    </row>
    <row r="15" spans="1:21" ht="21" customHeight="1">
      <c r="A15" s="22" t="s">
        <v>22</v>
      </c>
      <c r="B15" s="8">
        <v>9000</v>
      </c>
      <c r="C15" s="18">
        <v>1179000</v>
      </c>
      <c r="D15" s="33">
        <f t="shared" si="0"/>
        <v>1174866</v>
      </c>
      <c r="E15" s="11">
        <f t="shared" si="1"/>
        <v>-4134</v>
      </c>
      <c r="F15"/>
      <c r="G15"/>
      <c r="H15"/>
      <c r="I15"/>
      <c r="J15"/>
      <c r="K15"/>
      <c r="L15"/>
      <c r="M15"/>
      <c r="N15"/>
      <c r="O15"/>
      <c r="P15"/>
      <c r="Q15" s="9"/>
    </row>
    <row r="16" spans="1:21" ht="21" customHeight="1">
      <c r="A16" s="22" t="s">
        <v>15</v>
      </c>
      <c r="B16" s="8">
        <v>18000</v>
      </c>
      <c r="C16" s="13">
        <v>1386000</v>
      </c>
      <c r="D16" s="33">
        <f t="shared" si="0"/>
        <v>1381850</v>
      </c>
      <c r="E16" s="11">
        <f t="shared" si="1"/>
        <v>-4150</v>
      </c>
      <c r="F16"/>
      <c r="G16"/>
      <c r="H16"/>
      <c r="I16"/>
      <c r="J16"/>
      <c r="K16"/>
      <c r="L16"/>
      <c r="M16"/>
      <c r="N16"/>
      <c r="O16"/>
      <c r="P16"/>
      <c r="Q16" s="9"/>
    </row>
    <row r="17" spans="1:21" ht="21" customHeight="1">
      <c r="A17" s="22" t="s">
        <v>7</v>
      </c>
      <c r="B17" s="8">
        <v>9000</v>
      </c>
      <c r="C17" s="18">
        <v>1341000</v>
      </c>
      <c r="D17" s="33">
        <f t="shared" si="0"/>
        <v>1336665</v>
      </c>
      <c r="E17" s="11">
        <f t="shared" si="1"/>
        <v>-4335</v>
      </c>
      <c r="F17"/>
      <c r="G17"/>
      <c r="H17"/>
      <c r="I17"/>
      <c r="J17"/>
      <c r="K17"/>
      <c r="L17"/>
      <c r="M17"/>
      <c r="N17"/>
      <c r="O17"/>
      <c r="P17"/>
      <c r="Q17" s="9"/>
    </row>
    <row r="18" spans="1:21" ht="21" customHeight="1">
      <c r="A18" s="22" t="s">
        <v>20</v>
      </c>
      <c r="B18" s="8">
        <v>18000</v>
      </c>
      <c r="C18" s="13">
        <v>1386000</v>
      </c>
      <c r="D18" s="33">
        <f t="shared" si="0"/>
        <v>1381601</v>
      </c>
      <c r="E18" s="11">
        <f t="shared" si="1"/>
        <v>-4399</v>
      </c>
      <c r="F18"/>
      <c r="G18"/>
      <c r="H18"/>
      <c r="I18"/>
      <c r="J18"/>
      <c r="K18"/>
      <c r="L18"/>
      <c r="M18"/>
      <c r="N18"/>
      <c r="O18"/>
      <c r="P18"/>
      <c r="Q18" s="9"/>
    </row>
    <row r="19" spans="1:21" ht="21" customHeight="1">
      <c r="A19" s="22" t="s">
        <v>14</v>
      </c>
      <c r="B19" s="8">
        <v>18000</v>
      </c>
      <c r="C19" s="18">
        <f>1233000+9000</f>
        <v>1242000</v>
      </c>
      <c r="D19" s="33">
        <f t="shared" si="0"/>
        <v>1236350</v>
      </c>
      <c r="E19" s="11">
        <f t="shared" si="1"/>
        <v>-5650</v>
      </c>
      <c r="F19"/>
      <c r="G19"/>
      <c r="H19"/>
      <c r="I19"/>
      <c r="J19"/>
      <c r="K19"/>
      <c r="L19"/>
      <c r="M19"/>
      <c r="N19"/>
      <c r="O19"/>
      <c r="P19"/>
      <c r="Q19" s="9"/>
    </row>
    <row r="20" spans="1:21" ht="21" customHeight="1">
      <c r="A20" s="22" t="s">
        <v>13</v>
      </c>
      <c r="B20" s="8">
        <v>18000</v>
      </c>
      <c r="C20" s="13">
        <v>1422000</v>
      </c>
      <c r="D20" s="33">
        <f t="shared" si="0"/>
        <v>1415979</v>
      </c>
      <c r="E20" s="11">
        <f t="shared" si="1"/>
        <v>-6021</v>
      </c>
      <c r="F20"/>
      <c r="G20"/>
      <c r="H20"/>
      <c r="I20"/>
      <c r="J20"/>
      <c r="K20"/>
      <c r="L20"/>
      <c r="M20"/>
      <c r="N20"/>
      <c r="O20"/>
      <c r="P20"/>
      <c r="Q20" s="9"/>
    </row>
    <row r="21" spans="1:21" ht="21" customHeight="1">
      <c r="A21" s="22" t="s">
        <v>6</v>
      </c>
      <c r="B21" s="8">
        <v>9000</v>
      </c>
      <c r="C21" s="18">
        <v>1395000</v>
      </c>
      <c r="D21" s="33">
        <f t="shared" si="0"/>
        <v>1388838</v>
      </c>
      <c r="E21" s="11">
        <f t="shared" si="1"/>
        <v>-6162</v>
      </c>
      <c r="F21"/>
      <c r="G21"/>
      <c r="H21"/>
      <c r="I21"/>
      <c r="J21"/>
      <c r="K21"/>
      <c r="L21"/>
      <c r="M21"/>
      <c r="N21"/>
      <c r="O21"/>
      <c r="P21"/>
      <c r="Q21" s="9"/>
    </row>
    <row r="22" spans="1:21" ht="21" customHeight="1">
      <c r="A22" s="22" t="s">
        <v>25</v>
      </c>
      <c r="B22" s="8">
        <v>9000</v>
      </c>
      <c r="C22" s="13">
        <v>1323000</v>
      </c>
      <c r="D22" s="33">
        <f t="shared" si="0"/>
        <v>1316032</v>
      </c>
      <c r="E22" s="11">
        <f t="shared" si="1"/>
        <v>-6968</v>
      </c>
      <c r="F22"/>
      <c r="G22"/>
      <c r="H22"/>
      <c r="I22"/>
      <c r="J22"/>
      <c r="K22"/>
      <c r="L22"/>
      <c r="M22"/>
      <c r="N22"/>
      <c r="O22"/>
      <c r="P22"/>
      <c r="Q22" s="9"/>
    </row>
    <row r="23" spans="1:21" ht="21" customHeight="1">
      <c r="A23" s="24" t="s">
        <v>11</v>
      </c>
      <c r="B23" s="8">
        <v>9000</v>
      </c>
      <c r="C23" s="13">
        <v>1341000</v>
      </c>
      <c r="D23" s="33">
        <f t="shared" si="0"/>
        <v>1333192</v>
      </c>
      <c r="E23" s="11">
        <f t="shared" si="1"/>
        <v>-7808</v>
      </c>
      <c r="F23"/>
      <c r="G23"/>
      <c r="H23"/>
      <c r="I23"/>
      <c r="J23"/>
      <c r="K23"/>
      <c r="L23"/>
      <c r="M23"/>
      <c r="N23"/>
      <c r="O23"/>
      <c r="P23"/>
      <c r="Q23" s="4"/>
      <c r="R23" s="4"/>
      <c r="S23" s="4"/>
      <c r="T23" s="4"/>
      <c r="U23" s="4"/>
    </row>
    <row r="24" spans="1:21" ht="21" customHeight="1">
      <c r="A24" s="23" t="s">
        <v>10</v>
      </c>
      <c r="B24" s="8">
        <v>9000</v>
      </c>
      <c r="C24" s="18">
        <f>1350000+9000</f>
        <v>1359000</v>
      </c>
      <c r="D24" s="33">
        <f t="shared" si="0"/>
        <v>1350687</v>
      </c>
      <c r="E24" s="11">
        <f t="shared" si="1"/>
        <v>-8313</v>
      </c>
      <c r="F24"/>
      <c r="G24"/>
      <c r="H24"/>
      <c r="I24"/>
      <c r="J24"/>
      <c r="K24"/>
      <c r="L24"/>
      <c r="M24"/>
      <c r="N24"/>
      <c r="O24"/>
      <c r="P24"/>
      <c r="Q24" s="4"/>
      <c r="R24" s="4"/>
      <c r="S24" s="4"/>
      <c r="T24" s="4"/>
      <c r="U24" s="4"/>
    </row>
    <row r="25" spans="1:21" ht="21" customHeight="1">
      <c r="A25" s="24" t="s">
        <v>19</v>
      </c>
      <c r="B25" s="8">
        <v>72000</v>
      </c>
      <c r="C25" s="13">
        <v>1368000</v>
      </c>
      <c r="D25" s="33">
        <f t="shared" si="0"/>
        <v>1359485</v>
      </c>
      <c r="E25" s="11">
        <f t="shared" si="1"/>
        <v>-8515</v>
      </c>
      <c r="F25"/>
      <c r="G25"/>
      <c r="H25"/>
      <c r="I25"/>
      <c r="J25"/>
      <c r="K25"/>
      <c r="L25"/>
      <c r="M25"/>
      <c r="N25"/>
      <c r="O25"/>
      <c r="P25"/>
      <c r="Q25" s="4"/>
      <c r="R25" s="4"/>
      <c r="S25" s="4"/>
      <c r="T25" s="4"/>
      <c r="U25" s="4"/>
    </row>
    <row r="26" spans="1:21" ht="21" customHeight="1" thickBot="1">
      <c r="A26" s="31" t="s">
        <v>9</v>
      </c>
      <c r="B26" s="27">
        <v>72000</v>
      </c>
      <c r="C26" s="32">
        <v>1368000</v>
      </c>
      <c r="D26" s="33">
        <f t="shared" si="0"/>
        <v>1359418</v>
      </c>
      <c r="E26" s="28">
        <f t="shared" si="1"/>
        <v>-8582</v>
      </c>
      <c r="F26"/>
      <c r="G26"/>
      <c r="H26"/>
      <c r="I26"/>
      <c r="J26"/>
      <c r="K26"/>
      <c r="L26"/>
      <c r="M26"/>
      <c r="N26"/>
      <c r="O26"/>
      <c r="P26"/>
      <c r="Q26" s="4"/>
      <c r="R26" s="4"/>
      <c r="S26" s="4"/>
      <c r="T26" s="4"/>
      <c r="U26" s="4"/>
    </row>
    <row r="27" spans="1:21" ht="15" customHeight="1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 s="4"/>
      <c r="R27" s="4"/>
      <c r="S27" s="4"/>
      <c r="T27" s="4"/>
      <c r="U27" s="4"/>
    </row>
    <row r="28" spans="1:21">
      <c r="A28"/>
      <c r="B28"/>
      <c r="C28"/>
      <c r="D28"/>
      <c r="E28"/>
      <c r="F28"/>
      <c r="G28"/>
      <c r="H28"/>
      <c r="I28"/>
      <c r="P28" s="4"/>
      <c r="Q28" s="4"/>
      <c r="R28" s="4"/>
      <c r="S28" s="4"/>
      <c r="T28" s="4"/>
      <c r="U28" s="4"/>
    </row>
    <row r="29" spans="1:21" ht="15.75" thickBot="1">
      <c r="A29"/>
      <c r="B29"/>
      <c r="C29"/>
      <c r="D29"/>
      <c r="E29"/>
      <c r="F29"/>
      <c r="G29"/>
      <c r="H29"/>
      <c r="I29"/>
      <c r="P29" s="4"/>
      <c r="Q29" s="4"/>
      <c r="R29" s="4"/>
      <c r="S29" s="4"/>
      <c r="T29" s="4"/>
      <c r="U29" s="4"/>
    </row>
    <row r="30" spans="1:21" ht="15.75" thickBot="1">
      <c r="A30" s="34" t="s">
        <v>30</v>
      </c>
      <c r="B30" s="1"/>
      <c r="C30" s="1"/>
      <c r="D30"/>
      <c r="E30"/>
      <c r="F30" s="67" t="s">
        <v>30</v>
      </c>
      <c r="G30" s="78"/>
      <c r="H30" s="79">
        <v>2</v>
      </c>
      <c r="I30" s="79"/>
      <c r="J30" s="78"/>
      <c r="K30" s="79">
        <v>1</v>
      </c>
      <c r="L30" s="79"/>
      <c r="M30" s="78"/>
      <c r="N30" s="70"/>
      <c r="O30" s="68"/>
      <c r="P30" s="68"/>
      <c r="Q30" s="68"/>
      <c r="R30" s="68"/>
      <c r="S30" s="68"/>
      <c r="T30" s="10"/>
      <c r="U30" s="4"/>
    </row>
    <row r="31" spans="1:21" ht="15.75" thickBot="1">
      <c r="A31" s="53" t="s">
        <v>14</v>
      </c>
      <c r="B31" s="54">
        <v>1236350</v>
      </c>
      <c r="C31" s="61">
        <v>42606.083333333336</v>
      </c>
      <c r="D31"/>
      <c r="E31"/>
      <c r="F31" s="66" t="s">
        <v>31</v>
      </c>
      <c r="G31" s="77" t="s">
        <v>38</v>
      </c>
      <c r="H31" s="67" t="s">
        <v>29</v>
      </c>
      <c r="I31" s="71"/>
      <c r="J31" s="76" t="s">
        <v>36</v>
      </c>
      <c r="K31" s="69" t="s">
        <v>29</v>
      </c>
      <c r="L31" s="71"/>
      <c r="M31" s="77" t="s">
        <v>37</v>
      </c>
      <c r="N31" s="71"/>
      <c r="O31" s="71"/>
      <c r="P31" s="75"/>
      <c r="Q31" s="66" t="s">
        <v>32</v>
      </c>
      <c r="R31" s="66" t="s">
        <v>33</v>
      </c>
      <c r="S31" s="66" t="s">
        <v>3</v>
      </c>
      <c r="T31" s="66" t="s">
        <v>0</v>
      </c>
      <c r="U31" s="4"/>
    </row>
    <row r="32" spans="1:21">
      <c r="A32" s="55" t="s">
        <v>8</v>
      </c>
      <c r="B32" s="56">
        <v>1122172</v>
      </c>
      <c r="C32" s="57">
        <v>42549.083333333336</v>
      </c>
      <c r="D32"/>
      <c r="E32"/>
      <c r="F32" s="35" t="s">
        <v>28</v>
      </c>
      <c r="G32" s="36">
        <f>VLOOKUP(F32,Compteur,2,FALSE)</f>
        <v>1324814</v>
      </c>
      <c r="H32" s="37">
        <f>IF(G32-J32=0,"",IF(G32-J32&gt;VLOOKUP(F32,'Priorité de passage'!$A$2:$N$26,7,FALSE),G32-J32,VLOOKUP(F32,'Priorité de passage'!$A$2:$N$26,7,FALSE)))</f>
        <v>246</v>
      </c>
      <c r="I32" s="63">
        <f>IF(H32="","",IF(H32&lt;=160,1,IF(H32&lt;=280,2,3)))</f>
        <v>2</v>
      </c>
      <c r="J32" s="39">
        <v>1324568</v>
      </c>
      <c r="K32" s="37">
        <f>IF(J32-M32=0,"",IF(J32-M32&gt;VLOOKUP(F32,'Priorité de passage'!$A$2:$N$26,7,FALSE),J32-M32,VLOOKUP(F32,'Priorité de passage'!$A$2:$N$26,7,FALSE)))</f>
        <v>258</v>
      </c>
      <c r="L32" s="63">
        <f>IF(K32="","",IF(K32&lt;=160,1,IF(K32&lt;=280,2,3)))</f>
        <v>2</v>
      </c>
      <c r="M32" s="56">
        <v>1324310</v>
      </c>
      <c r="N32" s="74"/>
      <c r="O32" s="56"/>
      <c r="P32" s="70"/>
      <c r="Q32" s="40">
        <f>IF(AND(H32="",K32=""),"",IF(AND(H32&gt;"",K32=""),-VLOOKUP(F32,Zone_de_travail,5,FALSE)/H32,IF(AND(K32&gt;"",H32=""),-VLOOKUP(F32,Zone_de_travail,5,FALSE)/K32,-VLOOKUP(F32,Zone_de_travail,5,FALSE)/(AVERAGE(H32,K32)))))</f>
        <v>-7.1984126984126986</v>
      </c>
      <c r="R32" s="41">
        <f ca="1">IFERROR(TODAY()+Q32,"")</f>
        <v>42600.80158730159</v>
      </c>
      <c r="S32" s="56">
        <f>VLOOKUP(F32,Zone_de_travail,5,FALSE)</f>
        <v>1814</v>
      </c>
      <c r="T32" s="42">
        <f>VLOOKUP(F32,Zone_de_travail,2,FALSE)</f>
        <v>9000</v>
      </c>
    </row>
    <row r="33" spans="1:20">
      <c r="A33" s="55" t="s">
        <v>23</v>
      </c>
      <c r="B33" s="56">
        <v>1330856</v>
      </c>
      <c r="C33" s="57">
        <v>42607.083333333336</v>
      </c>
      <c r="D33"/>
      <c r="E33"/>
      <c r="F33" s="44" t="s">
        <v>16</v>
      </c>
      <c r="G33" s="36">
        <f>VLOOKUP(F33,Compteur,2,FALSE)</f>
        <v>1304969</v>
      </c>
      <c r="H33" s="37">
        <f>IF(G33-J33=0,"",IF(G33-J33&gt;VLOOKUP(F33,'Priorité de passage'!$A$2:$N$26,7,FALSE),G33-J33,VLOOKUP(F33,'Priorité de passage'!$A$2:$N$26,7,FALSE)))</f>
        <v>374</v>
      </c>
      <c r="I33" s="38">
        <f>IF(H33="","",IF(H33&lt;=160,1,IF(H33&lt;=280,2,3)))</f>
        <v>3</v>
      </c>
      <c r="J33" s="39">
        <v>1304595</v>
      </c>
      <c r="K33" s="37">
        <f>IF(J33-M33=0,"",IF(J33-M33&gt;VLOOKUP(F33,'Priorité de passage'!$A$2:$N$26,7,FALSE),J33-M33,VLOOKUP(F33,'Priorité de passage'!$A$2:$N$26,7,FALSE)))</f>
        <v>268</v>
      </c>
      <c r="L33" s="38">
        <f>IF(K33="","",IF(K33&lt;=160,1,IF(K33&lt;=280,2,3)))</f>
        <v>2</v>
      </c>
      <c r="M33" s="56">
        <v>1304327</v>
      </c>
      <c r="N33" s="40"/>
      <c r="O33" s="56"/>
      <c r="P33" s="70"/>
      <c r="Q33" s="40">
        <f>IF(AND(H33="",K33=""),"",IF(AND(H33&gt;"",K33=""),-VLOOKUP(F33,Zone_de_travail,5,FALSE)/H33,IF(AND(K33&gt;"",H33=""),-VLOOKUP(F33,Zone_de_travail,5,FALSE)/K33,-VLOOKUP(F33,Zone_de_travail,5,FALSE)/(AVERAGE(H33,K33)))))</f>
        <v>9.657320872274143E-2</v>
      </c>
      <c r="R33" s="41">
        <f ca="1">IFERROR(TODAY()+Q33,"")</f>
        <v>42608.096573208721</v>
      </c>
      <c r="S33" s="56">
        <f>VLOOKUP(F33,Zone_de_travail,5,FALSE)</f>
        <v>-31</v>
      </c>
      <c r="T33" s="42">
        <f>VLOOKUP(F33,Zone_de_travail,2,FALSE)</f>
        <v>9000</v>
      </c>
    </row>
    <row r="34" spans="1:20">
      <c r="A34" s="55" t="s">
        <v>10</v>
      </c>
      <c r="B34" s="56">
        <v>1350687</v>
      </c>
      <c r="C34" s="57">
        <v>42606.083333333336</v>
      </c>
      <c r="D34"/>
      <c r="E34"/>
      <c r="F34" s="44" t="s">
        <v>26</v>
      </c>
      <c r="G34" s="36">
        <f>VLOOKUP(F34,Compteur,2,FALSE)</f>
        <v>1403040</v>
      </c>
      <c r="H34" s="37">
        <f>IF(G34-J34=0,"",IF(G34-J34&gt;VLOOKUP(F34,'Priorité de passage'!$A$2:$N$26,7,FALSE),G34-J34,VLOOKUP(F34,'Priorité de passage'!$A$2:$N$26,7,FALSE)))</f>
        <v>76</v>
      </c>
      <c r="I34" s="38">
        <f>IF(H34="","",IF(H34&lt;=160,1,IF(H34&lt;=280,2,3)))</f>
        <v>1</v>
      </c>
      <c r="J34" s="39">
        <v>1402964</v>
      </c>
      <c r="K34" s="37">
        <f>IF(J34-M34=0,"",IF(J34-M34&gt;VLOOKUP(F34,'Priorité de passage'!$A$2:$N$26,7,FALSE),J34-M34,VLOOKUP(F34,'Priorité de passage'!$A$2:$N$26,7,FALSE)))</f>
        <v>32</v>
      </c>
      <c r="L34" s="38">
        <f>IF(K34="","",IF(K34&lt;=160,1,IF(K34&lt;=280,2,3)))</f>
        <v>1</v>
      </c>
      <c r="M34" s="56">
        <v>1402932</v>
      </c>
      <c r="N34" s="40"/>
      <c r="O34" s="56"/>
      <c r="P34" s="70"/>
      <c r="Q34" s="40">
        <f>IF(AND(H34="",K34=""),"",IF(AND(H34&gt;"",K34=""),-VLOOKUP(F34,Zone_de_travail,5,FALSE)/H34,IF(AND(K34&gt;"",H34=""),-VLOOKUP(F34,Zone_de_travail,5,FALSE)/K34,-VLOOKUP(F34,Zone_de_travail,5,FALSE)/(AVERAGE(H34,K34)))))</f>
        <v>17.777777777777779</v>
      </c>
      <c r="R34" s="41">
        <f ca="1">IFERROR(TODAY()+Q34,"")</f>
        <v>42625.777777777781</v>
      </c>
      <c r="S34" s="56">
        <f>VLOOKUP(F34,Zone_de_travail,5,FALSE)</f>
        <v>-960</v>
      </c>
      <c r="T34" s="42">
        <f>VLOOKUP(F34,Zone_de_travail,2,FALSE)</f>
        <v>36000</v>
      </c>
    </row>
    <row r="35" spans="1:20">
      <c r="A35" s="55" t="s">
        <v>28</v>
      </c>
      <c r="B35" s="56">
        <v>1324814</v>
      </c>
      <c r="C35" s="57">
        <v>42607.083333333336</v>
      </c>
      <c r="D35"/>
      <c r="E35"/>
      <c r="F35" s="44" t="s">
        <v>23</v>
      </c>
      <c r="G35" s="36">
        <f>VLOOKUP(F35,Compteur,2,FALSE)</f>
        <v>1330856</v>
      </c>
      <c r="H35" s="37">
        <f>IF(G35-J35=0,"",IF(G35-J35&gt;VLOOKUP(F35,'Priorité de passage'!$A$2:$N$26,7,FALSE),G35-J35,VLOOKUP(F35,'Priorité de passage'!$A$2:$N$26,7,FALSE)))</f>
        <v>119</v>
      </c>
      <c r="I35" s="38">
        <f>IF(H35="","",IF(H35&lt;=160,1,IF(H35&lt;=280,2,3)))</f>
        <v>1</v>
      </c>
      <c r="J35" s="39">
        <v>1330737</v>
      </c>
      <c r="K35" s="37" t="str">
        <f>IF(J35-M35=0,"",IF(J35-M35&gt;VLOOKUP(F35,'Priorité de passage'!$A$2:$N$26,7,FALSE),J35-M35,VLOOKUP(F35,'Priorité de passage'!$A$2:$N$26,7,FALSE)))</f>
        <v/>
      </c>
      <c r="L35" s="38" t="str">
        <f>IF(K35="","",IF(K35&lt;=160,1,IF(K35&lt;=280,2,3)))</f>
        <v/>
      </c>
      <c r="M35" s="56">
        <v>1330737</v>
      </c>
      <c r="N35" s="40"/>
      <c r="O35" s="56"/>
      <c r="P35" s="70"/>
      <c r="Q35" s="40">
        <f>IF(AND(H35="",K35=""),"",IF(AND(H35&gt;"",K35=""),-VLOOKUP(F35,Zone_de_travail,5,FALSE)/H35,IF(AND(K35&gt;"",H35=""),-VLOOKUP(F35,Zone_de_travail,5,FALSE)/K35,-VLOOKUP(F35,Zone_de_travail,5,FALSE)/(AVERAGE(H35,K35)))))</f>
        <v>9.6134453781512601</v>
      </c>
      <c r="R35" s="41">
        <f ca="1">IFERROR(TODAY()+Q35,"")</f>
        <v>42617.613445378149</v>
      </c>
      <c r="S35" s="56">
        <f>VLOOKUP(F35,Zone_de_travail,5,FALSE)</f>
        <v>-1144</v>
      </c>
      <c r="T35" s="42">
        <f>VLOOKUP(F35,Zone_de_travail,2,FALSE)</f>
        <v>36000</v>
      </c>
    </row>
    <row r="36" spans="1:20">
      <c r="A36" s="55" t="s">
        <v>21</v>
      </c>
      <c r="B36" s="56">
        <v>1222522</v>
      </c>
      <c r="C36" s="57">
        <v>42607.083333333336</v>
      </c>
      <c r="D36"/>
      <c r="E36"/>
      <c r="F36" s="43" t="s">
        <v>5</v>
      </c>
      <c r="G36" s="36">
        <f>VLOOKUP(F36,Compteur,2,FALSE)</f>
        <v>1375845</v>
      </c>
      <c r="H36" s="37">
        <f>IF(G36-J36=0,"",IF(G36-J36&gt;VLOOKUP(F36,'Priorité de passage'!$A$2:$N$26,7,FALSE),G36-J36,VLOOKUP(F36,'Priorité de passage'!$A$2:$N$26,7,FALSE)))</f>
        <v>175</v>
      </c>
      <c r="I36" s="38">
        <f>IF(H36="","",IF(H36&lt;=160,1,IF(H36&lt;=280,2,3)))</f>
        <v>2</v>
      </c>
      <c r="J36" s="39">
        <v>1375670</v>
      </c>
      <c r="K36" s="37">
        <f>IF(J36-M36=0,"",IF(J36-M36&gt;VLOOKUP(F36,'Priorité de passage'!$A$2:$N$26,7,FALSE),J36-M36,VLOOKUP(F36,'Priorité de passage'!$A$2:$N$26,7,FALSE)))</f>
        <v>368</v>
      </c>
      <c r="L36" s="38">
        <f>IF(K36="","",IF(K36&lt;=160,1,IF(K36&lt;=280,2,3)))</f>
        <v>3</v>
      </c>
      <c r="M36" s="56">
        <v>1375302</v>
      </c>
      <c r="N36" s="40"/>
      <c r="O36" s="56"/>
      <c r="P36" s="70"/>
      <c r="Q36" s="40">
        <f>IF(AND(H36="",K36=""),"",IF(AND(H36&gt;"",K36=""),-VLOOKUP(F36,Zone_de_travail,5,FALSE)/H36,IF(AND(K36&gt;"",H36=""),-VLOOKUP(F36,Zone_de_travail,5,FALSE)/K36,-VLOOKUP(F36,Zone_de_travail,5,FALSE)/(AVERAGE(H36,K36)))))</f>
        <v>4.2541436464088394</v>
      </c>
      <c r="R36" s="41">
        <f ca="1">IFERROR(TODAY()+Q36,"")</f>
        <v>42612.254143646409</v>
      </c>
      <c r="S36" s="56">
        <f>VLOOKUP(F36,Zone_de_travail,5,FALSE)</f>
        <v>-1155</v>
      </c>
      <c r="T36" s="42">
        <f>VLOOKUP(F36,Zone_de_travail,2,FALSE)</f>
        <v>9000</v>
      </c>
    </row>
    <row r="37" spans="1:20">
      <c r="A37" s="55" t="s">
        <v>22</v>
      </c>
      <c r="B37" s="56">
        <v>1174866</v>
      </c>
      <c r="C37" s="57">
        <v>42607.083333333336</v>
      </c>
      <c r="D37"/>
      <c r="E37"/>
      <c r="F37" s="44" t="s">
        <v>21</v>
      </c>
      <c r="G37" s="36">
        <f>VLOOKUP(F37,Compteur,2,FALSE)</f>
        <v>1222522</v>
      </c>
      <c r="H37" s="37">
        <f>IF(G37-J37=0,"",IF(G37-J37&gt;VLOOKUP(F37,'Priorité de passage'!$A$2:$N$26,7,FALSE),G37-J37,VLOOKUP(F37,'Priorité de passage'!$A$2:$N$26,7,FALSE)))</f>
        <v>198</v>
      </c>
      <c r="I37" s="38">
        <f>IF(H37="","",IF(H37&lt;=160,1,IF(H37&lt;=280,2,3)))</f>
        <v>2</v>
      </c>
      <c r="J37" s="39">
        <v>1222324</v>
      </c>
      <c r="K37" s="37" t="str">
        <f>IF(J37-M37=0,"",IF(J37-M37&gt;VLOOKUP(F37,'Priorité de passage'!$A$2:$N$26,7,FALSE),J37-M37,VLOOKUP(F37,'Priorité de passage'!$A$2:$N$26,7,FALSE)))</f>
        <v/>
      </c>
      <c r="L37" s="38" t="str">
        <f>IF(K37="","",IF(K37&lt;=160,1,IF(K37&lt;=280,2,3)))</f>
        <v/>
      </c>
      <c r="M37" s="56">
        <v>1222324</v>
      </c>
      <c r="N37" s="40"/>
      <c r="O37" s="56"/>
      <c r="P37" s="70"/>
      <c r="Q37" s="40">
        <f>IF(AND(H37="",K37=""),"",IF(AND(H37&gt;"",K37=""),-VLOOKUP(F37,Zone_de_travail,5,FALSE)/H37,IF(AND(K37&gt;"",H37=""),-VLOOKUP(F37,Zone_de_travail,5,FALSE)/K37,-VLOOKUP(F37,Zone_de_travail,5,FALSE)/(AVERAGE(H37,K37)))))</f>
        <v>7.4646464646464645</v>
      </c>
      <c r="R37" s="41">
        <f ca="1">IFERROR(TODAY()+Q37,"")</f>
        <v>42615.464646464643</v>
      </c>
      <c r="S37" s="56">
        <f>VLOOKUP(F37,Zone_de_travail,5,FALSE)</f>
        <v>-1478</v>
      </c>
      <c r="T37" s="42">
        <f>VLOOKUP(F37,Zone_de_travail,2,FALSE)</f>
        <v>72000</v>
      </c>
    </row>
    <row r="38" spans="1:20">
      <c r="A38" s="55" t="s">
        <v>27</v>
      </c>
      <c r="B38" s="56">
        <v>1383644</v>
      </c>
      <c r="C38" s="57">
        <v>42607.083333333336</v>
      </c>
      <c r="D38"/>
      <c r="E38"/>
      <c r="F38" s="45" t="s">
        <v>17</v>
      </c>
      <c r="G38" s="36">
        <f>VLOOKUP(F38,Compteur,2,FALSE)</f>
        <v>1240462</v>
      </c>
      <c r="H38" s="37" t="str">
        <f>IF(G38-J38=0,"",IF(G38-J38&gt;VLOOKUP(F38,'Priorité de passage'!$A$2:$N$26,7,FALSE),G38-J38,VLOOKUP(F38,'Priorité de passage'!$A$2:$N$26,7,FALSE)))</f>
        <v/>
      </c>
      <c r="I38" s="38" t="str">
        <f>IF(H38="","",IF(H38&lt;=160,1,IF(H38&lt;=280,2,3)))</f>
        <v/>
      </c>
      <c r="J38" s="39">
        <v>1240462</v>
      </c>
      <c r="K38" s="37" t="str">
        <f>IF(J38-M38=0,"",IF(J38-M38&gt;VLOOKUP(F38,'Priorité de passage'!$A$2:$N$26,7,FALSE),J38-M38,VLOOKUP(F38,'Priorité de passage'!$A$2:$N$26,7,FALSE)))</f>
        <v/>
      </c>
      <c r="L38" s="38" t="str">
        <f>IF(K38="","",IF(K38&lt;=160,1,IF(K38&lt;=280,2,3)))</f>
        <v/>
      </c>
      <c r="M38" s="56">
        <v>1240462</v>
      </c>
      <c r="N38" s="40"/>
      <c r="O38" s="56"/>
      <c r="P38" s="70"/>
      <c r="Q38" s="40" t="str">
        <f>IF(AND(H38="",K38=""),"",IF(AND(H38&gt;"",K38=""),-VLOOKUP(F38,Zone_de_travail,5,FALSE)/H38,IF(AND(K38&gt;"",H38=""),-VLOOKUP(F38,Zone_de_travail,5,FALSE)/K38,-VLOOKUP(F38,Zone_de_travail,5,FALSE)/(AVERAGE(H38,K38)))))</f>
        <v/>
      </c>
      <c r="R38" s="41" t="str">
        <f ca="1">IFERROR(TODAY()+Q38,"")</f>
        <v/>
      </c>
      <c r="S38" s="56">
        <f>VLOOKUP(F38,Zone_de_travail,5,FALSE)</f>
        <v>-1538</v>
      </c>
      <c r="T38" s="42">
        <f>VLOOKUP(F38,Zone_de_travail,2,FALSE)</f>
        <v>18000</v>
      </c>
    </row>
    <row r="39" spans="1:20">
      <c r="A39" s="55" t="s">
        <v>16</v>
      </c>
      <c r="B39" s="56">
        <v>1304969</v>
      </c>
      <c r="C39" s="57">
        <v>42607.083333333336</v>
      </c>
      <c r="D39"/>
      <c r="E39"/>
      <c r="F39" s="44" t="s">
        <v>27</v>
      </c>
      <c r="G39" s="36">
        <f>VLOOKUP(F39,Compteur,2,FALSE)</f>
        <v>1383644</v>
      </c>
      <c r="H39" s="37">
        <f>IF(G39-J39=0,"",IF(G39-J39&gt;VLOOKUP(F39,'Priorité de passage'!$A$2:$N$26,7,FALSE),G39-J39,VLOOKUP(F39,'Priorité de passage'!$A$2:$N$26,7,FALSE)))</f>
        <v>182</v>
      </c>
      <c r="I39" s="38">
        <f>IF(H39="","",IF(H39&lt;=160,1,IF(H39&lt;=280,2,3)))</f>
        <v>2</v>
      </c>
      <c r="J39" s="39">
        <v>1383462</v>
      </c>
      <c r="K39" s="37">
        <f>IF(J39-M39=0,"",IF(J39-M39&gt;VLOOKUP(F39,'Priorité de passage'!$A$2:$N$26,7,FALSE),J39-M39,VLOOKUP(F39,'Priorité de passage'!$A$2:$N$26,7,FALSE)))</f>
        <v>367</v>
      </c>
      <c r="L39" s="38">
        <f>IF(K39="","",IF(K39&lt;=160,1,IF(K39&lt;=280,2,3)))</f>
        <v>3</v>
      </c>
      <c r="M39" s="56">
        <v>1383095</v>
      </c>
      <c r="N39" s="40"/>
      <c r="O39" s="56"/>
      <c r="P39" s="70"/>
      <c r="Q39" s="40">
        <f>IF(AND(H39="",K39=""),"",IF(AND(H39&gt;"",K39=""),-VLOOKUP(F39,Zone_de_travail,5,FALSE)/H39,IF(AND(K39&gt;"",H39=""),-VLOOKUP(F39,Zone_de_travail,5,FALSE)/K39,-VLOOKUP(F39,Zone_de_travail,5,FALSE)/(AVERAGE(H39,K39)))))</f>
        <v>8.5828779599271403</v>
      </c>
      <c r="R39" s="41">
        <f ca="1">IFERROR(TODAY()+Q39,"")</f>
        <v>42616.582877959925</v>
      </c>
      <c r="S39" s="56">
        <f>VLOOKUP(F39,Zone_de_travail,5,FALSE)</f>
        <v>-2356</v>
      </c>
      <c r="T39" s="42">
        <f>VLOOKUP(F39,Zone_de_travail,2,FALSE)</f>
        <v>18000</v>
      </c>
    </row>
    <row r="40" spans="1:20">
      <c r="A40" s="55" t="s">
        <v>18</v>
      </c>
      <c r="B40" s="56">
        <v>1427560</v>
      </c>
      <c r="C40" s="57">
        <v>42607.083333333336</v>
      </c>
      <c r="D40"/>
      <c r="E40"/>
      <c r="F40" s="45" t="s">
        <v>8</v>
      </c>
      <c r="G40" s="36">
        <f>VLOOKUP(F40,Compteur,2,FALSE)</f>
        <v>1122172</v>
      </c>
      <c r="H40" s="37" t="str">
        <f>IF(G40-J40=0,"",IF(G40-J40&gt;VLOOKUP(F40,'Priorité de passage'!$A$2:$N$26,7,FALSE),G40-J40,VLOOKUP(F40,'Priorité de passage'!$A$2:$N$26,7,FALSE)))</f>
        <v/>
      </c>
      <c r="I40" s="38" t="str">
        <f>IF(H40="","",IF(H40&lt;=160,1,IF(H40&lt;=280,2,3)))</f>
        <v/>
      </c>
      <c r="J40" s="39">
        <v>1122172</v>
      </c>
      <c r="K40" s="37" t="str">
        <f>IF(J40-M40=0,"",IF(J40-M40&gt;VLOOKUP(F40,'Priorité de passage'!$A$2:$N$26,7,FALSE),J40-M40,VLOOKUP(F40,'Priorité de passage'!$A$2:$N$26,7,FALSE)))</f>
        <v/>
      </c>
      <c r="L40" s="38" t="str">
        <f>IF(K40="","",IF(K40&lt;=160,1,IF(K40&lt;=280,2,3)))</f>
        <v/>
      </c>
      <c r="M40" s="56">
        <v>1122172</v>
      </c>
      <c r="N40" s="40"/>
      <c r="O40" s="56"/>
      <c r="P40" s="70"/>
      <c r="Q40" s="40" t="str">
        <f>IF(AND(H40="",K40=""),"",IF(AND(H40&gt;"",K40=""),-VLOOKUP(F40,Zone_de_travail,5,FALSE)/H40,IF(AND(K40&gt;"",H40=""),-VLOOKUP(F40,Zone_de_travail,5,FALSE)/K40,-VLOOKUP(F40,Zone_de_travail,5,FALSE)/(AVERAGE(H40,K40)))))</f>
        <v/>
      </c>
      <c r="R40" s="41" t="str">
        <f ca="1">IFERROR(TODAY()+Q40,"")</f>
        <v/>
      </c>
      <c r="S40" s="56">
        <f>VLOOKUP(F40,Zone_de_travail,5,FALSE)</f>
        <v>-2828</v>
      </c>
      <c r="T40" s="42">
        <f>VLOOKUP(F40,Zone_de_travail,2,FALSE)</f>
        <v>9000</v>
      </c>
    </row>
    <row r="41" spans="1:20">
      <c r="A41" s="55" t="s">
        <v>5</v>
      </c>
      <c r="B41" s="56">
        <v>1375845</v>
      </c>
      <c r="C41" s="57">
        <v>42607.083333333336</v>
      </c>
      <c r="D41"/>
      <c r="E41"/>
      <c r="F41" s="44" t="s">
        <v>12</v>
      </c>
      <c r="G41" s="36">
        <f>VLOOKUP(F41,Compteur,2,FALSE)</f>
        <v>1256839</v>
      </c>
      <c r="H41" s="37">
        <f>IF(G41-J41=0,"",IF(G41-J41&gt;VLOOKUP(F41,'Priorité de passage'!$A$2:$N$26,7,FALSE),G41-J41,VLOOKUP(F41,'Priorité de passage'!$A$2:$N$26,7,FALSE)))</f>
        <v>32</v>
      </c>
      <c r="I41" s="38">
        <f>IF(H41="","",IF(H41&lt;=160,1,IF(H41&lt;=280,2,3)))</f>
        <v>1</v>
      </c>
      <c r="J41" s="39">
        <v>1256807</v>
      </c>
      <c r="K41" s="37" t="str">
        <f>IF(J41-M41=0,"",IF(J41-M41&gt;VLOOKUP(F41,'Priorité de passage'!$A$2:$N$26,7,FALSE),J41-M41,VLOOKUP(F41,'Priorité de passage'!$A$2:$N$26,7,FALSE)))</f>
        <v/>
      </c>
      <c r="L41" s="38" t="str">
        <f>IF(K41="","",IF(K41&lt;=160,1,IF(K41&lt;=280,2,3)))</f>
        <v/>
      </c>
      <c r="M41" s="56">
        <v>1256807</v>
      </c>
      <c r="N41" s="40"/>
      <c r="O41" s="56"/>
      <c r="P41" s="70"/>
      <c r="Q41" s="40">
        <f>IF(AND(H41="",K41=""),"",IF(AND(H41&gt;"",K41=""),-VLOOKUP(F41,Zone_de_travail,5,FALSE)/H41,IF(AND(K41&gt;"",H41=""),-VLOOKUP(F41,Zone_de_travail,5,FALSE)/K41,-VLOOKUP(F41,Zone_de_travail,5,FALSE)/(AVERAGE(H41,K41)))))</f>
        <v>98.78125</v>
      </c>
      <c r="R41" s="41">
        <f ca="1">IFERROR(TODAY()+Q41,"")</f>
        <v>42706.78125</v>
      </c>
      <c r="S41" s="56">
        <f>VLOOKUP(F41,Zone_de_travail,5,FALSE)</f>
        <v>-3161</v>
      </c>
      <c r="T41" s="42">
        <f>VLOOKUP(F41,Zone_de_travail,2,FALSE)</f>
        <v>36000</v>
      </c>
    </row>
    <row r="42" spans="1:20">
      <c r="A42" s="55" t="s">
        <v>26</v>
      </c>
      <c r="B42" s="56">
        <v>1403040</v>
      </c>
      <c r="C42" s="57">
        <v>42607.083333333336</v>
      </c>
      <c r="D42"/>
      <c r="E42"/>
      <c r="F42" s="44" t="s">
        <v>18</v>
      </c>
      <c r="G42" s="36">
        <f>VLOOKUP(F42,Compteur,2,FALSE)</f>
        <v>1427560</v>
      </c>
      <c r="H42" s="37">
        <f>IF(G42-J42=0,"",IF(G42-J42&gt;VLOOKUP(F42,'Priorité de passage'!$A$2:$N$26,7,FALSE),G42-J42,VLOOKUP(F42,'Priorité de passage'!$A$2:$N$26,7,FALSE)))</f>
        <v>271</v>
      </c>
      <c r="I42" s="38">
        <f>IF(H42="","",IF(H42&lt;=160,1,IF(H42&lt;=280,2,3)))</f>
        <v>2</v>
      </c>
      <c r="J42" s="39">
        <v>1427289</v>
      </c>
      <c r="K42" s="37">
        <f>IF(J42-M42=0,"",IF(J42-M42&gt;VLOOKUP(F42,'Priorité de passage'!$A$2:$N$26,7,FALSE),J42-M42,VLOOKUP(F42,'Priorité de passage'!$A$2:$N$26,7,FALSE)))</f>
        <v>290</v>
      </c>
      <c r="L42" s="38">
        <f>IF(K42="","",IF(K42&lt;=160,1,IF(K42&lt;=280,2,3)))</f>
        <v>3</v>
      </c>
      <c r="M42" s="56">
        <v>1426999</v>
      </c>
      <c r="N42" s="40"/>
      <c r="O42" s="56"/>
      <c r="P42" s="70"/>
      <c r="Q42" s="40">
        <f>IF(AND(H42="",K42=""),"",IF(AND(H42&gt;"",K42=""),-VLOOKUP(F42,Zone_de_travail,5,FALSE)/H42,IF(AND(K42&gt;"",H42=""),-VLOOKUP(F42,Zone_de_travail,5,FALSE)/K42,-VLOOKUP(F42,Zone_de_travail,5,FALSE)/(AVERAGE(H42,K42)))))</f>
        <v>12.263814616755793</v>
      </c>
      <c r="R42" s="41">
        <f ca="1">IFERROR(TODAY()+Q42,"")</f>
        <v>42620.263814616759</v>
      </c>
      <c r="S42" s="56">
        <f>VLOOKUP(F42,Zone_de_travail,5,FALSE)</f>
        <v>-3440</v>
      </c>
      <c r="T42" s="42">
        <f>VLOOKUP(F42,Zone_de_travail,2,FALSE)</f>
        <v>9000</v>
      </c>
    </row>
    <row r="43" spans="1:20">
      <c r="A43" s="55" t="s">
        <v>17</v>
      </c>
      <c r="B43" s="56">
        <v>1240462</v>
      </c>
      <c r="C43" s="57">
        <v>42578.083333333336</v>
      </c>
      <c r="D43"/>
      <c r="E43"/>
      <c r="F43" s="44" t="s">
        <v>24</v>
      </c>
      <c r="G43" s="36">
        <f>VLOOKUP(F43,Compteur,2,FALSE)</f>
        <v>1337366</v>
      </c>
      <c r="H43" s="37">
        <f>IF(G43-J43=0,"",IF(G43-J43&gt;VLOOKUP(F43,'Priorité de passage'!$A$2:$N$26,7,FALSE),G43-J43,VLOOKUP(F43,'Priorité de passage'!$A$2:$N$26,7,FALSE)))</f>
        <v>211</v>
      </c>
      <c r="I43" s="38">
        <f>IF(H43="","",IF(H43&lt;=160,1,IF(H43&lt;=280,2,3)))</f>
        <v>2</v>
      </c>
      <c r="J43" s="39">
        <v>1337155</v>
      </c>
      <c r="K43" s="37">
        <f>IF(J43-M43=0,"",IF(J43-M43&gt;VLOOKUP(F43,'Priorité de passage'!$A$2:$N$26,7,FALSE),J43-M43,VLOOKUP(F43,'Priorité de passage'!$A$2:$N$26,7,FALSE)))</f>
        <v>233</v>
      </c>
      <c r="L43" s="38">
        <f>IF(K43="","",IF(K43&lt;=160,1,IF(K43&lt;=280,2,3)))</f>
        <v>2</v>
      </c>
      <c r="M43" s="56">
        <v>1336922</v>
      </c>
      <c r="N43" s="40"/>
      <c r="O43" s="56"/>
      <c r="P43" s="70"/>
      <c r="Q43" s="40">
        <f>IF(AND(H43="",K43=""),"",IF(AND(H43&gt;"",K43=""),-VLOOKUP(F43,Zone_de_travail,5,FALSE)/H43,IF(AND(K43&gt;"",H43=""),-VLOOKUP(F43,Zone_de_travail,5,FALSE)/K43,-VLOOKUP(F43,Zone_de_travail,5,FALSE)/(AVERAGE(H43,K43)))))</f>
        <v>16.36936936936937</v>
      </c>
      <c r="R43" s="41">
        <f ca="1">IFERROR(TODAY()+Q43,"")</f>
        <v>42624.369369369371</v>
      </c>
      <c r="S43" s="56">
        <f>VLOOKUP(F43,Zone_de_travail,5,FALSE)</f>
        <v>-3634</v>
      </c>
      <c r="T43" s="42">
        <f>VLOOKUP(F43,Zone_de_travail,2,FALSE)</f>
        <v>9000</v>
      </c>
    </row>
    <row r="44" spans="1:20">
      <c r="A44" s="55" t="s">
        <v>12</v>
      </c>
      <c r="B44" s="56">
        <v>1256839</v>
      </c>
      <c r="C44" s="57">
        <v>42607.083333333336</v>
      </c>
      <c r="D44"/>
      <c r="E44"/>
      <c r="F44" s="44" t="s">
        <v>22</v>
      </c>
      <c r="G44" s="36">
        <f>VLOOKUP(F44,Compteur,2,FALSE)</f>
        <v>1174866</v>
      </c>
      <c r="H44" s="37">
        <f>IF(G44-J44=0,"",IF(G44-J44&gt;VLOOKUP(F44,'Priorité de passage'!$A$2:$N$26,7,FALSE),G44-J44,VLOOKUP(F44,'Priorité de passage'!$A$2:$N$26,7,FALSE)))</f>
        <v>370</v>
      </c>
      <c r="I44" s="38">
        <f>IF(H44="","",IF(H44&lt;=160,1,IF(H44&lt;=280,2,3)))</f>
        <v>3</v>
      </c>
      <c r="J44" s="39">
        <v>1174496</v>
      </c>
      <c r="K44" s="37">
        <f>IF(J44-M44=0,"",IF(J44-M44&gt;VLOOKUP(F44,'Priorité de passage'!$A$2:$N$26,7,FALSE),J44-M44,VLOOKUP(F44,'Priorité de passage'!$A$2:$N$26,7,FALSE)))</f>
        <v>371</v>
      </c>
      <c r="L44" s="38">
        <f>IF(K44="","",IF(K44&lt;=160,1,IF(K44&lt;=280,2,3)))</f>
        <v>3</v>
      </c>
      <c r="M44" s="56">
        <v>1174125</v>
      </c>
      <c r="N44" s="40"/>
      <c r="O44" s="56"/>
      <c r="P44" s="70"/>
      <c r="Q44" s="40">
        <f>IF(AND(H44="",K44=""),"",IF(AND(H44&gt;"",K44=""),-VLOOKUP(F44,Zone_de_travail,5,FALSE)/H44,IF(AND(K44&gt;"",H44=""),-VLOOKUP(F44,Zone_de_travail,5,FALSE)/K44,-VLOOKUP(F44,Zone_de_travail,5,FALSE)/(AVERAGE(H44,K44)))))</f>
        <v>11.157894736842104</v>
      </c>
      <c r="R44" s="41">
        <f ca="1">IFERROR(TODAY()+Q44,"")</f>
        <v>42619.15789473684</v>
      </c>
      <c r="S44" s="56">
        <f>VLOOKUP(F44,Zone_de_travail,5,FALSE)</f>
        <v>-4134</v>
      </c>
      <c r="T44" s="42">
        <f>VLOOKUP(F44,Zone_de_travail,2,FALSE)</f>
        <v>9000</v>
      </c>
    </row>
    <row r="45" spans="1:20">
      <c r="A45" s="55" t="s">
        <v>6</v>
      </c>
      <c r="B45" s="56">
        <v>1388838</v>
      </c>
      <c r="C45" s="57">
        <v>42605.083333333336</v>
      </c>
      <c r="D45"/>
      <c r="E45"/>
      <c r="F45" s="44" t="s">
        <v>15</v>
      </c>
      <c r="G45" s="36">
        <f>VLOOKUP(F45,Compteur,2,FALSE)</f>
        <v>1381850</v>
      </c>
      <c r="H45" s="37">
        <f>IF(G45-J45=0,"",IF(G45-J45&gt;VLOOKUP(F45,'Priorité de passage'!$A$2:$N$26,7,FALSE),G45-J45,VLOOKUP(F45,'Priorité de passage'!$A$2:$N$26,7,FALSE)))</f>
        <v>367</v>
      </c>
      <c r="I45" s="38">
        <f>IF(H45="","",IF(H45&lt;=160,1,IF(H45&lt;=280,2,3)))</f>
        <v>3</v>
      </c>
      <c r="J45" s="39">
        <v>1381483</v>
      </c>
      <c r="K45" s="37">
        <f>IF(J45-M45=0,"",IF(J45-M45&gt;VLOOKUP(F45,'Priorité de passage'!$A$2:$N$26,7,FALSE),J45-M45,VLOOKUP(F45,'Priorité de passage'!$A$2:$N$26,7,FALSE)))</f>
        <v>376</v>
      </c>
      <c r="L45" s="38">
        <f>IF(K45="","",IF(K45&lt;=160,1,IF(K45&lt;=280,2,3)))</f>
        <v>3</v>
      </c>
      <c r="M45" s="56">
        <v>1381107</v>
      </c>
      <c r="N45" s="40"/>
      <c r="O45" s="56"/>
      <c r="P45" s="70"/>
      <c r="Q45" s="40">
        <f>IF(AND(H45="",K45=""),"",IF(AND(H45&gt;"",K45=""),-VLOOKUP(F45,Zone_de_travail,5,FALSE)/H45,IF(AND(K45&gt;"",H45=""),-VLOOKUP(F45,Zone_de_travail,5,FALSE)/K45,-VLOOKUP(F45,Zone_de_travail,5,FALSE)/(AVERAGE(H45,K45)))))</f>
        <v>11.170928667563929</v>
      </c>
      <c r="R45" s="41">
        <f ca="1">IFERROR(TODAY()+Q45,"")</f>
        <v>42619.170928667561</v>
      </c>
      <c r="S45" s="56">
        <f>VLOOKUP(F45,Zone_de_travail,5,FALSE)</f>
        <v>-4150</v>
      </c>
      <c r="T45" s="42">
        <f>VLOOKUP(F45,Zone_de_travail,2,FALSE)</f>
        <v>18000</v>
      </c>
    </row>
    <row r="46" spans="1:20">
      <c r="A46" s="55" t="s">
        <v>15</v>
      </c>
      <c r="B46" s="56">
        <v>1381850</v>
      </c>
      <c r="C46" s="57">
        <v>42607.083333333336</v>
      </c>
      <c r="D46"/>
      <c r="E46"/>
      <c r="F46" s="44" t="s">
        <v>7</v>
      </c>
      <c r="G46" s="36">
        <f>VLOOKUP(F46,Compteur,2,FALSE)</f>
        <v>1336665</v>
      </c>
      <c r="H46" s="37">
        <f>IF(G46-J46=0,"",IF(G46-J46&gt;VLOOKUP(F46,'Priorité de passage'!$A$2:$N$26,7,FALSE),G46-J46,VLOOKUP(F46,'Priorité de passage'!$A$2:$N$26,7,FALSE)))</f>
        <v>350</v>
      </c>
      <c r="I46" s="38">
        <f>IF(H46="","",IF(H46&lt;=160,1,IF(H46&lt;=280,2,3)))</f>
        <v>3</v>
      </c>
      <c r="J46" s="39">
        <v>1336315</v>
      </c>
      <c r="K46" s="37">
        <f>IF(J46-M46=0,"",IF(J46-M46&gt;VLOOKUP(F46,'Priorité de passage'!$A$2:$N$26,7,FALSE),J46-M46,VLOOKUP(F46,'Priorité de passage'!$A$2:$N$26,7,FALSE)))</f>
        <v>29</v>
      </c>
      <c r="L46" s="38">
        <f>IF(K46="","",IF(K46&lt;=160,1,IF(K46&lt;=280,2,3)))</f>
        <v>1</v>
      </c>
      <c r="M46" s="56">
        <v>1336286</v>
      </c>
      <c r="N46" s="40"/>
      <c r="O46" s="56"/>
      <c r="P46" s="70"/>
      <c r="Q46" s="40">
        <f>IF(AND(H46="",K46=""),"",IF(AND(H46&gt;"",K46=""),-VLOOKUP(F46,Zone_de_travail,5,FALSE)/H46,IF(AND(K46&gt;"",H46=""),-VLOOKUP(F46,Zone_de_travail,5,FALSE)/K46,-VLOOKUP(F46,Zone_de_travail,5,FALSE)/(AVERAGE(H46,K46)))))</f>
        <v>22.875989445910289</v>
      </c>
      <c r="R46" s="41">
        <f ca="1">IFERROR(TODAY()+Q46,"")</f>
        <v>42630.875989445907</v>
      </c>
      <c r="S46" s="56">
        <f>VLOOKUP(F46,Zone_de_travail,5,FALSE)</f>
        <v>-4335</v>
      </c>
      <c r="T46" s="42">
        <f>VLOOKUP(F46,Zone_de_travail,2,FALSE)</f>
        <v>9000</v>
      </c>
    </row>
    <row r="47" spans="1:20">
      <c r="A47" s="55" t="s">
        <v>13</v>
      </c>
      <c r="B47" s="56">
        <v>1415979</v>
      </c>
      <c r="C47" s="57">
        <v>42607.083333333336</v>
      </c>
      <c r="D47"/>
      <c r="E47"/>
      <c r="F47" s="44" t="s">
        <v>20</v>
      </c>
      <c r="G47" s="36">
        <f>VLOOKUP(F47,Compteur,2,FALSE)</f>
        <v>1381601</v>
      </c>
      <c r="H47" s="37">
        <f>IF(G47-J47=0,"",IF(G47-J47&gt;VLOOKUP(F47,'Priorité de passage'!$A$2:$N$26,7,FALSE),G47-J47,VLOOKUP(F47,'Priorité de passage'!$A$2:$N$26,7,FALSE)))</f>
        <v>320</v>
      </c>
      <c r="I47" s="38">
        <f>IF(H47="","",IF(H47&lt;=160,1,IF(H47&lt;=280,2,3)))</f>
        <v>3</v>
      </c>
      <c r="J47" s="39">
        <v>1381281</v>
      </c>
      <c r="K47" s="37">
        <f>IF(J47-M47=0,"",IF(J47-M47&gt;VLOOKUP(F47,'Priorité de passage'!$A$2:$N$26,7,FALSE),J47-M47,VLOOKUP(F47,'Priorité de passage'!$A$2:$N$26,7,FALSE)))</f>
        <v>299</v>
      </c>
      <c r="L47" s="38">
        <f>IF(K47="","",IF(K47&lt;=160,1,IF(K47&lt;=280,2,3)))</f>
        <v>3</v>
      </c>
      <c r="M47" s="56">
        <v>1380982</v>
      </c>
      <c r="N47" s="40"/>
      <c r="O47" s="56"/>
      <c r="P47" s="70"/>
      <c r="Q47" s="40">
        <f>IF(AND(H47="",K47=""),"",IF(AND(H47&gt;"",K47=""),-VLOOKUP(F47,Zone_de_travail,5,FALSE)/H47,IF(AND(K47&gt;"",H47=""),-VLOOKUP(F47,Zone_de_travail,5,FALSE)/K47,-VLOOKUP(F47,Zone_de_travail,5,FALSE)/(AVERAGE(H47,K47)))))</f>
        <v>14.21324717285945</v>
      </c>
      <c r="R47" s="41">
        <f ca="1">IFERROR(TODAY()+Q47,"")</f>
        <v>42622.213247172862</v>
      </c>
      <c r="S47" s="56">
        <f>VLOOKUP(F47,Zone_de_travail,5,FALSE)</f>
        <v>-4399</v>
      </c>
      <c r="T47" s="42">
        <f>VLOOKUP(F47,Zone_de_travail,2,FALSE)</f>
        <v>18000</v>
      </c>
    </row>
    <row r="48" spans="1:20">
      <c r="A48" s="55" t="s">
        <v>24</v>
      </c>
      <c r="B48" s="56">
        <v>1337366</v>
      </c>
      <c r="C48" s="57">
        <v>42607.083333333336</v>
      </c>
      <c r="D48"/>
      <c r="E48"/>
      <c r="F48" s="44" t="s">
        <v>14</v>
      </c>
      <c r="G48" s="36">
        <f>VLOOKUP(F48,Compteur,2,FALSE)</f>
        <v>1236350</v>
      </c>
      <c r="H48" s="37" t="str">
        <f>IF(G48-J48=0,"",IF(G48-J48&gt;VLOOKUP(F48,'Priorité de passage'!$A$2:$N$26,7,FALSE),G48-J48,VLOOKUP(F48,'Priorité de passage'!$A$2:$N$26,7,FALSE)))</f>
        <v/>
      </c>
      <c r="I48" s="38" t="str">
        <f>IF(H48="","",IF(H48&lt;=160,1,IF(H48&lt;=280,2,3)))</f>
        <v/>
      </c>
      <c r="J48" s="39">
        <v>1236350</v>
      </c>
      <c r="K48" s="37">
        <f>IF(J48-M48=0,"",IF(J48-M48&gt;VLOOKUP(F48,'Priorité de passage'!$A$2:$N$26,7,FALSE),J48-M48,VLOOKUP(F48,'Priorité de passage'!$A$2:$N$26,7,FALSE)))</f>
        <v>338</v>
      </c>
      <c r="L48" s="38">
        <f>IF(K48="","",IF(K48&lt;=160,1,IF(K48&lt;=280,2,3)))</f>
        <v>3</v>
      </c>
      <c r="M48" s="56">
        <v>1236012</v>
      </c>
      <c r="N48" s="40"/>
      <c r="O48" s="56"/>
      <c r="P48" s="70"/>
      <c r="Q48" s="40">
        <f>IF(AND(H48="",K48=""),"",IF(AND(H48&gt;"",K48=""),-VLOOKUP(F48,Zone_de_travail,5,FALSE)/H48,IF(AND(K48&gt;"",H48=""),-VLOOKUP(F48,Zone_de_travail,5,FALSE)/K48,-VLOOKUP(F48,Zone_de_travail,5,FALSE)/(AVERAGE(H48,K48)))))</f>
        <v>16.715976331360945</v>
      </c>
      <c r="R48" s="41">
        <f ca="1">IFERROR(TODAY()+Q48,"")</f>
        <v>42624.715976331361</v>
      </c>
      <c r="S48" s="56">
        <f>VLOOKUP(F48,Zone_de_travail,5,FALSE)</f>
        <v>-5650</v>
      </c>
      <c r="T48" s="42">
        <f>VLOOKUP(F48,Zone_de_travail,2,FALSE)</f>
        <v>18000</v>
      </c>
    </row>
    <row r="49" spans="1:20">
      <c r="A49" s="55" t="s">
        <v>11</v>
      </c>
      <c r="B49" s="56">
        <v>1333192</v>
      </c>
      <c r="C49" s="57">
        <v>42607.083333333336</v>
      </c>
      <c r="D49"/>
      <c r="E49"/>
      <c r="F49" s="44" t="s">
        <v>13</v>
      </c>
      <c r="G49" s="36">
        <f>VLOOKUP(F49,Compteur,2,FALSE)</f>
        <v>1415979</v>
      </c>
      <c r="H49" s="37">
        <f>IF(G49-J49=0,"",IF(G49-J49&gt;VLOOKUP(F49,'Priorité de passage'!$A$2:$N$26,7,FALSE),G49-J49,VLOOKUP(F49,'Priorité de passage'!$A$2:$N$26,7,FALSE)))</f>
        <v>279</v>
      </c>
      <c r="I49" s="38">
        <f>IF(H49="","",IF(H49&lt;=160,1,IF(H49&lt;=280,2,3)))</f>
        <v>2</v>
      </c>
      <c r="J49" s="39">
        <v>1415700</v>
      </c>
      <c r="K49" s="37">
        <f>IF(J49-M49=0,"",IF(J49-M49&gt;VLOOKUP(F49,'Priorité de passage'!$A$2:$N$26,7,FALSE),J49-M49,VLOOKUP(F49,'Priorité de passage'!$A$2:$N$26,7,FALSE)))</f>
        <v>300</v>
      </c>
      <c r="L49" s="38">
        <f>IF(K49="","",IF(K49&lt;=160,1,IF(K49&lt;=280,2,3)))</f>
        <v>3</v>
      </c>
      <c r="M49" s="56">
        <v>1415400</v>
      </c>
      <c r="N49" s="40"/>
      <c r="O49" s="56"/>
      <c r="P49" s="70"/>
      <c r="Q49" s="40">
        <f>IF(AND(H49="",K49=""),"",IF(AND(H49&gt;"",K49=""),-VLOOKUP(F49,Zone_de_travail,5,FALSE)/H49,IF(AND(K49&gt;"",H49=""),-VLOOKUP(F49,Zone_de_travail,5,FALSE)/K49,-VLOOKUP(F49,Zone_de_travail,5,FALSE)/(AVERAGE(H49,K49)))))</f>
        <v>20.797927461139896</v>
      </c>
      <c r="R49" s="41">
        <f ca="1">IFERROR(TODAY()+Q49,"")</f>
        <v>42628.797927461143</v>
      </c>
      <c r="S49" s="56">
        <f>VLOOKUP(F49,Zone_de_travail,5,FALSE)</f>
        <v>-6021</v>
      </c>
      <c r="T49" s="42">
        <f>VLOOKUP(F49,Zone_de_travail,2,FALSE)</f>
        <v>18000</v>
      </c>
    </row>
    <row r="50" spans="1:20">
      <c r="A50" s="55" t="s">
        <v>25</v>
      </c>
      <c r="B50" s="56">
        <v>1316032</v>
      </c>
      <c r="C50" s="57">
        <v>42607.083333333336</v>
      </c>
      <c r="D50"/>
      <c r="E50"/>
      <c r="F50" s="44" t="s">
        <v>6</v>
      </c>
      <c r="G50" s="36">
        <f>VLOOKUP(F50,Compteur,2,FALSE)</f>
        <v>1388838</v>
      </c>
      <c r="H50" s="37" t="str">
        <f>IF(G50-J50=0,"",IF(G50-J50&gt;VLOOKUP(F50,'Priorité de passage'!$A$2:$N$26,7,FALSE),G50-J50,VLOOKUP(F50,'Priorité de passage'!$A$2:$N$26,7,FALSE)))</f>
        <v/>
      </c>
      <c r="I50" s="38" t="str">
        <f>IF(H50="","",IF(H50&lt;=160,1,IF(H50&lt;=280,2,3)))</f>
        <v/>
      </c>
      <c r="J50" s="39">
        <v>1388838</v>
      </c>
      <c r="K50" s="37" t="str">
        <f>IF(J50-M50=0,"",IF(J50-M50&gt;VLOOKUP(F50,'Priorité de passage'!$A$2:$N$26,7,FALSE),J50-M50,VLOOKUP(F50,'Priorité de passage'!$A$2:$N$26,7,FALSE)))</f>
        <v/>
      </c>
      <c r="L50" s="38" t="str">
        <f>IF(K50="","",IF(K50&lt;=160,1,IF(K50&lt;=280,2,3)))</f>
        <v/>
      </c>
      <c r="M50" s="56">
        <v>1388838</v>
      </c>
      <c r="N50" s="40"/>
      <c r="O50" s="56"/>
      <c r="P50" s="70"/>
      <c r="Q50" s="40" t="str">
        <f>IF(AND(H50="",K50=""),"",IF(AND(H50&gt;"",K50=""),-VLOOKUP(F50,Zone_de_travail,5,FALSE)/H50,IF(AND(K50&gt;"",H50=""),-VLOOKUP(F50,Zone_de_travail,5,FALSE)/K50,-VLOOKUP(F50,Zone_de_travail,5,FALSE)/(AVERAGE(H50,K50)))))</f>
        <v/>
      </c>
      <c r="R50" s="41" t="str">
        <f ca="1">IFERROR(TODAY()+Q50,"")</f>
        <v/>
      </c>
      <c r="S50" s="56">
        <f>VLOOKUP(F50,Zone_de_travail,5,FALSE)</f>
        <v>-6162</v>
      </c>
      <c r="T50" s="42">
        <f>VLOOKUP(F50,Zone_de_travail,2,FALSE)</f>
        <v>9000</v>
      </c>
    </row>
    <row r="51" spans="1:20">
      <c r="A51" s="55" t="s">
        <v>20</v>
      </c>
      <c r="B51" s="56">
        <v>1381601</v>
      </c>
      <c r="C51" s="57">
        <v>42607.083333333336</v>
      </c>
      <c r="D51"/>
      <c r="E51"/>
      <c r="F51" s="44" t="s">
        <v>25</v>
      </c>
      <c r="G51" s="36">
        <f>VLOOKUP(F51,Compteur,2,FALSE)</f>
        <v>1316032</v>
      </c>
      <c r="H51" s="37">
        <f>IF(G51-J51=0,"",IF(G51-J51&gt;VLOOKUP(F51,'Priorité de passage'!$A$2:$N$26,7,FALSE),G51-J51,VLOOKUP(F51,'Priorité de passage'!$A$2:$N$26,7,FALSE)))</f>
        <v>298</v>
      </c>
      <c r="I51" s="38">
        <f>IF(H51="","",IF(H51&lt;=160,1,IF(H51&lt;=280,2,3)))</f>
        <v>3</v>
      </c>
      <c r="J51" s="39">
        <v>1315734</v>
      </c>
      <c r="K51" s="37">
        <f>IF(J51-M51=0,"",IF(J51-M51&gt;VLOOKUP(F51,'Priorité de passage'!$A$2:$N$26,7,FALSE),J51-M51,VLOOKUP(F51,'Priorité de passage'!$A$2:$N$26,7,FALSE)))</f>
        <v>257</v>
      </c>
      <c r="L51" s="38">
        <f>IF(K51="","",IF(K51&lt;=160,1,IF(K51&lt;=280,2,3)))</f>
        <v>2</v>
      </c>
      <c r="M51" s="56">
        <v>1315477</v>
      </c>
      <c r="N51" s="40"/>
      <c r="O51" s="56"/>
      <c r="P51" s="70"/>
      <c r="Q51" s="40">
        <f>IF(AND(H51="",K51=""),"",IF(AND(H51&gt;"",K51=""),-VLOOKUP(F51,Zone_de_travail,5,FALSE)/H51,IF(AND(K51&gt;"",H51=""),-VLOOKUP(F51,Zone_de_travail,5,FALSE)/K51,-VLOOKUP(F51,Zone_de_travail,5,FALSE)/(AVERAGE(H51,K51)))))</f>
        <v>25.109909909909909</v>
      </c>
      <c r="R51" s="41">
        <f ca="1">IFERROR(TODAY()+Q51,"")</f>
        <v>42633.109909909908</v>
      </c>
      <c r="S51" s="56">
        <f>VLOOKUP(F51,Zone_de_travail,5,FALSE)</f>
        <v>-6968</v>
      </c>
      <c r="T51" s="42">
        <f>VLOOKUP(F51,Zone_de_travail,2,FALSE)</f>
        <v>9000</v>
      </c>
    </row>
    <row r="52" spans="1:20">
      <c r="A52" s="55" t="s">
        <v>7</v>
      </c>
      <c r="B52" s="56">
        <v>1336665</v>
      </c>
      <c r="C52" s="57">
        <v>42607.083333333336</v>
      </c>
      <c r="D52"/>
      <c r="E52"/>
      <c r="F52" s="43" t="s">
        <v>11</v>
      </c>
      <c r="G52" s="36">
        <f>VLOOKUP(F52,Compteur,2,FALSE)</f>
        <v>1333192</v>
      </c>
      <c r="H52" s="37">
        <f>IF(G52-J52=0,"",IF(G52-J52&gt;VLOOKUP(F52,'Priorité de passage'!$A$2:$N$26,7,FALSE),G52-J52,VLOOKUP(F52,'Priorité de passage'!$A$2:$N$26,7,FALSE)))</f>
        <v>240</v>
      </c>
      <c r="I52" s="38">
        <f>IF(H52="","",IF(H52&lt;=160,1,IF(H52&lt;=280,2,3)))</f>
        <v>2</v>
      </c>
      <c r="J52" s="39">
        <v>1332952</v>
      </c>
      <c r="K52" s="37">
        <f>IF(J52-M52=0,"",IF(J52-M52&gt;VLOOKUP(F52,'Priorité de passage'!$A$2:$N$26,7,FALSE),J52-M52,VLOOKUP(F52,'Priorité de passage'!$A$2:$N$26,7,FALSE)))</f>
        <v>232</v>
      </c>
      <c r="L52" s="38">
        <f>IF(K52="","",IF(K52&lt;=160,1,IF(K52&lt;=280,2,3)))</f>
        <v>2</v>
      </c>
      <c r="M52" s="56">
        <v>1332720</v>
      </c>
      <c r="N52" s="40"/>
      <c r="O52" s="56"/>
      <c r="P52" s="70"/>
      <c r="Q52" s="40">
        <f>IF(AND(H52="",K52=""),"",IF(AND(H52&gt;"",K52=""),-VLOOKUP(F52,Zone_de_travail,5,FALSE)/H52,IF(AND(K52&gt;"",H52=""),-VLOOKUP(F52,Zone_de_travail,5,FALSE)/K52,-VLOOKUP(F52,Zone_de_travail,5,FALSE)/(AVERAGE(H52,K52)))))</f>
        <v>33.084745762711862</v>
      </c>
      <c r="R52" s="41">
        <f ca="1">IFERROR(TODAY()+Q52,"")</f>
        <v>42641.08474576271</v>
      </c>
      <c r="S52" s="56">
        <f>VLOOKUP(F52,Zone_de_travail,5,FALSE)</f>
        <v>-7808</v>
      </c>
      <c r="T52" s="42">
        <f>VLOOKUP(F52,Zone_de_travail,2,FALSE)</f>
        <v>9000</v>
      </c>
    </row>
    <row r="53" spans="1:20">
      <c r="A53" s="55" t="s">
        <v>19</v>
      </c>
      <c r="B53" s="56">
        <v>1359485</v>
      </c>
      <c r="C53" s="57">
        <v>42603.083333333336</v>
      </c>
      <c r="D53"/>
      <c r="E53"/>
      <c r="F53" s="44" t="s">
        <v>10</v>
      </c>
      <c r="G53" s="36">
        <f>VLOOKUP(F53,Compteur,2,FALSE)</f>
        <v>1350687</v>
      </c>
      <c r="H53" s="37" t="str">
        <f>IF(G53-J53=0,"",IF(G53-J53&gt;VLOOKUP(F53,'Priorité de passage'!$A$2:$N$26,7,FALSE),G53-J53,VLOOKUP(F53,'Priorité de passage'!$A$2:$N$26,7,FALSE)))</f>
        <v/>
      </c>
      <c r="I53" s="38" t="str">
        <f>IF(H53="","",IF(H53&lt;=160,1,IF(H53&lt;=280,2,3)))</f>
        <v/>
      </c>
      <c r="J53" s="39">
        <v>1350687</v>
      </c>
      <c r="K53" s="37">
        <f>IF(J53-M53=0,"",IF(J53-M53&gt;VLOOKUP(F53,'Priorité de passage'!$A$2:$N$26,7,FALSE),J53-M53,VLOOKUP(F53,'Priorité de passage'!$A$2:$N$26,7,FALSE)))</f>
        <v>263</v>
      </c>
      <c r="L53" s="38">
        <f>IF(K53="","",IF(K53&lt;=160,1,IF(K53&lt;=280,2,3)))</f>
        <v>2</v>
      </c>
      <c r="M53" s="56">
        <v>1350424</v>
      </c>
      <c r="N53" s="40"/>
      <c r="O53" s="56"/>
      <c r="P53" s="70"/>
      <c r="Q53" s="40">
        <f>IF(AND(H53="",K53=""),"",IF(AND(H53&gt;"",K53=""),-VLOOKUP(F53,Zone_de_travail,5,FALSE)/H53,IF(AND(K53&gt;"",H53=""),-VLOOKUP(F53,Zone_de_travail,5,FALSE)/K53,-VLOOKUP(F53,Zone_de_travail,5,FALSE)/(AVERAGE(H53,K53)))))</f>
        <v>31.608365019011408</v>
      </c>
      <c r="R53" s="41">
        <f ca="1">IFERROR(TODAY()+Q53,"")</f>
        <v>42639.608365019012</v>
      </c>
      <c r="S53" s="56">
        <f>VLOOKUP(F53,Zone_de_travail,5,FALSE)</f>
        <v>-8313</v>
      </c>
      <c r="T53" s="42">
        <f>VLOOKUP(F53,Zone_de_travail,2,FALSE)</f>
        <v>9000</v>
      </c>
    </row>
    <row r="54" spans="1:20" ht="15.75" thickBot="1">
      <c r="A54" s="58" t="s">
        <v>9</v>
      </c>
      <c r="B54" s="59">
        <v>1359418</v>
      </c>
      <c r="C54" s="60">
        <v>42607.083333333336</v>
      </c>
      <c r="D54"/>
      <c r="E54"/>
      <c r="F54" s="43" t="s">
        <v>19</v>
      </c>
      <c r="G54" s="36">
        <f>VLOOKUP(F54,Compteur,2,FALSE)</f>
        <v>1359485</v>
      </c>
      <c r="H54" s="37" t="str">
        <f>IF(G54-J54=0,"",IF(G54-J54&gt;VLOOKUP(F54,'Priorité de passage'!$A$2:$N$26,7,FALSE),G54-J54,VLOOKUP(F54,'Priorité de passage'!$A$2:$N$26,7,FALSE)))</f>
        <v/>
      </c>
      <c r="I54" s="38" t="str">
        <f>IF(H54="","",IF(H54&lt;=160,1,IF(H54&lt;=280,2,3)))</f>
        <v/>
      </c>
      <c r="J54" s="39">
        <v>1359485</v>
      </c>
      <c r="K54" s="37" t="str">
        <f>IF(J54-M54=0,"",IF(J54-M54&gt;VLOOKUP(F54,'Priorité de passage'!$A$2:$N$26,7,FALSE),J54-M54,VLOOKUP(F54,'Priorité de passage'!$A$2:$N$26,7,FALSE)))</f>
        <v/>
      </c>
      <c r="L54" s="38" t="str">
        <f>IF(K54="","",IF(K54&lt;=160,1,IF(K54&lt;=280,2,3)))</f>
        <v/>
      </c>
      <c r="M54" s="56">
        <v>1359485</v>
      </c>
      <c r="N54" s="40"/>
      <c r="O54" s="56"/>
      <c r="P54" s="70"/>
      <c r="Q54" s="40" t="str">
        <f>IF(AND(H54="",K54=""),"",IF(AND(H54&gt;"",K54=""),-VLOOKUP(F54,Zone_de_travail,5,FALSE)/H54,IF(AND(K54&gt;"",H54=""),-VLOOKUP(F54,Zone_de_travail,5,FALSE)/K54,-VLOOKUP(F54,Zone_de_travail,5,FALSE)/(AVERAGE(H54,K54)))))</f>
        <v/>
      </c>
      <c r="R54" s="41" t="str">
        <f ca="1">IFERROR(TODAY()+Q54,"")</f>
        <v/>
      </c>
      <c r="S54" s="56">
        <f>VLOOKUP(F54,Zone_de_travail,5,FALSE)</f>
        <v>-8515</v>
      </c>
      <c r="T54" s="42">
        <f>VLOOKUP(F54,Zone_de_travail,2,FALSE)</f>
        <v>72000</v>
      </c>
    </row>
    <row r="55" spans="1:20" ht="15.75" thickBot="1">
      <c r="A55"/>
      <c r="B55"/>
      <c r="C55"/>
      <c r="D55"/>
      <c r="E55"/>
      <c r="F55" s="46" t="s">
        <v>9</v>
      </c>
      <c r="G55" s="47">
        <f>VLOOKUP(F55,Compteur,2,FALSE)</f>
        <v>1359418</v>
      </c>
      <c r="H55" s="65">
        <f>IF(G55-J55=0,"",IF(G55-J55&gt;VLOOKUP(F55,'Priorité de passage'!$A$2:$N$26,7,FALSE),G55-J55,VLOOKUP(F55,'Priorité de passage'!$A$2:$N$26,7,FALSE)))</f>
        <v>263</v>
      </c>
      <c r="I55" s="48">
        <f>IF(H55="","",IF(H55&lt;=160,1,IF(H55&lt;=280,2,3)))</f>
        <v>2</v>
      </c>
      <c r="J55" s="49">
        <v>1359155</v>
      </c>
      <c r="K55" s="65">
        <f>IF(J55-M55=0,"",IF(J55-M55&gt;VLOOKUP(F55,'Priorité de passage'!$A$2:$N$26,7,FALSE),J55-M55,VLOOKUP(F55,'Priorité de passage'!$A$2:$N$26,7,FALSE)))</f>
        <v>137</v>
      </c>
      <c r="L55" s="48">
        <f>IF(K55="","",IF(K55&lt;=160,1,IF(K55&lt;=280,2,3)))</f>
        <v>1</v>
      </c>
      <c r="M55" s="59">
        <v>1359018</v>
      </c>
      <c r="N55" s="50"/>
      <c r="O55" s="59"/>
      <c r="P55" s="59"/>
      <c r="Q55" s="50">
        <f>IF(AND(H55="",K55=""),"",IF(AND(H55&gt;"",K55=""),-VLOOKUP(F55,Zone_de_travail,5,FALSE)/H55,IF(AND(K55&gt;"",H55=""),-VLOOKUP(F55,Zone_de_travail,5,FALSE)/K55,-VLOOKUP(F55,Zone_de_travail,5,FALSE)/(AVERAGE(H55,K55)))))</f>
        <v>42.91</v>
      </c>
      <c r="R55" s="51">
        <f ca="1">IFERROR(TODAY()+Q55,"")</f>
        <v>42650.91</v>
      </c>
      <c r="S55" s="59">
        <f>VLOOKUP(F55,Zone_de_travail,5,FALSE)</f>
        <v>-8582</v>
      </c>
      <c r="T55" s="52">
        <f>VLOOKUP(F55,Zone_de_travail,2,FALSE)</f>
        <v>72000</v>
      </c>
    </row>
    <row r="56" spans="1:20" ht="15.75" thickBot="1">
      <c r="A56"/>
      <c r="B56"/>
      <c r="C56"/>
      <c r="D56"/>
      <c r="E56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</row>
    <row r="57" spans="1:20" ht="15.75" thickBot="1">
      <c r="A57"/>
      <c r="B57"/>
      <c r="C57"/>
      <c r="D57"/>
      <c r="E57"/>
      <c r="F57" s="70"/>
      <c r="G57" s="34" t="s">
        <v>34</v>
      </c>
      <c r="H57" s="64">
        <f>IFERROR(AVERAGE(H32:H55),"")</f>
        <v>242.83333333333334</v>
      </c>
      <c r="I57" s="62" t="s">
        <v>35</v>
      </c>
      <c r="J57" s="34" t="s">
        <v>34</v>
      </c>
      <c r="K57" s="64">
        <f>IFERROR(AVERAGE(K32:K55),"")</f>
        <v>259.88235294117646</v>
      </c>
      <c r="L57" s="62" t="s">
        <v>35</v>
      </c>
      <c r="M57" s="70"/>
      <c r="N57" s="70"/>
      <c r="O57" s="70"/>
      <c r="P57" s="70"/>
      <c r="Q57" s="70"/>
      <c r="R57" s="72"/>
      <c r="S57" s="70"/>
      <c r="T57" s="70"/>
    </row>
    <row r="58" spans="1:20" ht="15.75" thickBot="1">
      <c r="A58"/>
      <c r="B58"/>
      <c r="C58"/>
      <c r="D58"/>
      <c r="E58"/>
      <c r="F58" s="70"/>
      <c r="G58" s="70"/>
      <c r="H58" s="70"/>
      <c r="I58" s="34">
        <f>24-COUNTBLANK(I32:I55)</f>
        <v>18</v>
      </c>
      <c r="J58" s="19"/>
      <c r="K58" s="19"/>
      <c r="L58" s="34">
        <f>24-COUNTBLANK(L32:L55)</f>
        <v>17</v>
      </c>
      <c r="M58" s="70"/>
      <c r="N58" s="70"/>
      <c r="O58" s="70"/>
      <c r="P58" s="73"/>
      <c r="Q58" s="70"/>
      <c r="R58" s="70"/>
      <c r="S58" s="70"/>
      <c r="T58" s="70"/>
    </row>
  </sheetData>
  <sortState ref="A3:E26">
    <sortCondition descending="1" ref="E3:E26"/>
  </sortState>
  <mergeCells count="2">
    <mergeCell ref="K30:L30"/>
    <mergeCell ref="H30:I30"/>
  </mergeCells>
  <phoneticPr fontId="12" type="noConversion"/>
  <conditionalFormatting sqref="B3:B26">
    <cfRule type="expression" dxfId="10" priority="23">
      <formula>IF(AND(B3&lt;&gt;9000,B3&lt;&gt;18000),1,0)</formula>
    </cfRule>
  </conditionalFormatting>
  <conditionalFormatting sqref="E3:E26">
    <cfRule type="expression" dxfId="9" priority="127" stopIfTrue="1">
      <formula>AND(ISNUMBER(E3),E3&gt;750)</formula>
    </cfRule>
    <cfRule type="expression" dxfId="8" priority="128" stopIfTrue="1">
      <formula>AND(ISNUMBER(E3),E3&gt;0)</formula>
    </cfRule>
  </conditionalFormatting>
  <conditionalFormatting sqref="C3:C26">
    <cfRule type="expression" dxfId="7" priority="11">
      <formula>IF($C3&lt;$D3,1,0)</formula>
    </cfRule>
  </conditionalFormatting>
  <conditionalFormatting sqref="I32:I55">
    <cfRule type="cellIs" dxfId="6" priority="5" operator="equal">
      <formula>2</formula>
    </cfRule>
    <cfRule type="cellIs" dxfId="5" priority="6" operator="equal">
      <formula>1</formula>
    </cfRule>
    <cfRule type="cellIs" dxfId="4" priority="7" operator="equal">
      <formula>3</formula>
    </cfRule>
  </conditionalFormatting>
  <conditionalFormatting sqref="L32:L55">
    <cfRule type="cellIs" dxfId="3" priority="2" operator="equal">
      <formula>2</formula>
    </cfRule>
    <cfRule type="cellIs" dxfId="2" priority="3" operator="equal">
      <formula>1</formula>
    </cfRule>
    <cfRule type="cellIs" dxfId="1" priority="4" operator="equal">
      <formula>3</formula>
    </cfRule>
  </conditionalFormatting>
  <conditionalFormatting sqref="S32:S55">
    <cfRule type="cellIs" dxfId="0" priority="1" operator="greaterThan">
      <formula>0</formula>
    </cfRule>
  </conditionalFormatting>
  <dataValidations count="2">
    <dataValidation allowBlank="1" showInputMessage="1" showErrorMessage="1" prompt="Sélectionnez la matrice &quot;Compteur&quot; dans la zone de sélection de noms, puis collez uniquement le texte issu de l'extraction du compteur du jour." sqref="A30"/>
    <dataValidation allowBlank="1" showInputMessage="1" showErrorMessage="1" prompt="Effectuer un copier/coller (uniquement le texte) des Km (Cellules K34:K57), correspondant aux kilomètres de la veille, à la journée N-1 avant d'éffectuer l'extraction du compteur du jour. " sqref="F30"/>
  </dataValidations>
  <printOptions horizontalCentered="1"/>
  <pageMargins left="0" right="0" top="0" bottom="0" header="0.51181102362204722" footer="0.51181102362204722"/>
  <pageSetup paperSize="9" scale="54" orientation="landscape" horizont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Priorité de passage</vt:lpstr>
      <vt:lpstr>Compteur</vt:lpstr>
      <vt:lpstr>Ctrl_roulage</vt:lpstr>
      <vt:lpstr>Zone_de_travail</vt:lpstr>
      <vt:lpstr>'Priorité de passage'!Zone_dimpression</vt:lpstr>
    </vt:vector>
  </TitlesOfParts>
  <Company>TRANSPOLE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scousin</dc:creator>
  <cp:lastModifiedBy>amohamedtaaher</cp:lastModifiedBy>
  <cp:lastPrinted>2016-08-23T13:02:42Z</cp:lastPrinted>
  <dcterms:created xsi:type="dcterms:W3CDTF">2004-04-22T10:41:07Z</dcterms:created>
  <dcterms:modified xsi:type="dcterms:W3CDTF">2016-08-26T09:25:31Z</dcterms:modified>
</cp:coreProperties>
</file>