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Dossier PFE\"/>
    </mc:Choice>
  </mc:AlternateContent>
  <bookViews>
    <workbookView xWindow="0" yWindow="0" windowWidth="20355" windowHeight="7680" tabRatio="917" firstSheet="6" activeTab="13"/>
  </bookViews>
  <sheets>
    <sheet name="FENETRE PRINCIPALE Mars 2016" sheetId="1" r:id="rId1"/>
    <sheet name="fenetre calcul " sheetId="5" r:id="rId2"/>
    <sheet name="feuille de base Mars 2016" sheetId="2" r:id="rId3"/>
    <sheet name="PAM Clair U404-10 13-05-15" sheetId="11" r:id="rId4"/>
    <sheet name="peau doré C28-02  13-05-15" sheetId="12" r:id="rId5"/>
    <sheet name="LYTESS NOIR NR-7,5% 9-03-16" sheetId="3" r:id="rId6"/>
    <sheet name="CHAIR B19-13" sheetId="6" r:id="rId7"/>
    <sheet name="Feuil1" sheetId="16" r:id="rId8"/>
    <sheet name="PEAU U93-2 15-03-16 ACIDE" sheetId="9" r:id="rId9"/>
    <sheet name="C10-08 BLEU12 11-03-2016" sheetId="7" r:id="rId10"/>
    <sheet name="feuille récapitulative" sheetId="14" r:id="rId11"/>
    <sheet name="liste recette" sheetId="15" r:id="rId12"/>
    <sheet name="Blanc-0,13 12-03-16" sheetId="8" r:id="rId13"/>
    <sheet name="Feuil3" sheetId="18" r:id="rId14"/>
  </sheets>
  <externalReferences>
    <externalReference r:id="rId15"/>
  </externalReferences>
  <definedNames>
    <definedName name="_xlnm._FilterDatabase" localSheetId="1" hidden="1">'fenetre calcul '!$N$4:$O$4</definedName>
    <definedName name="colorant">'[1]feuille de base'!$B$13:$B$51</definedName>
    <definedName name="listepourprodprep">[1]Feuil2!$H$58:$H$66</definedName>
    <definedName name="listeprixprodprepa">[1]Feuil2!$C$1:$C$6</definedName>
    <definedName name="listeprodteint">[1]Feuil2!$B$47:$B$57</definedName>
    <definedName name="preparation">'[1]feuille de base'!$B$2:$B$9</definedName>
    <definedName name="prodfix">'[1]feuille de base'!$B$67:$B$78</definedName>
    <definedName name="prodteinture">'[1]feuille de base'!$B$52:$B$66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5" l="1"/>
  <c r="E49" i="1" l="1"/>
  <c r="J16" i="1" l="1"/>
  <c r="G6" i="5" s="1"/>
  <c r="J19" i="1"/>
  <c r="M16" i="1"/>
  <c r="L16" i="1"/>
  <c r="N16" i="1" s="1"/>
  <c r="K16" i="1"/>
  <c r="J1" i="12"/>
  <c r="B3" i="12"/>
  <c r="B75" i="12"/>
  <c r="B77" i="12"/>
  <c r="O82" i="12"/>
  <c r="O81" i="12"/>
  <c r="O80" i="12"/>
  <c r="O26" i="12"/>
  <c r="O25" i="12"/>
  <c r="O23" i="12"/>
  <c r="O24" i="12"/>
  <c r="O22" i="12"/>
  <c r="O10" i="12"/>
  <c r="O9" i="12"/>
  <c r="O8" i="12"/>
  <c r="O7" i="12"/>
  <c r="J80" i="12"/>
  <c r="J22" i="12"/>
  <c r="J7" i="12"/>
  <c r="C23" i="12"/>
  <c r="D23" i="12" s="1"/>
  <c r="E23" i="12" s="1"/>
  <c r="C24" i="12"/>
  <c r="C25" i="12"/>
  <c r="C26" i="12"/>
  <c r="C27" i="12"/>
  <c r="D27" i="12" s="1"/>
  <c r="E27" i="12" s="1"/>
  <c r="C28" i="12"/>
  <c r="C29" i="12"/>
  <c r="C30" i="12"/>
  <c r="C31" i="12"/>
  <c r="D31" i="12" s="1"/>
  <c r="E31" i="12" s="1"/>
  <c r="C32" i="12"/>
  <c r="C33" i="12"/>
  <c r="C34" i="12"/>
  <c r="C35" i="12"/>
  <c r="D35" i="12" s="1"/>
  <c r="E35" i="12" s="1"/>
  <c r="C36" i="12"/>
  <c r="C37" i="12"/>
  <c r="C38" i="12"/>
  <c r="C39" i="12"/>
  <c r="D39" i="12" s="1"/>
  <c r="E39" i="12" s="1"/>
  <c r="C40" i="12"/>
  <c r="C41" i="12"/>
  <c r="C42" i="12"/>
  <c r="C43" i="12"/>
  <c r="D43" i="12" s="1"/>
  <c r="E43" i="12" s="1"/>
  <c r="C44" i="12"/>
  <c r="C45" i="12"/>
  <c r="C46" i="12"/>
  <c r="C47" i="12"/>
  <c r="D47" i="12" s="1"/>
  <c r="E47" i="12" s="1"/>
  <c r="C48" i="12"/>
  <c r="C49" i="12"/>
  <c r="C50" i="12"/>
  <c r="C51" i="12"/>
  <c r="D51" i="12" s="1"/>
  <c r="E51" i="12" s="1"/>
  <c r="C52" i="12"/>
  <c r="C53" i="12"/>
  <c r="C54" i="12"/>
  <c r="C55" i="12"/>
  <c r="D55" i="12" s="1"/>
  <c r="E55" i="12" s="1"/>
  <c r="C56" i="12"/>
  <c r="C57" i="12"/>
  <c r="C58" i="12"/>
  <c r="C59" i="12"/>
  <c r="D59" i="12" s="1"/>
  <c r="E59" i="12" s="1"/>
  <c r="C60" i="12"/>
  <c r="C61" i="12"/>
  <c r="C62" i="12"/>
  <c r="D62" i="12" s="1"/>
  <c r="E62" i="12" s="1"/>
  <c r="C63" i="12"/>
  <c r="C64" i="12"/>
  <c r="C65" i="12"/>
  <c r="C66" i="12"/>
  <c r="C67" i="12"/>
  <c r="D67" i="12" s="1"/>
  <c r="E67" i="12" s="1"/>
  <c r="C68" i="12"/>
  <c r="C69" i="12"/>
  <c r="C70" i="12"/>
  <c r="D70" i="12" s="1"/>
  <c r="E70" i="12" s="1"/>
  <c r="C71" i="12"/>
  <c r="D71" i="12" s="1"/>
  <c r="E71" i="12" s="1"/>
  <c r="C72" i="12"/>
  <c r="C22" i="12"/>
  <c r="D22" i="12" s="1"/>
  <c r="E22" i="12" s="1"/>
  <c r="C8" i="12"/>
  <c r="C9" i="12"/>
  <c r="C10" i="12"/>
  <c r="C11" i="12"/>
  <c r="D11" i="12" s="1"/>
  <c r="E11" i="12" s="1"/>
  <c r="C12" i="12"/>
  <c r="C13" i="12"/>
  <c r="D13" i="12" s="1"/>
  <c r="E13" i="12" s="1"/>
  <c r="C7" i="12"/>
  <c r="D7" i="12" s="1"/>
  <c r="E7" i="12" s="1"/>
  <c r="F2" i="12"/>
  <c r="C88" i="12"/>
  <c r="D88" i="12" s="1"/>
  <c r="E88" i="12" s="1"/>
  <c r="B88" i="12"/>
  <c r="D87" i="12"/>
  <c r="E87" i="12" s="1"/>
  <c r="C87" i="12"/>
  <c r="B87" i="12"/>
  <c r="D86" i="12"/>
  <c r="E86" i="12" s="1"/>
  <c r="C86" i="12"/>
  <c r="B86" i="12"/>
  <c r="T85" i="12"/>
  <c r="D85" i="12"/>
  <c r="E85" i="12" s="1"/>
  <c r="C85" i="12"/>
  <c r="B85" i="12"/>
  <c r="T84" i="12"/>
  <c r="P84" i="12"/>
  <c r="C84" i="12"/>
  <c r="D84" i="12" s="1"/>
  <c r="E84" i="12" s="1"/>
  <c r="B84" i="12"/>
  <c r="P83" i="12"/>
  <c r="T83" i="12" s="1"/>
  <c r="C83" i="12"/>
  <c r="D83" i="12" s="1"/>
  <c r="E83" i="12" s="1"/>
  <c r="B83" i="12"/>
  <c r="Q82" i="12"/>
  <c r="P82" i="12"/>
  <c r="T82" i="12" s="1"/>
  <c r="D82" i="12"/>
  <c r="E82" i="12" s="1"/>
  <c r="C82" i="12"/>
  <c r="B82" i="12"/>
  <c r="Q81" i="12"/>
  <c r="P81" i="12"/>
  <c r="D81" i="12"/>
  <c r="E81" i="12" s="1"/>
  <c r="C81" i="12"/>
  <c r="B81" i="12"/>
  <c r="Q80" i="12"/>
  <c r="Q88" i="12" s="1"/>
  <c r="P80" i="12"/>
  <c r="O88" i="12"/>
  <c r="P88" i="12" s="1"/>
  <c r="K80" i="12"/>
  <c r="L80" i="12" s="1"/>
  <c r="L82" i="12"/>
  <c r="D80" i="12"/>
  <c r="E80" i="12" s="1"/>
  <c r="C80" i="12"/>
  <c r="B80" i="12"/>
  <c r="D72" i="12"/>
  <c r="E72" i="12" s="1"/>
  <c r="B72" i="12"/>
  <c r="B71" i="12"/>
  <c r="B70" i="12"/>
  <c r="D69" i="12"/>
  <c r="E69" i="12" s="1"/>
  <c r="B69" i="12"/>
  <c r="D68" i="12"/>
  <c r="E68" i="12" s="1"/>
  <c r="B68" i="12"/>
  <c r="B67" i="12"/>
  <c r="B66" i="12"/>
  <c r="D65" i="12"/>
  <c r="E65" i="12" s="1"/>
  <c r="B65" i="12"/>
  <c r="E64" i="12"/>
  <c r="D64" i="12"/>
  <c r="B64" i="12"/>
  <c r="D63" i="12"/>
  <c r="E63" i="12" s="1"/>
  <c r="B63" i="12"/>
  <c r="B62" i="12"/>
  <c r="E61" i="12"/>
  <c r="D61" i="12"/>
  <c r="B61" i="12"/>
  <c r="D60" i="12"/>
  <c r="E60" i="12" s="1"/>
  <c r="B60" i="12"/>
  <c r="B59" i="12"/>
  <c r="D58" i="12"/>
  <c r="E58" i="12" s="1"/>
  <c r="B58" i="12"/>
  <c r="D57" i="12"/>
  <c r="E57" i="12" s="1"/>
  <c r="B57" i="12"/>
  <c r="D56" i="12"/>
  <c r="E56" i="12" s="1"/>
  <c r="B56" i="12"/>
  <c r="B55" i="12"/>
  <c r="D54" i="12"/>
  <c r="E54" i="12" s="1"/>
  <c r="B54" i="12"/>
  <c r="D53" i="12"/>
  <c r="E53" i="12" s="1"/>
  <c r="B53" i="12"/>
  <c r="D52" i="12"/>
  <c r="E52" i="12" s="1"/>
  <c r="B52" i="12"/>
  <c r="B51" i="12"/>
  <c r="D50" i="12"/>
  <c r="E50" i="12" s="1"/>
  <c r="B50" i="12"/>
  <c r="D49" i="12"/>
  <c r="E49" i="12" s="1"/>
  <c r="B49" i="12"/>
  <c r="D48" i="12"/>
  <c r="E48" i="12" s="1"/>
  <c r="B48" i="12"/>
  <c r="B47" i="12"/>
  <c r="D46" i="12"/>
  <c r="E46" i="12" s="1"/>
  <c r="B46" i="12"/>
  <c r="D45" i="12"/>
  <c r="E45" i="12" s="1"/>
  <c r="B45" i="12"/>
  <c r="D44" i="12"/>
  <c r="E44" i="12" s="1"/>
  <c r="B44" i="12"/>
  <c r="B43" i="12"/>
  <c r="D42" i="12"/>
  <c r="E42" i="12" s="1"/>
  <c r="B42" i="12"/>
  <c r="D41" i="12"/>
  <c r="E41" i="12" s="1"/>
  <c r="B41" i="12"/>
  <c r="D40" i="12"/>
  <c r="E40" i="12" s="1"/>
  <c r="B40" i="12"/>
  <c r="B39" i="12"/>
  <c r="D38" i="12"/>
  <c r="E38" i="12" s="1"/>
  <c r="B38" i="12"/>
  <c r="D37" i="12"/>
  <c r="E37" i="12" s="1"/>
  <c r="B37" i="12"/>
  <c r="D36" i="12"/>
  <c r="E36" i="12" s="1"/>
  <c r="B36" i="12"/>
  <c r="B35" i="12"/>
  <c r="D34" i="12"/>
  <c r="E34" i="12" s="1"/>
  <c r="B34" i="12"/>
  <c r="D33" i="12"/>
  <c r="E33" i="12" s="1"/>
  <c r="B33" i="12"/>
  <c r="D32" i="12"/>
  <c r="E32" i="12" s="1"/>
  <c r="B32" i="12"/>
  <c r="B31" i="12"/>
  <c r="D30" i="12"/>
  <c r="E30" i="12" s="1"/>
  <c r="B30" i="12"/>
  <c r="D29" i="12"/>
  <c r="E29" i="12" s="1"/>
  <c r="B29" i="12"/>
  <c r="D28" i="12"/>
  <c r="E28" i="12" s="1"/>
  <c r="B28" i="12"/>
  <c r="B27" i="12"/>
  <c r="Q26" i="12"/>
  <c r="P26" i="12"/>
  <c r="T26" i="12" s="1"/>
  <c r="D26" i="12"/>
  <c r="E26" i="12" s="1"/>
  <c r="B26" i="12"/>
  <c r="Q25" i="12"/>
  <c r="P25" i="12"/>
  <c r="T25" i="12" s="1"/>
  <c r="D25" i="12"/>
  <c r="E25" i="12" s="1"/>
  <c r="B25" i="12"/>
  <c r="Q24" i="12"/>
  <c r="P24" i="12"/>
  <c r="T24" i="12" s="1"/>
  <c r="D24" i="12"/>
  <c r="E24" i="12" s="1"/>
  <c r="B24" i="12"/>
  <c r="Q23" i="12"/>
  <c r="P23" i="12"/>
  <c r="T23" i="12" s="1"/>
  <c r="L23" i="12"/>
  <c r="B23" i="12"/>
  <c r="Q22" i="12"/>
  <c r="Q71" i="12" s="1"/>
  <c r="O71" i="12"/>
  <c r="P71" i="12" s="1"/>
  <c r="M22" i="12"/>
  <c r="B22" i="12"/>
  <c r="B13" i="12"/>
  <c r="D12" i="12"/>
  <c r="E12" i="12" s="1"/>
  <c r="B12" i="12"/>
  <c r="B11" i="12"/>
  <c r="Q10" i="12"/>
  <c r="P10" i="12"/>
  <c r="T10" i="12" s="1"/>
  <c r="D10" i="12"/>
  <c r="E10" i="12" s="1"/>
  <c r="B10" i="12"/>
  <c r="Q9" i="12"/>
  <c r="P9" i="12"/>
  <c r="T9" i="12" s="1"/>
  <c r="D9" i="12"/>
  <c r="E9" i="12" s="1"/>
  <c r="B9" i="12"/>
  <c r="Q8" i="12"/>
  <c r="P8" i="12"/>
  <c r="T8" i="12" s="1"/>
  <c r="D8" i="12"/>
  <c r="E8" i="12" s="1"/>
  <c r="B8" i="12"/>
  <c r="Q7" i="12"/>
  <c r="Q13" i="12" s="1"/>
  <c r="O13" i="12"/>
  <c r="K7" i="12"/>
  <c r="L7" i="12" s="1"/>
  <c r="H7" i="12"/>
  <c r="B7" i="12"/>
  <c r="J27" i="1"/>
  <c r="M19" i="1"/>
  <c r="L19" i="1"/>
  <c r="K19" i="1"/>
  <c r="E80" i="11"/>
  <c r="D80" i="11"/>
  <c r="E81" i="11"/>
  <c r="E86" i="11"/>
  <c r="D86" i="11"/>
  <c r="D87" i="11"/>
  <c r="E87" i="11" s="1"/>
  <c r="O24" i="11"/>
  <c r="Q83" i="11"/>
  <c r="Q81" i="11"/>
  <c r="Q80" i="11"/>
  <c r="Q82" i="11"/>
  <c r="O83" i="11"/>
  <c r="O82" i="11"/>
  <c r="O81" i="11"/>
  <c r="O80" i="11"/>
  <c r="T26" i="11"/>
  <c r="T10" i="11"/>
  <c r="T22" i="11"/>
  <c r="Q26" i="11"/>
  <c r="Q25" i="11"/>
  <c r="Q23" i="11"/>
  <c r="O26" i="11"/>
  <c r="P26" i="11"/>
  <c r="O25" i="11"/>
  <c r="O23" i="11"/>
  <c r="O22" i="11"/>
  <c r="Q22" i="11"/>
  <c r="Q10" i="11"/>
  <c r="Q9" i="11"/>
  <c r="Q8" i="11"/>
  <c r="Q7" i="11"/>
  <c r="P8" i="11"/>
  <c r="P9" i="11"/>
  <c r="P10" i="11"/>
  <c r="O10" i="11"/>
  <c r="O9" i="11"/>
  <c r="O8" i="11"/>
  <c r="O7" i="11"/>
  <c r="M22" i="11"/>
  <c r="M7" i="11"/>
  <c r="L7" i="11"/>
  <c r="J80" i="11"/>
  <c r="J22" i="11"/>
  <c r="J7" i="11"/>
  <c r="F2" i="11"/>
  <c r="C81" i="11"/>
  <c r="D81" i="11" s="1"/>
  <c r="C82" i="11"/>
  <c r="C83" i="11"/>
  <c r="C84" i="11"/>
  <c r="D84" i="11" s="1"/>
  <c r="C85" i="11"/>
  <c r="C86" i="11"/>
  <c r="C87" i="11"/>
  <c r="C88" i="11"/>
  <c r="D88" i="11" s="1"/>
  <c r="C80" i="11"/>
  <c r="C23" i="11"/>
  <c r="C24" i="11"/>
  <c r="C25" i="11"/>
  <c r="D25" i="11" s="1"/>
  <c r="E25" i="11" s="1"/>
  <c r="C26" i="11"/>
  <c r="D26" i="11" s="1"/>
  <c r="E26" i="11" s="1"/>
  <c r="C27" i="11"/>
  <c r="C28" i="11"/>
  <c r="D28" i="11" s="1"/>
  <c r="E28" i="11" s="1"/>
  <c r="C29" i="11"/>
  <c r="D29" i="11" s="1"/>
  <c r="E29" i="11" s="1"/>
  <c r="C30" i="11"/>
  <c r="D30" i="11" s="1"/>
  <c r="E30" i="11" s="1"/>
  <c r="C31" i="11"/>
  <c r="C32" i="11"/>
  <c r="C33" i="11"/>
  <c r="D33" i="11" s="1"/>
  <c r="E33" i="11" s="1"/>
  <c r="C34" i="11"/>
  <c r="D34" i="11" s="1"/>
  <c r="E34" i="11" s="1"/>
  <c r="C35" i="11"/>
  <c r="C36" i="11"/>
  <c r="C37" i="11"/>
  <c r="D37" i="11" s="1"/>
  <c r="E37" i="11" s="1"/>
  <c r="C38" i="11"/>
  <c r="D38" i="11" s="1"/>
  <c r="C39" i="11"/>
  <c r="C40" i="11"/>
  <c r="D40" i="11" s="1"/>
  <c r="C41" i="11"/>
  <c r="D41" i="11" s="1"/>
  <c r="E41" i="11" s="1"/>
  <c r="C42" i="11"/>
  <c r="D42" i="11" s="1"/>
  <c r="C43" i="11"/>
  <c r="C44" i="11"/>
  <c r="D44" i="11" s="1"/>
  <c r="C45" i="11"/>
  <c r="D45" i="11" s="1"/>
  <c r="E45" i="11" s="1"/>
  <c r="C46" i="11"/>
  <c r="D46" i="11" s="1"/>
  <c r="C47" i="11"/>
  <c r="C48" i="11"/>
  <c r="C49" i="11"/>
  <c r="D49" i="11" s="1"/>
  <c r="E49" i="11" s="1"/>
  <c r="C50" i="11"/>
  <c r="D50" i="11" s="1"/>
  <c r="C51" i="11"/>
  <c r="C52" i="11"/>
  <c r="C53" i="11"/>
  <c r="D53" i="11" s="1"/>
  <c r="E53" i="11" s="1"/>
  <c r="C54" i="11"/>
  <c r="D54" i="11" s="1"/>
  <c r="C55" i="11"/>
  <c r="C56" i="11"/>
  <c r="D56" i="11" s="1"/>
  <c r="C57" i="11"/>
  <c r="D57" i="11" s="1"/>
  <c r="E57" i="11" s="1"/>
  <c r="C58" i="11"/>
  <c r="D58" i="11" s="1"/>
  <c r="C59" i="11"/>
  <c r="C60" i="11"/>
  <c r="D60" i="11" s="1"/>
  <c r="C61" i="11"/>
  <c r="D61" i="11" s="1"/>
  <c r="E61" i="11" s="1"/>
  <c r="C62" i="11"/>
  <c r="D62" i="11" s="1"/>
  <c r="C63" i="11"/>
  <c r="C64" i="11"/>
  <c r="C65" i="11"/>
  <c r="D65" i="11" s="1"/>
  <c r="E65" i="11" s="1"/>
  <c r="C66" i="11"/>
  <c r="C67" i="11"/>
  <c r="C68" i="11"/>
  <c r="C69" i="11"/>
  <c r="D69" i="11" s="1"/>
  <c r="E69" i="11" s="1"/>
  <c r="C70" i="11"/>
  <c r="D70" i="11" s="1"/>
  <c r="C71" i="11"/>
  <c r="D71" i="11" s="1"/>
  <c r="C72" i="11"/>
  <c r="D72" i="11" s="1"/>
  <c r="C22" i="11"/>
  <c r="D22" i="11" s="1"/>
  <c r="E22" i="11" s="1"/>
  <c r="C7" i="11"/>
  <c r="B81" i="11"/>
  <c r="B82" i="11"/>
  <c r="B83" i="11"/>
  <c r="B84" i="11"/>
  <c r="B85" i="11"/>
  <c r="B86" i="11"/>
  <c r="B87" i="11"/>
  <c r="B88" i="11"/>
  <c r="B80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22" i="11"/>
  <c r="B13" i="11"/>
  <c r="C8" i="11"/>
  <c r="C9" i="11"/>
  <c r="D9" i="11" s="1"/>
  <c r="C10" i="11"/>
  <c r="C11" i="11"/>
  <c r="D11" i="11" s="1"/>
  <c r="C12" i="11"/>
  <c r="C13" i="11"/>
  <c r="D13" i="11" s="1"/>
  <c r="D7" i="11"/>
  <c r="B7" i="11"/>
  <c r="B8" i="11"/>
  <c r="B9" i="11"/>
  <c r="B10" i="11"/>
  <c r="B11" i="11"/>
  <c r="B12" i="11"/>
  <c r="T85" i="11"/>
  <c r="D85" i="11"/>
  <c r="E85" i="11" s="1"/>
  <c r="T84" i="11"/>
  <c r="P84" i="11"/>
  <c r="T83" i="11"/>
  <c r="P83" i="11"/>
  <c r="D83" i="11"/>
  <c r="P82" i="11"/>
  <c r="D82" i="11"/>
  <c r="T81" i="11"/>
  <c r="P81" i="11"/>
  <c r="Q88" i="11"/>
  <c r="P80" i="11"/>
  <c r="O88" i="11"/>
  <c r="P88" i="11" s="1"/>
  <c r="K80" i="11"/>
  <c r="L80" i="11" s="1"/>
  <c r="L82" i="11"/>
  <c r="D68" i="11"/>
  <c r="D67" i="11"/>
  <c r="D64" i="11"/>
  <c r="D63" i="11"/>
  <c r="E63" i="11" s="1"/>
  <c r="D59" i="11"/>
  <c r="E59" i="11" s="1"/>
  <c r="D55" i="11"/>
  <c r="D52" i="11"/>
  <c r="D51" i="11"/>
  <c r="D48" i="11"/>
  <c r="D47" i="11"/>
  <c r="E47" i="11" s="1"/>
  <c r="D43" i="11"/>
  <c r="E43" i="11" s="1"/>
  <c r="D39" i="11"/>
  <c r="D36" i="11"/>
  <c r="E36" i="11" s="1"/>
  <c r="D35" i="11"/>
  <c r="E35" i="11" s="1"/>
  <c r="D32" i="11"/>
  <c r="E32" i="11" s="1"/>
  <c r="D31" i="11"/>
  <c r="E31" i="11" s="1"/>
  <c r="D27" i="11"/>
  <c r="E27" i="11" s="1"/>
  <c r="P25" i="11"/>
  <c r="T25" i="11" s="1"/>
  <c r="Q24" i="11"/>
  <c r="P24" i="11"/>
  <c r="T24" i="11" s="1"/>
  <c r="D24" i="11"/>
  <c r="E24" i="11" s="1"/>
  <c r="O71" i="11"/>
  <c r="P71" i="11" s="1"/>
  <c r="L23" i="11"/>
  <c r="D23" i="11"/>
  <c r="E23" i="11" s="1"/>
  <c r="Q71" i="11"/>
  <c r="P22" i="11"/>
  <c r="K22" i="11"/>
  <c r="L22" i="11" s="1"/>
  <c r="D12" i="11"/>
  <c r="E12" i="11" s="1"/>
  <c r="D10" i="11"/>
  <c r="E10" i="11" s="1"/>
  <c r="T9" i="11"/>
  <c r="T8" i="11"/>
  <c r="D8" i="11"/>
  <c r="E8" i="11" s="1"/>
  <c r="Q13" i="11"/>
  <c r="P7" i="11"/>
  <c r="K7" i="11"/>
  <c r="H7" i="11"/>
  <c r="N19" i="1" l="1"/>
  <c r="T81" i="12"/>
  <c r="L87" i="12"/>
  <c r="M7" i="12"/>
  <c r="L13" i="12" s="1"/>
  <c r="K22" i="12"/>
  <c r="L22" i="12" s="1"/>
  <c r="P22" i="12"/>
  <c r="T22" i="12" s="1"/>
  <c r="T71" i="12" s="1"/>
  <c r="E73" i="12" s="1"/>
  <c r="M80" i="12"/>
  <c r="T80" i="12"/>
  <c r="T88" i="12" s="1"/>
  <c r="E89" i="12" s="1"/>
  <c r="P7" i="12"/>
  <c r="E72" i="11"/>
  <c r="E60" i="11"/>
  <c r="E56" i="11"/>
  <c r="E44" i="11"/>
  <c r="E40" i="11"/>
  <c r="E68" i="11"/>
  <c r="E9" i="11"/>
  <c r="E52" i="11"/>
  <c r="E48" i="11"/>
  <c r="E64" i="11"/>
  <c r="E83" i="11"/>
  <c r="E39" i="11"/>
  <c r="E55" i="11"/>
  <c r="E51" i="11"/>
  <c r="E67" i="11"/>
  <c r="E82" i="11"/>
  <c r="T82" i="11"/>
  <c r="E88" i="11"/>
  <c r="E84" i="11"/>
  <c r="E70" i="11"/>
  <c r="E38" i="11"/>
  <c r="E42" i="11"/>
  <c r="E46" i="11"/>
  <c r="E50" i="11"/>
  <c r="E54" i="11"/>
  <c r="E58" i="11"/>
  <c r="E62" i="11"/>
  <c r="E71" i="11"/>
  <c r="E13" i="11"/>
  <c r="E11" i="11"/>
  <c r="E7" i="11"/>
  <c r="E14" i="11" s="1"/>
  <c r="L87" i="11"/>
  <c r="P13" i="11"/>
  <c r="T7" i="11"/>
  <c r="T13" i="11" s="1"/>
  <c r="M80" i="11"/>
  <c r="T80" i="11"/>
  <c r="T88" i="11" s="1"/>
  <c r="L13" i="11"/>
  <c r="P23" i="11"/>
  <c r="T23" i="11" s="1"/>
  <c r="T71" i="11" s="1"/>
  <c r="O13" i="11"/>
  <c r="P13" i="12" l="1"/>
  <c r="T7" i="12"/>
  <c r="T13" i="12" s="1"/>
  <c r="E14" i="12" s="1"/>
  <c r="E89" i="11"/>
  <c r="B77" i="11" s="1"/>
  <c r="E73" i="11"/>
  <c r="B75" i="11" s="1"/>
  <c r="B3" i="11"/>
  <c r="U81" i="3"/>
  <c r="U82" i="3"/>
  <c r="U83" i="3"/>
  <c r="U84" i="3"/>
  <c r="U85" i="3"/>
  <c r="U80" i="3"/>
  <c r="U23" i="3"/>
  <c r="U24" i="3"/>
  <c r="U25" i="3"/>
  <c r="U22" i="3"/>
  <c r="U8" i="3"/>
  <c r="U9" i="3"/>
  <c r="U7" i="3"/>
  <c r="U80" i="6"/>
  <c r="U23" i="6"/>
  <c r="U24" i="6"/>
  <c r="U25" i="6"/>
  <c r="U22" i="6"/>
  <c r="U8" i="6"/>
  <c r="U9" i="6"/>
  <c r="U7" i="6"/>
  <c r="T80" i="9"/>
  <c r="T23" i="9"/>
  <c r="T24" i="9"/>
  <c r="T25" i="9"/>
  <c r="T26" i="9"/>
  <c r="T22" i="9"/>
  <c r="T8" i="9"/>
  <c r="T9" i="9"/>
  <c r="T10" i="9"/>
  <c r="T7" i="9"/>
  <c r="T23" i="7"/>
  <c r="T24" i="7"/>
  <c r="T25" i="7"/>
  <c r="T22" i="7"/>
  <c r="T8" i="7"/>
  <c r="T9" i="7"/>
  <c r="T7" i="7"/>
  <c r="T23" i="8"/>
  <c r="T24" i="8"/>
  <c r="T25" i="8"/>
  <c r="T26" i="8"/>
  <c r="T27" i="8"/>
  <c r="T22" i="8"/>
  <c r="T8" i="8"/>
  <c r="T9" i="8"/>
  <c r="T10" i="8"/>
  <c r="T11" i="8"/>
  <c r="T12" i="8"/>
  <c r="T13" i="8"/>
  <c r="T7" i="8"/>
  <c r="P7" i="8"/>
  <c r="J1" i="11" l="1"/>
  <c r="M22" i="8"/>
  <c r="M7" i="8"/>
  <c r="M7" i="7"/>
  <c r="M22" i="7"/>
  <c r="M79" i="7"/>
  <c r="M80" i="9"/>
  <c r="M22" i="9"/>
  <c r="M7" i="9"/>
  <c r="N80" i="6"/>
  <c r="N22" i="6"/>
  <c r="N7" i="6"/>
  <c r="N22" i="3"/>
  <c r="N80" i="3"/>
  <c r="M80" i="3"/>
  <c r="N7" i="3" l="1"/>
  <c r="M7" i="3"/>
  <c r="J43" i="1" l="1"/>
  <c r="J40" i="1"/>
  <c r="J32" i="1"/>
  <c r="J37" i="1"/>
  <c r="P26" i="9"/>
  <c r="O80" i="9"/>
  <c r="Q26" i="9"/>
  <c r="O26" i="9"/>
  <c r="O25" i="9"/>
  <c r="Q24" i="9"/>
  <c r="O24" i="9"/>
  <c r="O23" i="9"/>
  <c r="Q23" i="9"/>
  <c r="Q22" i="9"/>
  <c r="O22" i="9"/>
  <c r="Q8" i="9"/>
  <c r="Q10" i="9"/>
  <c r="Q9" i="9"/>
  <c r="Q7" i="9"/>
  <c r="P10" i="9"/>
  <c r="O10" i="9"/>
  <c r="O9" i="9"/>
  <c r="O8" i="9"/>
  <c r="O7" i="9"/>
  <c r="J22" i="9"/>
  <c r="J7" i="9"/>
  <c r="C62" i="9"/>
  <c r="D62" i="9" s="1"/>
  <c r="B81" i="9"/>
  <c r="B82" i="9"/>
  <c r="B83" i="9"/>
  <c r="B84" i="9"/>
  <c r="B85" i="9"/>
  <c r="B86" i="9"/>
  <c r="B87" i="9"/>
  <c r="B88" i="9"/>
  <c r="B80" i="9"/>
  <c r="B72" i="9"/>
  <c r="C81" i="9"/>
  <c r="C82" i="9"/>
  <c r="C83" i="9"/>
  <c r="D83" i="9" s="1"/>
  <c r="E83" i="9" s="1"/>
  <c r="C84" i="9"/>
  <c r="D84" i="9" s="1"/>
  <c r="C85" i="9"/>
  <c r="C86" i="9"/>
  <c r="C87" i="9"/>
  <c r="D87" i="9" s="1"/>
  <c r="C88" i="9"/>
  <c r="D88" i="9" s="1"/>
  <c r="C80" i="9"/>
  <c r="D80" i="9" s="1"/>
  <c r="D81" i="9"/>
  <c r="D85" i="9"/>
  <c r="E85" i="9" s="1"/>
  <c r="C72" i="9"/>
  <c r="D72" i="9" s="1"/>
  <c r="C23" i="9"/>
  <c r="C24" i="9"/>
  <c r="C25" i="9"/>
  <c r="D25" i="9" s="1"/>
  <c r="E25" i="9" s="1"/>
  <c r="C26" i="9"/>
  <c r="D26" i="9" s="1"/>
  <c r="E26" i="9" s="1"/>
  <c r="C27" i="9"/>
  <c r="C28" i="9"/>
  <c r="C29" i="9"/>
  <c r="D29" i="9" s="1"/>
  <c r="E29" i="9" s="1"/>
  <c r="C30" i="9"/>
  <c r="D30" i="9" s="1"/>
  <c r="E30" i="9" s="1"/>
  <c r="C31" i="9"/>
  <c r="C32" i="9"/>
  <c r="C33" i="9"/>
  <c r="D33" i="9" s="1"/>
  <c r="E33" i="9" s="1"/>
  <c r="C34" i="9"/>
  <c r="D34" i="9" s="1"/>
  <c r="E34" i="9" s="1"/>
  <c r="C35" i="9"/>
  <c r="C36" i="9"/>
  <c r="C37" i="9"/>
  <c r="D37" i="9" s="1"/>
  <c r="C38" i="9"/>
  <c r="D38" i="9" s="1"/>
  <c r="C39" i="9"/>
  <c r="C40" i="9"/>
  <c r="C41" i="9"/>
  <c r="C42" i="9"/>
  <c r="D42" i="9" s="1"/>
  <c r="C43" i="9"/>
  <c r="C44" i="9"/>
  <c r="C45" i="9"/>
  <c r="D45" i="9" s="1"/>
  <c r="C46" i="9"/>
  <c r="D46" i="9" s="1"/>
  <c r="C47" i="9"/>
  <c r="C48" i="9"/>
  <c r="C49" i="9"/>
  <c r="D49" i="9" s="1"/>
  <c r="C50" i="9"/>
  <c r="D50" i="9" s="1"/>
  <c r="C51" i="9"/>
  <c r="C52" i="9"/>
  <c r="C53" i="9"/>
  <c r="D53" i="9" s="1"/>
  <c r="C54" i="9"/>
  <c r="D54" i="9" s="1"/>
  <c r="C55" i="9"/>
  <c r="C56" i="9"/>
  <c r="C57" i="9"/>
  <c r="D57" i="9" s="1"/>
  <c r="C58" i="9"/>
  <c r="D58" i="9" s="1"/>
  <c r="C59" i="9"/>
  <c r="C60" i="9"/>
  <c r="C61" i="9"/>
  <c r="D61" i="9" s="1"/>
  <c r="C63" i="9"/>
  <c r="C64" i="9"/>
  <c r="C65" i="9"/>
  <c r="C66" i="9"/>
  <c r="C67" i="9"/>
  <c r="C68" i="9"/>
  <c r="C69" i="9"/>
  <c r="C70" i="9"/>
  <c r="D70" i="9" s="1"/>
  <c r="C71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22" i="9"/>
  <c r="C22" i="9"/>
  <c r="D22" i="9" s="1"/>
  <c r="E22" i="9" s="1"/>
  <c r="C7" i="9"/>
  <c r="D7" i="9" s="1"/>
  <c r="B13" i="9"/>
  <c r="F2" i="9"/>
  <c r="C8" i="9"/>
  <c r="D8" i="9" s="1"/>
  <c r="E8" i="9" s="1"/>
  <c r="C9" i="9"/>
  <c r="C10" i="9"/>
  <c r="C11" i="9"/>
  <c r="D11" i="9" s="1"/>
  <c r="C12" i="9"/>
  <c r="C13" i="9"/>
  <c r="D13" i="9" s="1"/>
  <c r="B8" i="9"/>
  <c r="B9" i="9"/>
  <c r="B10" i="9"/>
  <c r="B11" i="9"/>
  <c r="B12" i="9"/>
  <c r="B7" i="9"/>
  <c r="Q88" i="9"/>
  <c r="D86" i="9"/>
  <c r="E86" i="9" s="1"/>
  <c r="T85" i="9"/>
  <c r="P84" i="9"/>
  <c r="T84" i="9" s="1"/>
  <c r="T83" i="9"/>
  <c r="P83" i="9"/>
  <c r="P82" i="9"/>
  <c r="T82" i="9" s="1"/>
  <c r="L82" i="9"/>
  <c r="D82" i="9"/>
  <c r="E82" i="9" s="1"/>
  <c r="T81" i="9"/>
  <c r="P81" i="9"/>
  <c r="P80" i="9"/>
  <c r="O88" i="9"/>
  <c r="P88" i="9" s="1"/>
  <c r="T88" i="9" s="1"/>
  <c r="K80" i="9"/>
  <c r="L80" i="9" s="1"/>
  <c r="L87" i="9" s="1"/>
  <c r="D71" i="9"/>
  <c r="D69" i="9"/>
  <c r="D68" i="9"/>
  <c r="E68" i="9" s="1"/>
  <c r="D67" i="9"/>
  <c r="E67" i="9" s="1"/>
  <c r="D65" i="9"/>
  <c r="D64" i="9"/>
  <c r="E64" i="9" s="1"/>
  <c r="D63" i="9"/>
  <c r="E63" i="9" s="1"/>
  <c r="D60" i="9"/>
  <c r="E60" i="9" s="1"/>
  <c r="D59" i="9"/>
  <c r="E59" i="9" s="1"/>
  <c r="D56" i="9"/>
  <c r="E56" i="9" s="1"/>
  <c r="D55" i="9"/>
  <c r="E55" i="9" s="1"/>
  <c r="D52" i="9"/>
  <c r="E52" i="9" s="1"/>
  <c r="D51" i="9"/>
  <c r="E51" i="9" s="1"/>
  <c r="D48" i="9"/>
  <c r="E48" i="9" s="1"/>
  <c r="D47" i="9"/>
  <c r="E47" i="9" s="1"/>
  <c r="D44" i="9"/>
  <c r="E44" i="9" s="1"/>
  <c r="D43" i="9"/>
  <c r="E43" i="9" s="1"/>
  <c r="D41" i="9"/>
  <c r="D40" i="9"/>
  <c r="E40" i="9" s="1"/>
  <c r="D39" i="9"/>
  <c r="E39" i="9" s="1"/>
  <c r="D36" i="9"/>
  <c r="E36" i="9" s="1"/>
  <c r="D35" i="9"/>
  <c r="E35" i="9" s="1"/>
  <c r="D32" i="9"/>
  <c r="E32" i="9" s="1"/>
  <c r="D31" i="9"/>
  <c r="E31" i="9" s="1"/>
  <c r="D28" i="9"/>
  <c r="E28" i="9" s="1"/>
  <c r="D27" i="9"/>
  <c r="E27" i="9" s="1"/>
  <c r="Q25" i="9"/>
  <c r="P25" i="9"/>
  <c r="P24" i="9"/>
  <c r="D24" i="9"/>
  <c r="E24" i="9" s="1"/>
  <c r="O71" i="9"/>
  <c r="P71" i="9" s="1"/>
  <c r="D23" i="9"/>
  <c r="E23" i="9" s="1"/>
  <c r="Q71" i="9"/>
  <c r="P22" i="9"/>
  <c r="K22" i="9"/>
  <c r="L22" i="9" s="1"/>
  <c r="L23" i="9" s="1"/>
  <c r="T12" i="9"/>
  <c r="D12" i="9"/>
  <c r="E12" i="9" s="1"/>
  <c r="T11" i="9"/>
  <c r="D10" i="9"/>
  <c r="P9" i="9"/>
  <c r="D9" i="9"/>
  <c r="E9" i="9" s="1"/>
  <c r="P8" i="9"/>
  <c r="Q13" i="9"/>
  <c r="P7" i="9"/>
  <c r="K7" i="9"/>
  <c r="L7" i="9" s="1"/>
  <c r="H7" i="9"/>
  <c r="E65" i="9" l="1"/>
  <c r="E71" i="9"/>
  <c r="E81" i="9"/>
  <c r="E10" i="9"/>
  <c r="E88" i="9"/>
  <c r="E87" i="9"/>
  <c r="E80" i="9"/>
  <c r="E84" i="9"/>
  <c r="E37" i="9"/>
  <c r="E41" i="9"/>
  <c r="E45" i="9"/>
  <c r="E49" i="9"/>
  <c r="E53" i="9"/>
  <c r="E57" i="9"/>
  <c r="E61" i="9"/>
  <c r="E69" i="9"/>
  <c r="E70" i="9"/>
  <c r="E38" i="9"/>
  <c r="E46" i="9"/>
  <c r="E50" i="9"/>
  <c r="E54" i="9"/>
  <c r="E58" i="9"/>
  <c r="E62" i="9"/>
  <c r="E42" i="9"/>
  <c r="E72" i="9"/>
  <c r="E13" i="9"/>
  <c r="E11" i="9"/>
  <c r="E7" i="9"/>
  <c r="P13" i="9"/>
  <c r="T13" i="9"/>
  <c r="L13" i="9"/>
  <c r="P23" i="9"/>
  <c r="T71" i="9" s="1"/>
  <c r="O13" i="9"/>
  <c r="P26" i="8"/>
  <c r="P27" i="8"/>
  <c r="Q27" i="8"/>
  <c r="Q26" i="8"/>
  <c r="O27" i="8"/>
  <c r="O26" i="8"/>
  <c r="O25" i="8"/>
  <c r="O24" i="8"/>
  <c r="O23" i="8"/>
  <c r="Q22" i="8"/>
  <c r="O22" i="8"/>
  <c r="Q13" i="8"/>
  <c r="Q12" i="8"/>
  <c r="Q11" i="8"/>
  <c r="O13" i="8"/>
  <c r="P13" i="8"/>
  <c r="P12" i="8"/>
  <c r="O12" i="8"/>
  <c r="P11" i="8"/>
  <c r="O11" i="8"/>
  <c r="Q10" i="8"/>
  <c r="P10" i="8"/>
  <c r="O10" i="8"/>
  <c r="Q9" i="8"/>
  <c r="O9" i="8"/>
  <c r="Q8" i="8"/>
  <c r="O8" i="8"/>
  <c r="Q7" i="8"/>
  <c r="O7" i="8"/>
  <c r="C80" i="8"/>
  <c r="D80" i="8" s="1"/>
  <c r="C81" i="8"/>
  <c r="D81" i="8" s="1"/>
  <c r="C82" i="8"/>
  <c r="D82" i="8" s="1"/>
  <c r="C83" i="8"/>
  <c r="C84" i="8"/>
  <c r="D84" i="8" s="1"/>
  <c r="C85" i="8"/>
  <c r="D85" i="8" s="1"/>
  <c r="C86" i="8"/>
  <c r="D86" i="8" s="1"/>
  <c r="C87" i="8"/>
  <c r="C79" i="8"/>
  <c r="D79" i="8" s="1"/>
  <c r="C23" i="8"/>
  <c r="D23" i="8" s="1"/>
  <c r="E23" i="8" s="1"/>
  <c r="C24" i="8"/>
  <c r="D24" i="8" s="1"/>
  <c r="E24" i="8" s="1"/>
  <c r="C25" i="8"/>
  <c r="D25" i="8" s="1"/>
  <c r="E25" i="8" s="1"/>
  <c r="C26" i="8"/>
  <c r="D26" i="8" s="1"/>
  <c r="E26" i="8" s="1"/>
  <c r="C27" i="8"/>
  <c r="D27" i="8" s="1"/>
  <c r="E27" i="8" s="1"/>
  <c r="C28" i="8"/>
  <c r="D28" i="8" s="1"/>
  <c r="E28" i="8" s="1"/>
  <c r="C29" i="8"/>
  <c r="D29" i="8" s="1"/>
  <c r="E29" i="8" s="1"/>
  <c r="C30" i="8"/>
  <c r="D30" i="8" s="1"/>
  <c r="E30" i="8" s="1"/>
  <c r="C31" i="8"/>
  <c r="D31" i="8" s="1"/>
  <c r="E31" i="8" s="1"/>
  <c r="C32" i="8"/>
  <c r="D32" i="8" s="1"/>
  <c r="E32" i="8" s="1"/>
  <c r="C33" i="8"/>
  <c r="D33" i="8" s="1"/>
  <c r="E33" i="8" s="1"/>
  <c r="C34" i="8"/>
  <c r="D34" i="8" s="1"/>
  <c r="E34" i="8" s="1"/>
  <c r="C35" i="8"/>
  <c r="D35" i="8" s="1"/>
  <c r="E35" i="8" s="1"/>
  <c r="C36" i="8"/>
  <c r="D36" i="8" s="1"/>
  <c r="E36" i="8" s="1"/>
  <c r="C37" i="8"/>
  <c r="D37" i="8" s="1"/>
  <c r="C38" i="8"/>
  <c r="D38" i="8" s="1"/>
  <c r="C39" i="8"/>
  <c r="D39" i="8" s="1"/>
  <c r="C40" i="8"/>
  <c r="D40" i="8" s="1"/>
  <c r="C41" i="8"/>
  <c r="D41" i="8" s="1"/>
  <c r="C42" i="8"/>
  <c r="D42" i="8" s="1"/>
  <c r="C43" i="8"/>
  <c r="D43" i="8" s="1"/>
  <c r="C44" i="8"/>
  <c r="D44" i="8" s="1"/>
  <c r="C45" i="8"/>
  <c r="D45" i="8" s="1"/>
  <c r="C46" i="8"/>
  <c r="D46" i="8" s="1"/>
  <c r="C47" i="8"/>
  <c r="D47" i="8" s="1"/>
  <c r="C48" i="8"/>
  <c r="D48" i="8" s="1"/>
  <c r="C49" i="8"/>
  <c r="D49" i="8" s="1"/>
  <c r="C50" i="8"/>
  <c r="D50" i="8" s="1"/>
  <c r="C51" i="8"/>
  <c r="C52" i="8"/>
  <c r="D52" i="8" s="1"/>
  <c r="C53" i="8"/>
  <c r="D53" i="8" s="1"/>
  <c r="C54" i="8"/>
  <c r="D54" i="8" s="1"/>
  <c r="C55" i="8"/>
  <c r="D55" i="8" s="1"/>
  <c r="C56" i="8"/>
  <c r="D56" i="8" s="1"/>
  <c r="C57" i="8"/>
  <c r="D57" i="8" s="1"/>
  <c r="C58" i="8"/>
  <c r="D58" i="8" s="1"/>
  <c r="C59" i="8"/>
  <c r="D59" i="8" s="1"/>
  <c r="C60" i="8"/>
  <c r="D60" i="8" s="1"/>
  <c r="C61" i="8"/>
  <c r="D61" i="8" s="1"/>
  <c r="C62" i="8"/>
  <c r="D62" i="8" s="1"/>
  <c r="C63" i="8"/>
  <c r="C64" i="8"/>
  <c r="D64" i="8" s="1"/>
  <c r="C65" i="8"/>
  <c r="D65" i="8" s="1"/>
  <c r="C66" i="8"/>
  <c r="C67" i="8"/>
  <c r="D67" i="8" s="1"/>
  <c r="C68" i="8"/>
  <c r="D68" i="8" s="1"/>
  <c r="C69" i="8"/>
  <c r="D69" i="8" s="1"/>
  <c r="C70" i="8"/>
  <c r="D70" i="8" s="1"/>
  <c r="C71" i="8"/>
  <c r="D71" i="8" s="1"/>
  <c r="C72" i="8"/>
  <c r="D72" i="8" s="1"/>
  <c r="C22" i="8"/>
  <c r="D22" i="8" s="1"/>
  <c r="E22" i="8" s="1"/>
  <c r="C8" i="8"/>
  <c r="D8" i="8" s="1"/>
  <c r="C9" i="8"/>
  <c r="D9" i="8" s="1"/>
  <c r="C10" i="8"/>
  <c r="C11" i="8"/>
  <c r="C12" i="8"/>
  <c r="D12" i="8" s="1"/>
  <c r="C13" i="8"/>
  <c r="D13" i="8" s="1"/>
  <c r="C7" i="8"/>
  <c r="D7" i="8" s="1"/>
  <c r="G80" i="8"/>
  <c r="G81" i="8"/>
  <c r="G82" i="8"/>
  <c r="G83" i="8"/>
  <c r="G84" i="8"/>
  <c r="G85" i="8"/>
  <c r="G86" i="8"/>
  <c r="G87" i="8"/>
  <c r="G79" i="8"/>
  <c r="F2" i="8"/>
  <c r="Q87" i="8"/>
  <c r="B87" i="8"/>
  <c r="B86" i="8"/>
  <c r="B85" i="8"/>
  <c r="T84" i="8"/>
  <c r="B84" i="8"/>
  <c r="T83" i="8"/>
  <c r="P83" i="8"/>
  <c r="B83" i="8"/>
  <c r="P82" i="8"/>
  <c r="T82" i="8" s="1"/>
  <c r="B82" i="8"/>
  <c r="T81" i="8"/>
  <c r="P81" i="8"/>
  <c r="B81" i="8"/>
  <c r="P80" i="8"/>
  <c r="T80" i="8" s="1"/>
  <c r="B80" i="8"/>
  <c r="M79" i="8"/>
  <c r="B79" i="8"/>
  <c r="B72" i="8"/>
  <c r="B71" i="8"/>
  <c r="B70" i="8"/>
  <c r="B69" i="8"/>
  <c r="B68" i="8"/>
  <c r="B67" i="8"/>
  <c r="B66" i="8"/>
  <c r="B65" i="8"/>
  <c r="B64" i="8"/>
  <c r="D63" i="8"/>
  <c r="B63" i="8"/>
  <c r="B62" i="8"/>
  <c r="B61" i="8"/>
  <c r="B60" i="8"/>
  <c r="B59" i="8"/>
  <c r="B58" i="8"/>
  <c r="B57" i="8"/>
  <c r="B56" i="8"/>
  <c r="B55" i="8"/>
  <c r="B54" i="8"/>
  <c r="B53" i="8"/>
  <c r="B52" i="8"/>
  <c r="D51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Q25" i="8"/>
  <c r="P25" i="8"/>
  <c r="B25" i="8"/>
  <c r="Q24" i="8"/>
  <c r="P24" i="8"/>
  <c r="B24" i="8"/>
  <c r="Q23" i="8"/>
  <c r="P23" i="8"/>
  <c r="B23" i="8"/>
  <c r="Q71" i="8"/>
  <c r="P22" i="8"/>
  <c r="K22" i="8"/>
  <c r="L22" i="8" s="1"/>
  <c r="B22" i="8"/>
  <c r="B13" i="8"/>
  <c r="B12" i="8"/>
  <c r="B11" i="8"/>
  <c r="B10" i="8"/>
  <c r="P9" i="8"/>
  <c r="B9" i="8"/>
  <c r="P8" i="8"/>
  <c r="B8" i="8"/>
  <c r="K7" i="8"/>
  <c r="L7" i="8" s="1"/>
  <c r="L13" i="8" s="1"/>
  <c r="H7" i="8"/>
  <c r="B7" i="8"/>
  <c r="E14" i="9" l="1"/>
  <c r="B2" i="9" s="1"/>
  <c r="K37" i="1" s="1"/>
  <c r="E73" i="9"/>
  <c r="B75" i="9" s="1"/>
  <c r="L37" i="1" s="1"/>
  <c r="E89" i="9"/>
  <c r="B77" i="9" s="1"/>
  <c r="M37" i="1" s="1"/>
  <c r="E67" i="8"/>
  <c r="E59" i="8"/>
  <c r="E47" i="8"/>
  <c r="E39" i="8"/>
  <c r="E81" i="8"/>
  <c r="E58" i="8"/>
  <c r="E44" i="8"/>
  <c r="E64" i="8"/>
  <c r="E69" i="8"/>
  <c r="E65" i="8"/>
  <c r="E61" i="8"/>
  <c r="E57" i="8"/>
  <c r="E53" i="8"/>
  <c r="E49" i="8"/>
  <c r="E41" i="8"/>
  <c r="E37" i="8"/>
  <c r="E48" i="8"/>
  <c r="E51" i="8"/>
  <c r="E7" i="8"/>
  <c r="E72" i="8"/>
  <c r="E68" i="8"/>
  <c r="E56" i="8"/>
  <c r="E52" i="8"/>
  <c r="E40" i="8"/>
  <c r="E86" i="8"/>
  <c r="E43" i="8"/>
  <c r="E9" i="8"/>
  <c r="E55" i="8"/>
  <c r="E60" i="8"/>
  <c r="E63" i="8"/>
  <c r="E13" i="8"/>
  <c r="E71" i="8"/>
  <c r="E85" i="8"/>
  <c r="E45" i="8"/>
  <c r="E70" i="8"/>
  <c r="E62" i="8"/>
  <c r="E54" i="8"/>
  <c r="E50" i="8"/>
  <c r="E46" i="8"/>
  <c r="E42" i="8"/>
  <c r="E38" i="8"/>
  <c r="L23" i="8"/>
  <c r="D87" i="8"/>
  <c r="E87" i="8" s="1"/>
  <c r="E84" i="8"/>
  <c r="D83" i="8"/>
  <c r="E83" i="8" s="1"/>
  <c r="E79" i="8"/>
  <c r="E82" i="8"/>
  <c r="D11" i="8"/>
  <c r="E11" i="8" s="1"/>
  <c r="D10" i="8"/>
  <c r="E10" i="8" s="1"/>
  <c r="E12" i="8"/>
  <c r="E8" i="8"/>
  <c r="O87" i="8"/>
  <c r="P87" i="8" s="1"/>
  <c r="T87" i="8" s="1"/>
  <c r="P79" i="8"/>
  <c r="T79" i="8" s="1"/>
  <c r="T71" i="8"/>
  <c r="O71" i="8"/>
  <c r="P71" i="8" s="1"/>
  <c r="L81" i="8"/>
  <c r="K79" i="8"/>
  <c r="L79" i="8" s="1"/>
  <c r="E80" i="8"/>
  <c r="G4" i="5"/>
  <c r="P79" i="7"/>
  <c r="O79" i="7"/>
  <c r="O9" i="7"/>
  <c r="O8" i="7"/>
  <c r="O7" i="7"/>
  <c r="P22" i="7"/>
  <c r="O25" i="7"/>
  <c r="O24" i="7"/>
  <c r="O23" i="7"/>
  <c r="O22" i="7"/>
  <c r="P80" i="6"/>
  <c r="P25" i="6"/>
  <c r="P24" i="6"/>
  <c r="P23" i="6"/>
  <c r="P22" i="6"/>
  <c r="U10" i="6"/>
  <c r="U11" i="6"/>
  <c r="U12" i="6"/>
  <c r="P9" i="6"/>
  <c r="P8" i="6"/>
  <c r="P7" i="6"/>
  <c r="U71" i="3"/>
  <c r="R88" i="3"/>
  <c r="Q83" i="3"/>
  <c r="Q84" i="3"/>
  <c r="Q85" i="3"/>
  <c r="P85" i="3"/>
  <c r="P84" i="3"/>
  <c r="P83" i="3"/>
  <c r="P82" i="3"/>
  <c r="P81" i="3"/>
  <c r="P80" i="3"/>
  <c r="Q23" i="3"/>
  <c r="Q24" i="3"/>
  <c r="Q25" i="3"/>
  <c r="Q22" i="3"/>
  <c r="P13" i="3"/>
  <c r="P9" i="3"/>
  <c r="P8" i="3"/>
  <c r="P7" i="3"/>
  <c r="P25" i="3"/>
  <c r="P24" i="3"/>
  <c r="P23" i="3"/>
  <c r="P22" i="3"/>
  <c r="N37" i="1" l="1"/>
  <c r="J1" i="9"/>
  <c r="E73" i="8"/>
  <c r="B74" i="8" s="1"/>
  <c r="L27" i="1" s="1"/>
  <c r="E88" i="8"/>
  <c r="E14" i="8"/>
  <c r="B2" i="8" s="1"/>
  <c r="K27" i="1" s="1"/>
  <c r="L86" i="8"/>
  <c r="C80" i="7"/>
  <c r="C81" i="7"/>
  <c r="D81" i="7" s="1"/>
  <c r="C82" i="7"/>
  <c r="D82" i="7" s="1"/>
  <c r="C83" i="7"/>
  <c r="D83" i="7" s="1"/>
  <c r="C84" i="7"/>
  <c r="C85" i="7"/>
  <c r="C86" i="7"/>
  <c r="D86" i="7" s="1"/>
  <c r="C87" i="7"/>
  <c r="D87" i="7" s="1"/>
  <c r="C79" i="7"/>
  <c r="D79" i="7" s="1"/>
  <c r="B80" i="7"/>
  <c r="B81" i="7"/>
  <c r="B82" i="7"/>
  <c r="B83" i="7"/>
  <c r="B84" i="7"/>
  <c r="B85" i="7"/>
  <c r="B86" i="7"/>
  <c r="B87" i="7"/>
  <c r="B79" i="7"/>
  <c r="C23" i="7"/>
  <c r="D23" i="7" s="1"/>
  <c r="E23" i="7" s="1"/>
  <c r="C24" i="7"/>
  <c r="D24" i="7" s="1"/>
  <c r="E24" i="7" s="1"/>
  <c r="C25" i="7"/>
  <c r="C26" i="7"/>
  <c r="D26" i="7" s="1"/>
  <c r="E26" i="7" s="1"/>
  <c r="C27" i="7"/>
  <c r="D27" i="7" s="1"/>
  <c r="E27" i="7" s="1"/>
  <c r="C28" i="7"/>
  <c r="D28" i="7" s="1"/>
  <c r="E28" i="7" s="1"/>
  <c r="C29" i="7"/>
  <c r="C30" i="7"/>
  <c r="D30" i="7" s="1"/>
  <c r="E30" i="7" s="1"/>
  <c r="C31" i="7"/>
  <c r="D31" i="7" s="1"/>
  <c r="E31" i="7" s="1"/>
  <c r="C32" i="7"/>
  <c r="D32" i="7" s="1"/>
  <c r="E32" i="7" s="1"/>
  <c r="C33" i="7"/>
  <c r="C34" i="7"/>
  <c r="D34" i="7" s="1"/>
  <c r="E34" i="7" s="1"/>
  <c r="C35" i="7"/>
  <c r="D35" i="7" s="1"/>
  <c r="E35" i="7" s="1"/>
  <c r="C36" i="7"/>
  <c r="D36" i="7" s="1"/>
  <c r="E36" i="7" s="1"/>
  <c r="C37" i="7"/>
  <c r="C38" i="7"/>
  <c r="D38" i="7" s="1"/>
  <c r="C39" i="7"/>
  <c r="D39" i="7" s="1"/>
  <c r="C40" i="7"/>
  <c r="D40" i="7" s="1"/>
  <c r="C41" i="7"/>
  <c r="C42" i="7"/>
  <c r="D42" i="7" s="1"/>
  <c r="C43" i="7"/>
  <c r="D43" i="7" s="1"/>
  <c r="C44" i="7"/>
  <c r="D44" i="7" s="1"/>
  <c r="C45" i="7"/>
  <c r="C46" i="7"/>
  <c r="D46" i="7" s="1"/>
  <c r="C47" i="7"/>
  <c r="D47" i="7" s="1"/>
  <c r="C48" i="7"/>
  <c r="D48" i="7" s="1"/>
  <c r="C49" i="7"/>
  <c r="C50" i="7"/>
  <c r="D50" i="7" s="1"/>
  <c r="C51" i="7"/>
  <c r="D51" i="7" s="1"/>
  <c r="C52" i="7"/>
  <c r="D52" i="7" s="1"/>
  <c r="C53" i="7"/>
  <c r="C54" i="7"/>
  <c r="D54" i="7" s="1"/>
  <c r="C55" i="7"/>
  <c r="D55" i="7" s="1"/>
  <c r="C56" i="7"/>
  <c r="D56" i="7" s="1"/>
  <c r="C57" i="7"/>
  <c r="C58" i="7"/>
  <c r="D58" i="7" s="1"/>
  <c r="C59" i="7"/>
  <c r="D59" i="7" s="1"/>
  <c r="C60" i="7"/>
  <c r="D60" i="7" s="1"/>
  <c r="C61" i="7"/>
  <c r="D61" i="7" s="1"/>
  <c r="C62" i="7"/>
  <c r="D62" i="7" s="1"/>
  <c r="C63" i="7"/>
  <c r="D63" i="7" s="1"/>
  <c r="C64" i="7"/>
  <c r="D64" i="7" s="1"/>
  <c r="C65" i="7"/>
  <c r="C66" i="7"/>
  <c r="C67" i="7"/>
  <c r="D67" i="7" s="1"/>
  <c r="C68" i="7"/>
  <c r="D68" i="7" s="1"/>
  <c r="C69" i="7"/>
  <c r="D69" i="7" s="1"/>
  <c r="C70" i="7"/>
  <c r="D70" i="7" s="1"/>
  <c r="C71" i="7"/>
  <c r="D71" i="7" s="1"/>
  <c r="C72" i="7"/>
  <c r="D72" i="7" s="1"/>
  <c r="C22" i="7"/>
  <c r="D22" i="7" s="1"/>
  <c r="E22" i="7" s="1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22" i="7"/>
  <c r="L7" i="7"/>
  <c r="F2" i="7"/>
  <c r="B8" i="7"/>
  <c r="B9" i="7"/>
  <c r="B10" i="7"/>
  <c r="B11" i="7"/>
  <c r="B12" i="7"/>
  <c r="B13" i="7"/>
  <c r="B7" i="7"/>
  <c r="C8" i="7"/>
  <c r="D8" i="7" s="1"/>
  <c r="C9" i="7"/>
  <c r="D9" i="7" s="1"/>
  <c r="C10" i="7"/>
  <c r="D10" i="7" s="1"/>
  <c r="C11" i="7"/>
  <c r="D11" i="7" s="1"/>
  <c r="C12" i="7"/>
  <c r="D12" i="7" s="1"/>
  <c r="C13" i="7"/>
  <c r="D13" i="7" s="1"/>
  <c r="C7" i="7"/>
  <c r="D7" i="7" s="1"/>
  <c r="Q87" i="7"/>
  <c r="D85" i="7"/>
  <c r="T84" i="7"/>
  <c r="D84" i="7"/>
  <c r="P83" i="7"/>
  <c r="T83" i="7" s="1"/>
  <c r="T82" i="7"/>
  <c r="P82" i="7"/>
  <c r="P81" i="7"/>
  <c r="T81" i="7" s="1"/>
  <c r="T80" i="7"/>
  <c r="P80" i="7"/>
  <c r="D80" i="7"/>
  <c r="T79" i="7"/>
  <c r="O87" i="7"/>
  <c r="P87" i="7" s="1"/>
  <c r="T87" i="7" s="1"/>
  <c r="K79" i="7"/>
  <c r="L79" i="7" s="1"/>
  <c r="L86" i="7" s="1"/>
  <c r="J79" i="7"/>
  <c r="L81" i="7" s="1"/>
  <c r="D65" i="7"/>
  <c r="D57" i="7"/>
  <c r="D53" i="7"/>
  <c r="D49" i="7"/>
  <c r="D45" i="7"/>
  <c r="D41" i="7"/>
  <c r="E41" i="7" s="1"/>
  <c r="D37" i="7"/>
  <c r="D33" i="7"/>
  <c r="E33" i="7" s="1"/>
  <c r="D29" i="7"/>
  <c r="E29" i="7" s="1"/>
  <c r="Q25" i="7"/>
  <c r="P25" i="7"/>
  <c r="D25" i="7"/>
  <c r="E25" i="7" s="1"/>
  <c r="Q24" i="7"/>
  <c r="P24" i="7"/>
  <c r="Q23" i="7"/>
  <c r="Q71" i="7" s="1"/>
  <c r="P23" i="7"/>
  <c r="Q22" i="7"/>
  <c r="O71" i="7"/>
  <c r="P71" i="7" s="1"/>
  <c r="K22" i="7"/>
  <c r="L22" i="7" s="1"/>
  <c r="L23" i="7" s="1"/>
  <c r="J22" i="7"/>
  <c r="Q13" i="7"/>
  <c r="Q9" i="7"/>
  <c r="P9" i="7"/>
  <c r="Q8" i="7"/>
  <c r="P8" i="7"/>
  <c r="Q7" i="7"/>
  <c r="O13" i="7"/>
  <c r="K7" i="7"/>
  <c r="L13" i="7" s="1"/>
  <c r="H7" i="7"/>
  <c r="E67" i="7" l="1"/>
  <c r="E43" i="7"/>
  <c r="E80" i="7"/>
  <c r="E84" i="7"/>
  <c r="E10" i="7"/>
  <c r="B76" i="8"/>
  <c r="M27" i="1" s="1"/>
  <c r="N27" i="1" s="1"/>
  <c r="E59" i="7"/>
  <c r="E51" i="7"/>
  <c r="E65" i="7"/>
  <c r="E81" i="7"/>
  <c r="E85" i="7"/>
  <c r="E8" i="7"/>
  <c r="E52" i="7"/>
  <c r="J1" i="8"/>
  <c r="E53" i="7"/>
  <c r="E9" i="7"/>
  <c r="E63" i="7"/>
  <c r="E55" i="7"/>
  <c r="E47" i="7"/>
  <c r="E39" i="7"/>
  <c r="E45" i="7"/>
  <c r="E57" i="7"/>
  <c r="E37" i="7"/>
  <c r="E49" i="7"/>
  <c r="E72" i="7"/>
  <c r="E68" i="7"/>
  <c r="E60" i="7"/>
  <c r="E86" i="7"/>
  <c r="E64" i="7"/>
  <c r="E56" i="7"/>
  <c r="E12" i="7"/>
  <c r="E82" i="7"/>
  <c r="E7" i="7"/>
  <c r="E69" i="7"/>
  <c r="E61" i="7"/>
  <c r="E48" i="7"/>
  <c r="E44" i="7"/>
  <c r="E40" i="7"/>
  <c r="E83" i="7"/>
  <c r="E87" i="7"/>
  <c r="E79" i="7"/>
  <c r="E42" i="7"/>
  <c r="E46" i="7"/>
  <c r="E50" i="7"/>
  <c r="E54" i="7"/>
  <c r="E58" i="7"/>
  <c r="E62" i="7"/>
  <c r="E71" i="7"/>
  <c r="E70" i="7"/>
  <c r="E38" i="7"/>
  <c r="E11" i="7"/>
  <c r="E13" i="7"/>
  <c r="P7" i="7"/>
  <c r="E73" i="7" l="1"/>
  <c r="E88" i="7"/>
  <c r="B76" i="7" s="1"/>
  <c r="M40" i="1" s="1"/>
  <c r="E14" i="7"/>
  <c r="T71" i="7"/>
  <c r="T13" i="7"/>
  <c r="P13" i="7"/>
  <c r="B74" i="7" l="1"/>
  <c r="L40" i="1" s="1"/>
  <c r="B2" i="7"/>
  <c r="D8" i="6"/>
  <c r="E8" i="6" s="1"/>
  <c r="D9" i="6"/>
  <c r="E9" i="6" s="1"/>
  <c r="D10" i="6"/>
  <c r="D11" i="6"/>
  <c r="E11" i="6" s="1"/>
  <c r="D12" i="6"/>
  <c r="E12" i="6" s="1"/>
  <c r="D13" i="6"/>
  <c r="E13" i="6" s="1"/>
  <c r="Q23" i="6"/>
  <c r="Q24" i="6"/>
  <c r="Q25" i="6"/>
  <c r="Q22" i="6"/>
  <c r="Q80" i="6"/>
  <c r="L80" i="6"/>
  <c r="M80" i="6" s="1"/>
  <c r="K7" i="6"/>
  <c r="K22" i="6"/>
  <c r="K80" i="6"/>
  <c r="M82" i="6" s="1"/>
  <c r="D81" i="6"/>
  <c r="E81" i="6" s="1"/>
  <c r="D82" i="6"/>
  <c r="E82" i="6" s="1"/>
  <c r="D83" i="6"/>
  <c r="E83" i="6" s="1"/>
  <c r="D84" i="6"/>
  <c r="E84" i="6" s="1"/>
  <c r="D85" i="6"/>
  <c r="E85" i="6" s="1"/>
  <c r="D86" i="6"/>
  <c r="E86" i="6" s="1"/>
  <c r="D87" i="6"/>
  <c r="E87" i="6" s="1"/>
  <c r="D88" i="6"/>
  <c r="E88" i="6" s="1"/>
  <c r="D80" i="6"/>
  <c r="E80" i="6" s="1"/>
  <c r="D23" i="6"/>
  <c r="E23" i="6" s="1"/>
  <c r="F23" i="6" s="1"/>
  <c r="D24" i="6"/>
  <c r="E24" i="6" s="1"/>
  <c r="F24" i="6" s="1"/>
  <c r="D25" i="6"/>
  <c r="D26" i="6"/>
  <c r="E26" i="6" s="1"/>
  <c r="F26" i="6" s="1"/>
  <c r="D27" i="6"/>
  <c r="E27" i="6" s="1"/>
  <c r="F27" i="6" s="1"/>
  <c r="D28" i="6"/>
  <c r="E28" i="6" s="1"/>
  <c r="F28" i="6" s="1"/>
  <c r="D29" i="6"/>
  <c r="E29" i="6" s="1"/>
  <c r="F29" i="6" s="1"/>
  <c r="D30" i="6"/>
  <c r="E30" i="6" s="1"/>
  <c r="F30" i="6" s="1"/>
  <c r="D31" i="6"/>
  <c r="E31" i="6" s="1"/>
  <c r="F31" i="6" s="1"/>
  <c r="D32" i="6"/>
  <c r="E32" i="6" s="1"/>
  <c r="F32" i="6" s="1"/>
  <c r="D33" i="6"/>
  <c r="E33" i="6" s="1"/>
  <c r="F33" i="6" s="1"/>
  <c r="D34" i="6"/>
  <c r="E34" i="6" s="1"/>
  <c r="F34" i="6" s="1"/>
  <c r="D35" i="6"/>
  <c r="E35" i="6" s="1"/>
  <c r="F35" i="6" s="1"/>
  <c r="D36" i="6"/>
  <c r="E36" i="6" s="1"/>
  <c r="F36" i="6" s="1"/>
  <c r="D37" i="6"/>
  <c r="E37" i="6" s="1"/>
  <c r="D38" i="6"/>
  <c r="E38" i="6" s="1"/>
  <c r="D39" i="6"/>
  <c r="E39" i="6" s="1"/>
  <c r="D40" i="6"/>
  <c r="E40" i="6" s="1"/>
  <c r="D41" i="6"/>
  <c r="E41" i="6" s="1"/>
  <c r="D42" i="6"/>
  <c r="E42" i="6" s="1"/>
  <c r="D43" i="6"/>
  <c r="E43" i="6" s="1"/>
  <c r="D44" i="6"/>
  <c r="E44" i="6" s="1"/>
  <c r="D45" i="6"/>
  <c r="E45" i="6" s="1"/>
  <c r="D46" i="6"/>
  <c r="E46" i="6" s="1"/>
  <c r="D47" i="6"/>
  <c r="E47" i="6" s="1"/>
  <c r="D48" i="6"/>
  <c r="E48" i="6" s="1"/>
  <c r="D49" i="6"/>
  <c r="E49" i="6" s="1"/>
  <c r="D50" i="6"/>
  <c r="E50" i="6" s="1"/>
  <c r="D51" i="6"/>
  <c r="E51" i="6" s="1"/>
  <c r="D52" i="6"/>
  <c r="E52" i="6" s="1"/>
  <c r="D53" i="6"/>
  <c r="E53" i="6" s="1"/>
  <c r="D54" i="6"/>
  <c r="E54" i="6" s="1"/>
  <c r="D55" i="6"/>
  <c r="E55" i="6" s="1"/>
  <c r="D56" i="6"/>
  <c r="E56" i="6" s="1"/>
  <c r="D57" i="6"/>
  <c r="E57" i="6" s="1"/>
  <c r="D58" i="6"/>
  <c r="E58" i="6" s="1"/>
  <c r="D59" i="6"/>
  <c r="E59" i="6" s="1"/>
  <c r="D60" i="6"/>
  <c r="E60" i="6" s="1"/>
  <c r="D61" i="6"/>
  <c r="E61" i="6" s="1"/>
  <c r="D62" i="6"/>
  <c r="E62" i="6" s="1"/>
  <c r="D63" i="6"/>
  <c r="E63" i="6" s="1"/>
  <c r="D64" i="6"/>
  <c r="E64" i="6" s="1"/>
  <c r="D65" i="6"/>
  <c r="E65" i="6" s="1"/>
  <c r="D66" i="6"/>
  <c r="D67" i="6"/>
  <c r="E67" i="6" s="1"/>
  <c r="D68" i="6"/>
  <c r="E68" i="6" s="1"/>
  <c r="D69" i="6"/>
  <c r="E69" i="6" s="1"/>
  <c r="D70" i="6"/>
  <c r="E70" i="6" s="1"/>
  <c r="D71" i="6"/>
  <c r="E71" i="6" s="1"/>
  <c r="D72" i="6"/>
  <c r="E72" i="6" s="1"/>
  <c r="D22" i="6"/>
  <c r="E22" i="6" s="1"/>
  <c r="F22" i="6" s="1"/>
  <c r="E10" i="6"/>
  <c r="D7" i="6"/>
  <c r="G2" i="6"/>
  <c r="C88" i="6"/>
  <c r="C87" i="6"/>
  <c r="C86" i="6"/>
  <c r="U85" i="6"/>
  <c r="C85" i="6"/>
  <c r="Q84" i="6"/>
  <c r="C84" i="6"/>
  <c r="Q83" i="6"/>
  <c r="U83" i="6" s="1"/>
  <c r="C83" i="6"/>
  <c r="U82" i="6"/>
  <c r="Q82" i="6"/>
  <c r="C82" i="6"/>
  <c r="Q81" i="6"/>
  <c r="U81" i="6" s="1"/>
  <c r="C81" i="6"/>
  <c r="R88" i="6"/>
  <c r="C80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R25" i="6"/>
  <c r="E25" i="6"/>
  <c r="F25" i="6" s="1"/>
  <c r="C25" i="6"/>
  <c r="R24" i="6"/>
  <c r="C24" i="6"/>
  <c r="R23" i="6"/>
  <c r="C23" i="6"/>
  <c r="R22" i="6"/>
  <c r="L22" i="6"/>
  <c r="M22" i="6" s="1"/>
  <c r="M23" i="6" s="1"/>
  <c r="C22" i="6"/>
  <c r="C13" i="6"/>
  <c r="C12" i="6"/>
  <c r="C11" i="6"/>
  <c r="C10" i="6"/>
  <c r="R9" i="6"/>
  <c r="Q9" i="6"/>
  <c r="C9" i="6"/>
  <c r="R8" i="6"/>
  <c r="Q8" i="6"/>
  <c r="C8" i="6"/>
  <c r="R7" i="6"/>
  <c r="Q7" i="6"/>
  <c r="P13" i="6"/>
  <c r="I7" i="6"/>
  <c r="C7" i="6"/>
  <c r="D18" i="5"/>
  <c r="G15" i="5"/>
  <c r="G11" i="5"/>
  <c r="D15" i="5"/>
  <c r="D11" i="5"/>
  <c r="J1" i="7" l="1"/>
  <c r="K40" i="1"/>
  <c r="N40" i="1" s="1"/>
  <c r="L7" i="6"/>
  <c r="M7" i="6" s="1"/>
  <c r="R71" i="6"/>
  <c r="F9" i="6"/>
  <c r="F54" i="6"/>
  <c r="F58" i="6"/>
  <c r="F13" i="6"/>
  <c r="F38" i="6"/>
  <c r="F50" i="6"/>
  <c r="F56" i="6"/>
  <c r="F62" i="6"/>
  <c r="F10" i="6"/>
  <c r="F70" i="6"/>
  <c r="F80" i="6"/>
  <c r="F85" i="6"/>
  <c r="F81" i="6"/>
  <c r="F12" i="6"/>
  <c r="F8" i="6"/>
  <c r="F69" i="6"/>
  <c r="F65" i="6"/>
  <c r="F61" i="6"/>
  <c r="F57" i="6"/>
  <c r="F53" i="6"/>
  <c r="F49" i="6"/>
  <c r="F45" i="6"/>
  <c r="F41" i="6"/>
  <c r="F37" i="6"/>
  <c r="F84" i="6"/>
  <c r="F11" i="6"/>
  <c r="F67" i="6"/>
  <c r="F72" i="6"/>
  <c r="F68" i="6"/>
  <c r="F64" i="6"/>
  <c r="F60" i="6"/>
  <c r="F52" i="6"/>
  <c r="F48" i="6"/>
  <c r="F44" i="6"/>
  <c r="F87" i="6"/>
  <c r="F83" i="6"/>
  <c r="F42" i="6"/>
  <c r="F40" i="6"/>
  <c r="F46" i="6"/>
  <c r="F71" i="6"/>
  <c r="F63" i="6"/>
  <c r="F59" i="6"/>
  <c r="F55" i="6"/>
  <c r="F51" i="6"/>
  <c r="F47" i="6"/>
  <c r="F43" i="6"/>
  <c r="F39" i="6"/>
  <c r="F86" i="6"/>
  <c r="F82" i="6"/>
  <c r="E7" i="6"/>
  <c r="F88" i="6"/>
  <c r="U84" i="6"/>
  <c r="P88" i="6"/>
  <c r="Q88" i="6" s="1"/>
  <c r="U88" i="6" s="1"/>
  <c r="P71" i="6"/>
  <c r="Q71" i="6" s="1"/>
  <c r="U13" i="6"/>
  <c r="M13" i="6"/>
  <c r="M87" i="6"/>
  <c r="Q13" i="6"/>
  <c r="R13" i="6"/>
  <c r="U71" i="6" l="1"/>
  <c r="F7" i="6"/>
  <c r="F14" i="6" s="1"/>
  <c r="F73" i="6"/>
  <c r="C75" i="6" s="1"/>
  <c r="L32" i="1" s="1"/>
  <c r="F89" i="6"/>
  <c r="C77" i="6" s="1"/>
  <c r="M32" i="1" s="1"/>
  <c r="C2" i="6" l="1"/>
  <c r="K32" i="1" s="1"/>
  <c r="K1" i="6"/>
  <c r="M13" i="3"/>
  <c r="M23" i="3"/>
  <c r="M22" i="3"/>
  <c r="L22" i="3"/>
  <c r="M87" i="3"/>
  <c r="M82" i="3"/>
  <c r="K80" i="3"/>
  <c r="P88" i="3"/>
  <c r="Q88" i="3" s="1"/>
  <c r="Q81" i="3"/>
  <c r="Q82" i="3"/>
  <c r="Q80" i="3"/>
  <c r="R23" i="3"/>
  <c r="R22" i="3"/>
  <c r="R85" i="3"/>
  <c r="R84" i="3"/>
  <c r="R83" i="3"/>
  <c r="R82" i="3"/>
  <c r="R81" i="3"/>
  <c r="R80" i="3"/>
  <c r="R25" i="3"/>
  <c r="R24" i="3"/>
  <c r="Q8" i="3"/>
  <c r="Q9" i="3"/>
  <c r="K22" i="3"/>
  <c r="D23" i="3"/>
  <c r="E23" i="3" s="1"/>
  <c r="F23" i="3" s="1"/>
  <c r="D24" i="3"/>
  <c r="E24" i="3" s="1"/>
  <c r="F24" i="3" s="1"/>
  <c r="D25" i="3"/>
  <c r="E25" i="3" s="1"/>
  <c r="F25" i="3" s="1"/>
  <c r="D26" i="3"/>
  <c r="D27" i="3"/>
  <c r="D28" i="3"/>
  <c r="E28" i="3" s="1"/>
  <c r="F28" i="3" s="1"/>
  <c r="D29" i="3"/>
  <c r="E29" i="3" s="1"/>
  <c r="F29" i="3" s="1"/>
  <c r="D30" i="3"/>
  <c r="E30" i="3" s="1"/>
  <c r="F30" i="3" s="1"/>
  <c r="D31" i="3"/>
  <c r="D32" i="3"/>
  <c r="E32" i="3" s="1"/>
  <c r="F32" i="3" s="1"/>
  <c r="D33" i="3"/>
  <c r="E33" i="3" s="1"/>
  <c r="F33" i="3" s="1"/>
  <c r="D34" i="3"/>
  <c r="D35" i="3"/>
  <c r="E35" i="3" s="1"/>
  <c r="F35" i="3" s="1"/>
  <c r="D36" i="3"/>
  <c r="E36" i="3" s="1"/>
  <c r="F36" i="3" s="1"/>
  <c r="D37" i="3"/>
  <c r="E37" i="3" s="1"/>
  <c r="D38" i="3"/>
  <c r="D39" i="3"/>
  <c r="E39" i="3" s="1"/>
  <c r="D40" i="3"/>
  <c r="E40" i="3" s="1"/>
  <c r="D41" i="3"/>
  <c r="E41" i="3" s="1"/>
  <c r="D42" i="3"/>
  <c r="D43" i="3"/>
  <c r="D44" i="3"/>
  <c r="E44" i="3" s="1"/>
  <c r="D45" i="3"/>
  <c r="E45" i="3" s="1"/>
  <c r="D46" i="3"/>
  <c r="E46" i="3" s="1"/>
  <c r="D47" i="3"/>
  <c r="D48" i="3"/>
  <c r="E48" i="3" s="1"/>
  <c r="D49" i="3"/>
  <c r="E49" i="3" s="1"/>
  <c r="D50" i="3"/>
  <c r="D51" i="3"/>
  <c r="E51" i="3" s="1"/>
  <c r="D52" i="3"/>
  <c r="D53" i="3"/>
  <c r="E53" i="3" s="1"/>
  <c r="D54" i="3"/>
  <c r="D55" i="3"/>
  <c r="E55" i="3" s="1"/>
  <c r="D56" i="3"/>
  <c r="E56" i="3" s="1"/>
  <c r="D57" i="3"/>
  <c r="E57" i="3" s="1"/>
  <c r="D58" i="3"/>
  <c r="E58" i="3" s="1"/>
  <c r="D59" i="3"/>
  <c r="E59" i="3" s="1"/>
  <c r="D60" i="3"/>
  <c r="E60" i="3" s="1"/>
  <c r="D61" i="3"/>
  <c r="E61" i="3" s="1"/>
  <c r="D62" i="3"/>
  <c r="E62" i="3" s="1"/>
  <c r="D63" i="3"/>
  <c r="E63" i="3" s="1"/>
  <c r="D64" i="3"/>
  <c r="E64" i="3" s="1"/>
  <c r="D65" i="3"/>
  <c r="E65" i="3" s="1"/>
  <c r="D66" i="3"/>
  <c r="D67" i="3"/>
  <c r="D68" i="3"/>
  <c r="E68" i="3" s="1"/>
  <c r="D69" i="3"/>
  <c r="E69" i="3" s="1"/>
  <c r="D70" i="3"/>
  <c r="E70" i="3" s="1"/>
  <c r="D71" i="3"/>
  <c r="E71" i="3" s="1"/>
  <c r="D72" i="3"/>
  <c r="E72" i="3" s="1"/>
  <c r="D22" i="3"/>
  <c r="E22" i="3" s="1"/>
  <c r="Q7" i="3"/>
  <c r="R9" i="3"/>
  <c r="R8" i="3"/>
  <c r="R7" i="3"/>
  <c r="L7" i="3"/>
  <c r="E8" i="3"/>
  <c r="I7" i="3"/>
  <c r="K7" i="3"/>
  <c r="G2" i="3"/>
  <c r="D9" i="3"/>
  <c r="E9" i="3" s="1"/>
  <c r="D10" i="3"/>
  <c r="E10" i="3" s="1"/>
  <c r="D11" i="3"/>
  <c r="E11" i="3" s="1"/>
  <c r="D12" i="3"/>
  <c r="E12" i="3" s="1"/>
  <c r="D13" i="3"/>
  <c r="E13" i="3" s="1"/>
  <c r="D7" i="3"/>
  <c r="E7" i="3" s="1"/>
  <c r="D88" i="3"/>
  <c r="E88" i="3" s="1"/>
  <c r="C88" i="3"/>
  <c r="D87" i="3"/>
  <c r="E87" i="3" s="1"/>
  <c r="C87" i="3"/>
  <c r="D86" i="3"/>
  <c r="E86" i="3" s="1"/>
  <c r="C86" i="3"/>
  <c r="D85" i="3"/>
  <c r="E85" i="3" s="1"/>
  <c r="C85" i="3"/>
  <c r="D84" i="3"/>
  <c r="E84" i="3" s="1"/>
  <c r="C84" i="3"/>
  <c r="D83" i="3"/>
  <c r="E83" i="3" s="1"/>
  <c r="C83" i="3"/>
  <c r="D82" i="3"/>
  <c r="E82" i="3" s="1"/>
  <c r="C82" i="3"/>
  <c r="D81" i="3"/>
  <c r="E81" i="3" s="1"/>
  <c r="C81" i="3"/>
  <c r="L80" i="3"/>
  <c r="D80" i="3"/>
  <c r="E80" i="3" s="1"/>
  <c r="C80" i="3"/>
  <c r="C72" i="3"/>
  <c r="C71" i="3"/>
  <c r="C70" i="3"/>
  <c r="C69" i="3"/>
  <c r="C68" i="3"/>
  <c r="E67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E54" i="3"/>
  <c r="C54" i="3"/>
  <c r="C53" i="3"/>
  <c r="E52" i="3"/>
  <c r="C52" i="3"/>
  <c r="C51" i="3"/>
  <c r="C50" i="3"/>
  <c r="C49" i="3"/>
  <c r="C48" i="3"/>
  <c r="E47" i="3"/>
  <c r="C47" i="3"/>
  <c r="C46" i="3"/>
  <c r="C45" i="3"/>
  <c r="C44" i="3"/>
  <c r="E43" i="3"/>
  <c r="C43" i="3"/>
  <c r="C42" i="3"/>
  <c r="C41" i="3"/>
  <c r="C40" i="3"/>
  <c r="C39" i="3"/>
  <c r="E38" i="3"/>
  <c r="C38" i="3"/>
  <c r="C37" i="3"/>
  <c r="C36" i="3"/>
  <c r="C35" i="3"/>
  <c r="C34" i="3"/>
  <c r="C33" i="3"/>
  <c r="C32" i="3"/>
  <c r="E31" i="3"/>
  <c r="F31" i="3" s="1"/>
  <c r="C31" i="3"/>
  <c r="C30" i="3"/>
  <c r="C29" i="3"/>
  <c r="C28" i="3"/>
  <c r="E27" i="3"/>
  <c r="F27" i="3" s="1"/>
  <c r="C27" i="3"/>
  <c r="C26" i="3"/>
  <c r="C25" i="3"/>
  <c r="C24" i="3"/>
  <c r="C23" i="3"/>
  <c r="C22" i="3"/>
  <c r="R13" i="3"/>
  <c r="C13" i="3"/>
  <c r="C12" i="3"/>
  <c r="C11" i="3"/>
  <c r="C10" i="3"/>
  <c r="C9" i="3"/>
  <c r="C8" i="3"/>
  <c r="F8" i="3" s="1"/>
  <c r="C7" i="3"/>
  <c r="U88" i="3" l="1"/>
  <c r="F12" i="3"/>
  <c r="F13" i="3"/>
  <c r="F10" i="3"/>
  <c r="F22" i="3"/>
  <c r="F9" i="3"/>
  <c r="N32" i="1"/>
  <c r="F65" i="3"/>
  <c r="F57" i="3"/>
  <c r="F41" i="3"/>
  <c r="F86" i="3"/>
  <c r="F88" i="3"/>
  <c r="F69" i="3"/>
  <c r="F61" i="3"/>
  <c r="F49" i="3"/>
  <c r="F38" i="3"/>
  <c r="F40" i="3"/>
  <c r="F43" i="3"/>
  <c r="F45" i="3"/>
  <c r="F47" i="3"/>
  <c r="F52" i="3"/>
  <c r="F54" i="3"/>
  <c r="F56" i="3"/>
  <c r="F59" i="3"/>
  <c r="F64" i="3"/>
  <c r="F67" i="3"/>
  <c r="F11" i="3"/>
  <c r="F83" i="3"/>
  <c r="F85" i="3"/>
  <c r="F87" i="3"/>
  <c r="F81" i="3"/>
  <c r="F80" i="3"/>
  <c r="F37" i="3"/>
  <c r="F39" i="3"/>
  <c r="F44" i="3"/>
  <c r="F46" i="3"/>
  <c r="F48" i="3"/>
  <c r="F51" i="3"/>
  <c r="F53" i="3"/>
  <c r="F55" i="3"/>
  <c r="F60" i="3"/>
  <c r="F63" i="3"/>
  <c r="F68" i="3"/>
  <c r="F7" i="3"/>
  <c r="F71" i="3"/>
  <c r="F72" i="3"/>
  <c r="F82" i="3"/>
  <c r="F84" i="3"/>
  <c r="F70" i="3"/>
  <c r="F62" i="3"/>
  <c r="F58" i="3"/>
  <c r="P71" i="3"/>
  <c r="Q71" i="3" s="1"/>
  <c r="R71" i="3"/>
  <c r="Q13" i="3"/>
  <c r="U13" i="3"/>
  <c r="E26" i="3"/>
  <c r="F26" i="3" s="1"/>
  <c r="E34" i="3"/>
  <c r="F34" i="3" s="1"/>
  <c r="E42" i="3"/>
  <c r="F42" i="3" s="1"/>
  <c r="E50" i="3"/>
  <c r="F50" i="3" s="1"/>
  <c r="F89" i="3" l="1"/>
  <c r="C77" i="3" s="1"/>
  <c r="M43" i="1" s="1"/>
  <c r="J18" i="5" s="1"/>
  <c r="F14" i="3"/>
  <c r="C3" i="3" s="1"/>
  <c r="K43" i="1" s="1"/>
  <c r="J11" i="5" s="1"/>
  <c r="F73" i="3" l="1"/>
  <c r="C49" i="2"/>
  <c r="C46" i="2"/>
  <c r="C45" i="2"/>
  <c r="C44" i="2"/>
  <c r="C42" i="2"/>
  <c r="C41" i="2"/>
  <c r="C40" i="2"/>
  <c r="C38" i="2"/>
  <c r="C36" i="2"/>
  <c r="C29" i="2"/>
  <c r="C24" i="2"/>
  <c r="C15" i="2"/>
  <c r="K1" i="3" l="1"/>
  <c r="C75" i="3"/>
  <c r="L43" i="1" s="1"/>
  <c r="N43" i="1" l="1"/>
  <c r="M15" i="5" s="1"/>
</calcChain>
</file>

<file path=xl/sharedStrings.xml><?xml version="1.0" encoding="utf-8"?>
<sst xmlns="http://schemas.openxmlformats.org/spreadsheetml/2006/main" count="1401" uniqueCount="278">
  <si>
    <t>NR-7,5%</t>
  </si>
  <si>
    <t>BLANC</t>
  </si>
  <si>
    <t>88/15-7</t>
  </si>
  <si>
    <t>NM1</t>
  </si>
  <si>
    <t>PREP</t>
  </si>
  <si>
    <t>C28-02</t>
  </si>
  <si>
    <t>81/15-6</t>
  </si>
  <si>
    <t>B54-2</t>
  </si>
  <si>
    <t>marine 3%+ Noir 0,5%</t>
  </si>
  <si>
    <t>U275-9</t>
  </si>
  <si>
    <t>A64-12</t>
  </si>
  <si>
    <t>109/15-3</t>
  </si>
  <si>
    <t>couleurs</t>
  </si>
  <si>
    <t>colorants</t>
  </si>
  <si>
    <t>clients</t>
  </si>
  <si>
    <t>poids</t>
  </si>
  <si>
    <t>articles</t>
  </si>
  <si>
    <t xml:space="preserve">date </t>
  </si>
  <si>
    <t>machines</t>
  </si>
  <si>
    <t>code couleurs</t>
  </si>
  <si>
    <t>LYTESS</t>
  </si>
  <si>
    <t>LE BOURGET</t>
  </si>
  <si>
    <t>BON PRIX</t>
  </si>
  <si>
    <t>NBL</t>
  </si>
  <si>
    <t>GO SPORT</t>
  </si>
  <si>
    <t>BRASSIERE</t>
  </si>
  <si>
    <t>CARACO</t>
  </si>
  <si>
    <t>SLIP JAQUARD+BRASSIERE</t>
  </si>
  <si>
    <t>SLIP BASIC JACQUARD</t>
  </si>
  <si>
    <t>BRASSIERE+TOP</t>
  </si>
  <si>
    <t>CEINTURE+PANTY</t>
  </si>
  <si>
    <t>BRASSIERE+ TOP</t>
  </si>
  <si>
    <t>CEINTURE+COLTAGE</t>
  </si>
  <si>
    <t>PANTY MIXA +BRASSIERE</t>
  </si>
  <si>
    <t>CEINTURE</t>
  </si>
  <si>
    <t>DEBARDEUR</t>
  </si>
  <si>
    <t>CARACO+SHORTY</t>
  </si>
  <si>
    <t>SHOTY</t>
  </si>
  <si>
    <t>NOIR</t>
  </si>
  <si>
    <t>CORR BLANC</t>
  </si>
  <si>
    <t>CORAIL</t>
  </si>
  <si>
    <t>PREPARATION</t>
  </si>
  <si>
    <t>PEAU</t>
  </si>
  <si>
    <t>KAKI</t>
  </si>
  <si>
    <t>BLEU JEAN</t>
  </si>
  <si>
    <t>ROSE FUSHIA</t>
  </si>
  <si>
    <t>ROSE</t>
  </si>
  <si>
    <t>ORCHIDE</t>
  </si>
  <si>
    <t>ERIOFAST M</t>
  </si>
  <si>
    <t>_</t>
  </si>
  <si>
    <t>JAUNE ETL</t>
  </si>
  <si>
    <t>ROUGE ETL</t>
  </si>
  <si>
    <t>BLEU ETL</t>
  </si>
  <si>
    <t>JAUNE MT</t>
  </si>
  <si>
    <t>ROUGE MT</t>
  </si>
  <si>
    <t>MARINE MT</t>
  </si>
  <si>
    <t>FLAVINA FLUO</t>
  </si>
  <si>
    <t>RODAMINA INFACID</t>
  </si>
  <si>
    <t>NOIR DR</t>
  </si>
  <si>
    <t>NOIR COSMOS-SMAX</t>
  </si>
  <si>
    <t>MARINE S3-G</t>
  </si>
  <si>
    <t>ROUGE FB</t>
  </si>
  <si>
    <t>BORDEAU NGT</t>
  </si>
  <si>
    <t>G1+G2</t>
  </si>
  <si>
    <t>T6/1</t>
  </si>
  <si>
    <t>G4</t>
  </si>
  <si>
    <t>T6/2</t>
  </si>
  <si>
    <t>G3</t>
  </si>
  <si>
    <t>SHORTY</t>
  </si>
  <si>
    <t>BIAVIN BPA PREP</t>
  </si>
  <si>
    <t>CROSCOUR RDT PREP</t>
  </si>
  <si>
    <t>FELOSAN RGN PREP</t>
  </si>
  <si>
    <t>CARBONATE DE SOUDE  PREP</t>
  </si>
  <si>
    <t>ACIDE ACETIQUE PREP</t>
  </si>
  <si>
    <t>ALBAFLOW JET  PREP</t>
  </si>
  <si>
    <t>DETERSOIL CD 830</t>
  </si>
  <si>
    <t>CROSCOLOR PRP PREP</t>
  </si>
  <si>
    <t>eau de javel</t>
  </si>
  <si>
    <t>SOUDE CAUSTIQUE PREP</t>
  </si>
  <si>
    <t>eau oxygénée</t>
  </si>
  <si>
    <t>BLEU BEMACID F2-G</t>
  </si>
  <si>
    <t>BLEU BEMACID ETL</t>
  </si>
  <si>
    <t>BLEU BEMACID NTF</t>
  </si>
  <si>
    <t>BLEU BEMACIDE FBL</t>
  </si>
  <si>
    <t>BLEU BEZACTIVE S-FR 150</t>
  </si>
  <si>
    <t>BLEU BEZACTIVE SGLD</t>
  </si>
  <si>
    <t>BLEU TUBANTIN BRR</t>
  </si>
  <si>
    <t>BORDEAU BEMAPLEX NGT</t>
  </si>
  <si>
    <t>BRUN TUBANTIN BLL</t>
  </si>
  <si>
    <t>BRUN TUBANTIN GGL</t>
  </si>
  <si>
    <t>ECARLATE BEMACIDE  F3_G</t>
  </si>
  <si>
    <t>FLAVINA FLUO INFANYL 10-G</t>
  </si>
  <si>
    <t>GRIS TUBANTIN CGLL</t>
  </si>
  <si>
    <t>JAUNE BEMACIDE ETL</t>
  </si>
  <si>
    <t>JAUNE BEMACIDE E4-G</t>
  </si>
  <si>
    <t>JAUNE BEMACIDE FG</t>
  </si>
  <si>
    <t>JAUNE BEMAPLEX MT</t>
  </si>
  <si>
    <t>ROUGE BEZACTIV  S-3B</t>
  </si>
  <si>
    <t>JAUNE BEZACTIV SLF</t>
  </si>
  <si>
    <t>JAUNE BEZACTIVE S8G</t>
  </si>
  <si>
    <t>JAUNE TUBANTIN 4 GL</t>
  </si>
  <si>
    <t>JAUNE TUBANTIN GR</t>
  </si>
  <si>
    <t>MAIRNE BEZACTIVE S MAX</t>
  </si>
  <si>
    <t>MARINE BEMAPLEX MT</t>
  </si>
  <si>
    <t>MARINE BEZACTIVE S3G</t>
  </si>
  <si>
    <t>NOIR BEMAPLEX DR</t>
  </si>
  <si>
    <t>NOIR COSMOS S MAX</t>
  </si>
  <si>
    <t>NOIR ERIOFAST M</t>
  </si>
  <si>
    <t>NOIR ERIONAL AMR</t>
  </si>
  <si>
    <t>RODAMINA INFACIDE B CONC</t>
  </si>
  <si>
    <t>ROUGE BEMACIDE ETL</t>
  </si>
  <si>
    <t xml:space="preserve">ROUGE BEMACIDE FB </t>
  </si>
  <si>
    <t>ROUGE BEMACIDE FGS</t>
  </si>
  <si>
    <t>ROUGE BEMAPLEX MT</t>
  </si>
  <si>
    <t>ROUGE BEZACTIVE S 2B</t>
  </si>
  <si>
    <t>ROUGE TUBANTIN 6 BLL</t>
  </si>
  <si>
    <t>SETAPHOR</t>
  </si>
  <si>
    <t>TURQUOISE BEMACIDE FG</t>
  </si>
  <si>
    <t>TURQUOISE TUBANTIN FBL</t>
  </si>
  <si>
    <t>BIAVIN BPA TEINT</t>
  </si>
  <si>
    <t>SARABID IPD TEINT</t>
  </si>
  <si>
    <t>SARABID IPF TEINT</t>
  </si>
  <si>
    <t>MEROPAN EF  TEINT</t>
  </si>
  <si>
    <t>ALBAFLOW JET TEINT</t>
  </si>
  <si>
    <t>ACIDE ACETIQUE TEINT</t>
  </si>
  <si>
    <t>CHLORURE DE CALCIUM</t>
  </si>
  <si>
    <t>CARBONATE DE SODIUM TEINT</t>
  </si>
  <si>
    <t>ACIDE FORMIQUE TEINT</t>
  </si>
  <si>
    <t>CHT CATALYSE BF</t>
  </si>
  <si>
    <t>SARABID SBFN</t>
  </si>
  <si>
    <t xml:space="preserve">eau oxygée </t>
  </si>
  <si>
    <t>HEPTOL ESW</t>
  </si>
  <si>
    <t>VISCAVIN SDF</t>
  </si>
  <si>
    <t>SARABID LDR</t>
  </si>
  <si>
    <t>CROSCOURT RDT TEINT</t>
  </si>
  <si>
    <t>ALBATEX AB45 TEINT</t>
  </si>
  <si>
    <t>SOUDE CAUSTIQUE TEINT</t>
  </si>
  <si>
    <t>SEL</t>
  </si>
  <si>
    <t>CROSCOLOR PRP TEINT</t>
  </si>
  <si>
    <t>ACIDE FORMIQUE FIX</t>
  </si>
  <si>
    <t>REWIN KBL</t>
  </si>
  <si>
    <t>SOUDE CAUSTIQUE FIX</t>
  </si>
  <si>
    <t>ERIOFAST FIX</t>
  </si>
  <si>
    <t>CROSCOURT RDT FIX</t>
  </si>
  <si>
    <t>COREZYMB NAP</t>
  </si>
  <si>
    <t>COTOBLANC SEL</t>
  </si>
  <si>
    <t>CARBONATE DE SOUDE FIX</t>
  </si>
  <si>
    <t>ACIDE ACETIQUE FIX</t>
  </si>
  <si>
    <t>CROSOFT LISS</t>
  </si>
  <si>
    <t>CROSOFT GPAT</t>
  </si>
  <si>
    <t>preparation</t>
  </si>
  <si>
    <t>teinture</t>
  </si>
  <si>
    <t>fixation</t>
  </si>
  <si>
    <t>NOIR NR-7,5% 09-03-2016</t>
  </si>
  <si>
    <t>Poids</t>
  </si>
  <si>
    <t>cout total</t>
  </si>
  <si>
    <t>Volume</t>
  </si>
  <si>
    <t>rapport du bain (1:8)</t>
  </si>
  <si>
    <t>prix prod prep (DT)</t>
  </si>
  <si>
    <t>pourcentage prod prep</t>
  </si>
  <si>
    <t>quantité produits preparation  (g ou ml)</t>
  </si>
  <si>
    <t>Coût produits chimiques (DT)</t>
  </si>
  <si>
    <t>poids matière (kg)</t>
  </si>
  <si>
    <t>volume de bain (L)</t>
  </si>
  <si>
    <t>volume du bain prep(L)</t>
  </si>
  <si>
    <t>durée (h)</t>
  </si>
  <si>
    <t>consommation eau adoucie prep (L)</t>
  </si>
  <si>
    <t>consommation sel (kg()</t>
  </si>
  <si>
    <t>Coût eau adoucie (DT)</t>
  </si>
  <si>
    <t>consommation energie vapeur (KJ)</t>
  </si>
  <si>
    <t>consommation energie  (KJ)</t>
  </si>
  <si>
    <t>consommation energie  (kwh)</t>
  </si>
  <si>
    <t>durée chauffage (h)</t>
  </si>
  <si>
    <t>consommation vapeur (kg)</t>
  </si>
  <si>
    <t>cout 1kg vapeur/h (DT)</t>
  </si>
  <si>
    <t>cout consommation vapeur (DT)</t>
  </si>
  <si>
    <t>prix prod teint</t>
  </si>
  <si>
    <t>pourcentage prod teint</t>
  </si>
  <si>
    <t>quanatité produits teinture (g ou ml)</t>
  </si>
  <si>
    <t>volume du bain (L)</t>
  </si>
  <si>
    <t>consommation eau adoucie (L)</t>
  </si>
  <si>
    <t>pourcentage prod fix</t>
  </si>
  <si>
    <t>prod prep</t>
  </si>
  <si>
    <t>prod fix</t>
  </si>
  <si>
    <t>cout prep</t>
  </si>
  <si>
    <t>cout teinture</t>
  </si>
  <si>
    <t>cout fix</t>
  </si>
  <si>
    <t>volume</t>
  </si>
  <si>
    <t>R.D.B</t>
  </si>
  <si>
    <t>code couleur</t>
  </si>
  <si>
    <t>couleur</t>
  </si>
  <si>
    <t>client</t>
  </si>
  <si>
    <t>Articles</t>
  </si>
  <si>
    <t>Date</t>
  </si>
  <si>
    <t>machine</t>
  </si>
  <si>
    <t>cout préparation</t>
  </si>
  <si>
    <t>cout fixation</t>
  </si>
  <si>
    <t>NR-7,5% LYTESS</t>
  </si>
  <si>
    <t>B19-13</t>
  </si>
  <si>
    <t>CHAIR</t>
  </si>
  <si>
    <t>BLEU BEMACIDE ETL</t>
  </si>
  <si>
    <t>TRINITA'S</t>
  </si>
  <si>
    <t>SHORTY+BRASSIERE</t>
  </si>
  <si>
    <t>CHAIR B19-13</t>
  </si>
  <si>
    <t>rapport du bain (1:11)</t>
  </si>
  <si>
    <t>BLEU12</t>
  </si>
  <si>
    <t>C10-08</t>
  </si>
  <si>
    <t>BLEU 12</t>
  </si>
  <si>
    <t>BLEU BEMACIDE NTF</t>
  </si>
  <si>
    <t>NOIR RIOFAST M</t>
  </si>
  <si>
    <t>CARCO</t>
  </si>
  <si>
    <t>BLUE12 C10-08 11-03-2016</t>
  </si>
  <si>
    <t>rapport du bain (1:12)</t>
  </si>
  <si>
    <t>cout preparation</t>
  </si>
  <si>
    <t xml:space="preserve">cout teinture </t>
  </si>
  <si>
    <t>rapport du bain (1:08)</t>
  </si>
  <si>
    <t>BLANC -0,13 12-03-16</t>
  </si>
  <si>
    <t>CROSOFT LISS TEINT</t>
  </si>
  <si>
    <t>TS61</t>
  </si>
  <si>
    <t>BLANC-0,13</t>
  </si>
  <si>
    <t>volume total</t>
  </si>
  <si>
    <t>volume totale</t>
  </si>
  <si>
    <t>peau U93-2 15-03-16</t>
  </si>
  <si>
    <t>U93-2</t>
  </si>
  <si>
    <t>nbl</t>
  </si>
  <si>
    <t>BODY</t>
  </si>
  <si>
    <t>cout eau +traitement</t>
  </si>
  <si>
    <t>Chair U404-10 13-05-15</t>
  </si>
  <si>
    <t>rapport du bain (1:6)</t>
  </si>
  <si>
    <t>REWIN ACP FIX</t>
  </si>
  <si>
    <t>REWIN ACP TEINT</t>
  </si>
  <si>
    <t>U404-10</t>
  </si>
  <si>
    <t>peau doré C28-02  13-05-1</t>
  </si>
  <si>
    <t>rapport du bain (1:20)</t>
  </si>
  <si>
    <t>C28-02 DAMART</t>
  </si>
  <si>
    <t>Peau doré</t>
  </si>
  <si>
    <t>MARINE ETL</t>
  </si>
  <si>
    <t>DAMART</t>
  </si>
  <si>
    <t>Ceinture</t>
  </si>
  <si>
    <t xml:space="preserve">liste/type recette recette </t>
  </si>
  <si>
    <t>recette PAM clair +addoucissage</t>
  </si>
  <si>
    <t xml:space="preserve">recette PAM clair </t>
  </si>
  <si>
    <t>recette  NOIR PAM lytess OZ</t>
  </si>
  <si>
    <t>recette blanc PAM + addoucissage</t>
  </si>
  <si>
    <t>recette PAM foncé +silicone</t>
  </si>
  <si>
    <t>recette PAM foncé</t>
  </si>
  <si>
    <t>recette NOIR métallifere +silicone</t>
  </si>
  <si>
    <t>recette blanc  PAM+demontage</t>
  </si>
  <si>
    <t>recette nettoyage machine</t>
  </si>
  <si>
    <t>recette PAM clair fluo</t>
  </si>
  <si>
    <t>recette PAM  foncé + silicone</t>
  </si>
  <si>
    <t>recette demontage</t>
  </si>
  <si>
    <t>recette micro encapsulation</t>
  </si>
  <si>
    <t>recette PAM NOIR métallifere +vap+addoucissage</t>
  </si>
  <si>
    <t>recette coton directe demi blanc</t>
  </si>
  <si>
    <t>nom</t>
  </si>
  <si>
    <t>tel</t>
  </si>
  <si>
    <t>zied</t>
  </si>
  <si>
    <t>azza</t>
  </si>
  <si>
    <t>qde</t>
  </si>
  <si>
    <t>efee</t>
  </si>
  <si>
    <t>RECHERCHER</t>
  </si>
  <si>
    <t>Charges  directes</t>
  </si>
  <si>
    <t>Charges indirectes</t>
  </si>
  <si>
    <t>Charges variables</t>
  </si>
  <si>
    <t>Charges directes variables :</t>
  </si>
  <si>
    <t>- matière primaires utilisées pour fabriquer ce produit.</t>
  </si>
  <si>
    <t>-main d’œuvre utilisée pour la fabrication de ce produit</t>
  </si>
  <si>
    <t>Charges indirectes variables :</t>
  </si>
  <si>
    <t>-Énergie pour faire fonctionner une machine utilisée pour fabriquer plusieurs produits</t>
  </si>
  <si>
    <t>-Main d'œuvre participant à la fabrication de plusieurs produits</t>
  </si>
  <si>
    <t>Charges fixes</t>
  </si>
  <si>
    <t>Charges directes fixes :</t>
  </si>
  <si>
    <r>
      <t>-</t>
    </r>
    <r>
      <rPr>
        <sz val="11"/>
        <color theme="1"/>
        <rFont val="Calibri"/>
        <family val="2"/>
        <scheme val="minor"/>
      </rPr>
      <t>Amortissement d’une machine utilisée pour un seul produit.</t>
    </r>
  </si>
  <si>
    <t>-Certains frais de personnel</t>
  </si>
  <si>
    <t>Charges indirectes fixes :</t>
  </si>
  <si>
    <t>Loyer</t>
  </si>
  <si>
    <t>Frais administratifs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</si>
</sst>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0000%"/>
    <numFmt numFmtId="165" formatCode="0.0000%"/>
    <numFmt numFmtId="166" formatCode="#,##0.000_ ;\-#,##0.000\ 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z val="14"/>
      <color rgb="FFC00000"/>
      <name val="Calibri"/>
      <family val="2"/>
      <scheme val="minor"/>
    </font>
    <font>
      <sz val="14"/>
      <color rgb="FFFFFF00"/>
      <name val="Times New Roman"/>
      <family val="1"/>
    </font>
    <font>
      <sz val="14"/>
      <color rgb="FFFF0000"/>
      <name val="Times New Roman"/>
      <family val="1"/>
    </font>
    <font>
      <sz val="11"/>
      <color theme="5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rgb="FF00B050"/>
        <bgColor theme="6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theme="6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8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Fill="1" applyBorder="1"/>
    <xf numFmtId="14" fontId="0" fillId="0" borderId="1" xfId="0" applyNumberFormat="1" applyFont="1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14" fontId="0" fillId="0" borderId="0" xfId="0" applyNumberFormat="1"/>
    <xf numFmtId="0" fontId="0" fillId="0" borderId="2" xfId="0" applyFont="1" applyFill="1" applyBorder="1"/>
    <xf numFmtId="0" fontId="0" fillId="2" borderId="3" xfId="0" applyFont="1" applyFill="1" applyBorder="1"/>
    <xf numFmtId="0" fontId="0" fillId="3" borderId="3" xfId="0" applyFont="1" applyFill="1" applyBorder="1"/>
    <xf numFmtId="0" fontId="0" fillId="4" borderId="3" xfId="0" applyFont="1" applyFill="1" applyBorder="1"/>
    <xf numFmtId="0" fontId="0" fillId="5" borderId="3" xfId="0" applyFont="1" applyFill="1" applyBorder="1"/>
    <xf numFmtId="0" fontId="2" fillId="4" borderId="3" xfId="0" applyFont="1" applyFill="1" applyBorder="1"/>
    <xf numFmtId="0" fontId="2" fillId="5" borderId="3" xfId="0" applyFont="1" applyFill="1" applyBorder="1"/>
    <xf numFmtId="0" fontId="0" fillId="4" borderId="4" xfId="0" applyFont="1" applyFill="1" applyBorder="1"/>
    <xf numFmtId="0" fontId="0" fillId="6" borderId="0" xfId="0" applyFill="1"/>
    <xf numFmtId="0" fontId="0" fillId="7" borderId="0" xfId="0" applyFill="1"/>
    <xf numFmtId="2" fontId="0" fillId="8" borderId="3" xfId="0" applyNumberFormat="1" applyFont="1" applyFill="1" applyBorder="1"/>
    <xf numFmtId="2" fontId="0" fillId="0" borderId="3" xfId="0" applyNumberFormat="1" applyFont="1" applyBorder="1"/>
    <xf numFmtId="2" fontId="4" fillId="8" borderId="3" xfId="0" applyNumberFormat="1" applyFont="1" applyFill="1" applyBorder="1"/>
    <xf numFmtId="2" fontId="0" fillId="8" borderId="4" xfId="0" applyNumberFormat="1" applyFont="1" applyFill="1" applyBorder="1"/>
    <xf numFmtId="9" fontId="0" fillId="0" borderId="0" xfId="0" applyNumberFormat="1"/>
    <xf numFmtId="10" fontId="0" fillId="0" borderId="0" xfId="0" applyNumberFormat="1"/>
    <xf numFmtId="0" fontId="0" fillId="9" borderId="0" xfId="0" applyFill="1"/>
    <xf numFmtId="20" fontId="0" fillId="0" borderId="1" xfId="0" applyNumberFormat="1" applyBorder="1"/>
    <xf numFmtId="0" fontId="0" fillId="7" borderId="1" xfId="0" applyFill="1" applyBorder="1"/>
    <xf numFmtId="0" fontId="0" fillId="10" borderId="1" xfId="0" applyFont="1" applyFill="1" applyBorder="1"/>
    <xf numFmtId="0" fontId="0" fillId="6" borderId="1" xfId="0" applyFill="1" applyBorder="1"/>
    <xf numFmtId="0" fontId="3" fillId="6" borderId="0" xfId="0" applyFont="1" applyFill="1"/>
    <xf numFmtId="0" fontId="0" fillId="0" borderId="0" xfId="0" applyFill="1"/>
    <xf numFmtId="0" fontId="3" fillId="0" borderId="0" xfId="0" applyFont="1" applyFill="1"/>
    <xf numFmtId="0" fontId="0" fillId="11" borderId="1" xfId="0" applyFill="1" applyBorder="1"/>
    <xf numFmtId="2" fontId="0" fillId="7" borderId="0" xfId="0" applyNumberFormat="1" applyFill="1"/>
    <xf numFmtId="0" fontId="0" fillId="11" borderId="0" xfId="0" applyFill="1"/>
    <xf numFmtId="0" fontId="1" fillId="12" borderId="1" xfId="0" applyFont="1" applyFill="1" applyBorder="1"/>
    <xf numFmtId="0" fontId="0" fillId="13" borderId="1" xfId="0" applyFill="1" applyBorder="1"/>
    <xf numFmtId="0" fontId="5" fillId="6" borderId="0" xfId="0" applyFont="1" applyFill="1"/>
    <xf numFmtId="0" fontId="8" fillId="6" borderId="0" xfId="0" applyFont="1" applyFill="1"/>
    <xf numFmtId="0" fontId="9" fillId="6" borderId="0" xfId="0" applyFont="1" applyFill="1"/>
    <xf numFmtId="14" fontId="10" fillId="6" borderId="0" xfId="0" applyNumberFormat="1" applyFont="1" applyFill="1" applyAlignment="1">
      <alignment horizontal="left"/>
    </xf>
    <xf numFmtId="0" fontId="10" fillId="6" borderId="0" xfId="0" applyFont="1" applyFill="1"/>
    <xf numFmtId="0" fontId="0" fillId="14" borderId="0" xfId="0" applyFill="1"/>
    <xf numFmtId="14" fontId="0" fillId="6" borderId="0" xfId="0" applyNumberFormat="1" applyFill="1"/>
    <xf numFmtId="14" fontId="0" fillId="14" borderId="0" xfId="0" applyNumberFormat="1" applyFill="1"/>
    <xf numFmtId="164" fontId="0" fillId="0" borderId="0" xfId="0" applyNumberFormat="1"/>
    <xf numFmtId="165" fontId="0" fillId="0" borderId="0" xfId="0" applyNumberFormat="1"/>
    <xf numFmtId="0" fontId="0" fillId="7" borderId="0" xfId="0" applyFont="1" applyFill="1"/>
    <xf numFmtId="0" fontId="3" fillId="13" borderId="0" xfId="0" applyFont="1" applyFill="1"/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0" xfId="0" applyNumberFormat="1" applyFont="1" applyFill="1" applyBorder="1"/>
    <xf numFmtId="2" fontId="0" fillId="0" borderId="0" xfId="0" applyNumberFormat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7" borderId="0" xfId="0" applyFill="1" applyBorder="1"/>
    <xf numFmtId="0" fontId="0" fillId="9" borderId="0" xfId="0" applyFont="1" applyFill="1"/>
    <xf numFmtId="0" fontId="2" fillId="6" borderId="0" xfId="0" applyFont="1" applyFill="1" applyAlignment="1">
      <alignment horizontal="left"/>
    </xf>
    <xf numFmtId="0" fontId="6" fillId="6" borderId="0" xfId="0" applyFont="1" applyFill="1" applyAlignment="1">
      <alignment horizontal="left"/>
    </xf>
    <xf numFmtId="0" fontId="7" fillId="6" borderId="0" xfId="0" applyFont="1" applyFill="1" applyAlignment="1">
      <alignment horizontal="left" vertical="center"/>
    </xf>
    <xf numFmtId="0" fontId="11" fillId="6" borderId="0" xfId="0" applyFont="1" applyFill="1" applyAlignment="1">
      <alignment horizontal="left"/>
    </xf>
    <xf numFmtId="0" fontId="8" fillId="6" borderId="0" xfId="0" applyFont="1" applyFill="1" applyAlignment="1">
      <alignment horizontal="left"/>
    </xf>
    <xf numFmtId="0" fontId="5" fillId="6" borderId="0" xfId="0" applyFont="1" applyFill="1" applyAlignment="1">
      <alignment horizontal="left"/>
    </xf>
    <xf numFmtId="166" fontId="0" fillId="0" borderId="0" xfId="1" applyNumberFormat="1" applyFont="1"/>
    <xf numFmtId="0" fontId="0" fillId="18" borderId="0" xfId="0" applyFill="1"/>
    <xf numFmtId="0" fontId="11" fillId="6" borderId="0" xfId="0" applyFont="1" applyFill="1"/>
    <xf numFmtId="0" fontId="13" fillId="14" borderId="0" xfId="0" applyFont="1" applyFill="1"/>
    <xf numFmtId="22" fontId="0" fillId="0" borderId="0" xfId="0" applyNumberFormat="1"/>
    <xf numFmtId="0" fontId="0" fillId="19" borderId="0" xfId="0" applyFill="1"/>
    <xf numFmtId="0" fontId="0" fillId="20" borderId="0" xfId="0" applyFill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9" xfId="0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7" xfId="0" applyBorder="1" applyAlignment="1">
      <alignment vertical="center" wrapText="1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colors>
    <mruColors>
      <color rgb="FFCC99FF"/>
      <color rgb="FFCC00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20</xdr:row>
          <xdr:rowOff>38100</xdr:rowOff>
        </xdr:from>
        <xdr:to>
          <xdr:col>1</xdr:col>
          <xdr:colOff>742950</xdr:colOff>
          <xdr:row>22</xdr:row>
          <xdr:rowOff>171450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</xdr:row>
          <xdr:rowOff>9525</xdr:rowOff>
        </xdr:from>
        <xdr:to>
          <xdr:col>7</xdr:col>
          <xdr:colOff>76200</xdr:colOff>
          <xdr:row>2</xdr:row>
          <xdr:rowOff>66675</xdr:rowOff>
        </xdr:to>
        <xdr:sp macro="" textlink="">
          <xdr:nvSpPr>
            <xdr:cNvPr id="14337" name="TextBox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2</xdr:row>
          <xdr:rowOff>171450</xdr:rowOff>
        </xdr:from>
        <xdr:to>
          <xdr:col>7</xdr:col>
          <xdr:colOff>161925</xdr:colOff>
          <xdr:row>6</xdr:row>
          <xdr:rowOff>28575</xdr:rowOff>
        </xdr:to>
        <xdr:sp macro="" textlink="">
          <xdr:nvSpPr>
            <xdr:cNvPr id="14338" name="ListBox1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le de base"/>
      <sheetName val="recette Noir metallifere+sili"/>
      <sheetName val="PAM Foncé rose (acide)12-15-2"/>
      <sheetName val="PAMclair(rose pal;acide)32-15-2"/>
      <sheetName val="PAM clair+add(magne)"/>
      <sheetName val="PAM lytess OZ (Noir;réactif)"/>
      <sheetName val="PAM noir metallifere +vap"/>
      <sheetName val="PAM clair chair;metallifer175-5"/>
      <sheetName val="Demontage colorants"/>
      <sheetName val="nettoyage machine"/>
      <sheetName val="TEINT COTON DIRECT DEMI BLANC"/>
      <sheetName val="recette préparation "/>
      <sheetName val="NOIR  lytess oz "/>
      <sheetName val="Feuil3"/>
      <sheetName val="Feuil4"/>
      <sheetName val="Feuil5"/>
      <sheetName val="Feuil6"/>
      <sheetName val="Feuil2"/>
      <sheetName val="Fenetre  principale"/>
      <sheetName val="Feuil10"/>
      <sheetName val="Feuil11"/>
    </sheetNames>
    <sheetDataSet>
      <sheetData sheetId="0"/>
      <sheetData sheetId="1">
        <row r="1">
          <cell r="P1" t="str">
            <v>NOIR metallifère+silicone NM1</v>
          </cell>
          <cell r="Q1" t="str">
            <v>PAM clair+add:magne 30-16-5</v>
          </cell>
          <cell r="R1" t="str">
            <v>PAM foncé(rose pal;acide) 32-15-2</v>
          </cell>
          <cell r="S1" t="str">
            <v>PAM claire(rose pal :acide 32-15-2</v>
          </cell>
          <cell r="T1" t="str">
            <v>PAM lytess OZ (Noir;réactif)</v>
          </cell>
          <cell r="U1" t="str">
            <v>PAM noir metallifere +vap</v>
          </cell>
          <cell r="V1" t="str">
            <v>Démontage colorants</v>
          </cell>
          <cell r="W1" t="str">
            <v>Nettoage machine</v>
          </cell>
          <cell r="X1" t="str">
            <v>PAM fonce chair;metallifere;175-5</v>
          </cell>
          <cell r="Y1" t="str">
            <v>TEINTURE DIRECT AVEC DEMI BLANC</v>
          </cell>
          <cell r="Z1" t="str">
            <v>recette preparation</v>
          </cell>
          <cell r="AA1" t="str">
            <v>NOIR LYTESS OZ  7,5% 3146</v>
          </cell>
        </row>
        <row r="2">
          <cell r="B2" t="str">
            <v>BIAVIN BPA PREP</v>
          </cell>
          <cell r="C2">
            <v>1.45</v>
          </cell>
          <cell r="F2">
            <v>2</v>
          </cell>
          <cell r="I2">
            <v>2</v>
          </cell>
          <cell r="P2">
            <v>2</v>
          </cell>
          <cell r="Q2">
            <v>2</v>
          </cell>
          <cell r="R2">
            <v>2</v>
          </cell>
          <cell r="S2">
            <v>2</v>
          </cell>
          <cell r="T2">
            <v>2</v>
          </cell>
          <cell r="U2">
            <v>2</v>
          </cell>
          <cell r="X2">
            <v>2</v>
          </cell>
          <cell r="Y2">
            <v>4</v>
          </cell>
          <cell r="Z2">
            <v>2</v>
          </cell>
          <cell r="AA2">
            <v>2</v>
          </cell>
        </row>
        <row r="3">
          <cell r="B3" t="str">
            <v>CROSCOUR RDT PREP</v>
          </cell>
          <cell r="C3">
            <v>7.3529999999999998</v>
          </cell>
          <cell r="F3">
            <v>0.02</v>
          </cell>
          <cell r="G3"/>
          <cell r="H3"/>
          <cell r="I3">
            <v>2.5000000000000001E-2</v>
          </cell>
          <cell r="J3"/>
          <cell r="K3"/>
          <cell r="L3"/>
          <cell r="P3">
            <v>0</v>
          </cell>
          <cell r="Q3">
            <v>0.02</v>
          </cell>
          <cell r="R3"/>
          <cell r="S3">
            <v>0.02</v>
          </cell>
        </row>
        <row r="4">
          <cell r="B4" t="str">
            <v>FELOSAN RGN PREP</v>
          </cell>
          <cell r="C4">
            <v>7.9089999999999998</v>
          </cell>
          <cell r="F4">
            <v>0</v>
          </cell>
          <cell r="G4"/>
          <cell r="H4"/>
          <cell r="I4">
            <v>0.01</v>
          </cell>
          <cell r="J4"/>
          <cell r="K4"/>
          <cell r="L4"/>
          <cell r="P4">
            <v>0</v>
          </cell>
          <cell r="Q4">
            <v>0</v>
          </cell>
          <cell r="R4">
            <v>0.02</v>
          </cell>
          <cell r="T4">
            <v>0.02</v>
          </cell>
          <cell r="U4">
            <v>0.02</v>
          </cell>
          <cell r="X4">
            <v>0.02</v>
          </cell>
          <cell r="Y4">
            <v>0.02</v>
          </cell>
          <cell r="AA4">
            <v>0.02</v>
          </cell>
        </row>
        <row r="5">
          <cell r="B5" t="str">
            <v>CARBONATE DE SOUDE  PREP</v>
          </cell>
          <cell r="C5">
            <v>0.77</v>
          </cell>
          <cell r="F5">
            <v>2</v>
          </cell>
          <cell r="I5">
            <v>0.01</v>
          </cell>
          <cell r="J5"/>
          <cell r="K5"/>
          <cell r="L5"/>
          <cell r="P5">
            <v>0</v>
          </cell>
          <cell r="Q5">
            <v>3</v>
          </cell>
          <cell r="R5">
            <v>3</v>
          </cell>
          <cell r="S5">
            <v>1</v>
          </cell>
          <cell r="T5">
            <v>3</v>
          </cell>
          <cell r="U5">
            <v>2</v>
          </cell>
          <cell r="X5">
            <v>3</v>
          </cell>
          <cell r="Z5">
            <v>2</v>
          </cell>
          <cell r="AA5">
            <v>2</v>
          </cell>
        </row>
        <row r="6">
          <cell r="B6" t="str">
            <v>ACIDE ACETIQUE PREP</v>
          </cell>
          <cell r="C6">
            <v>1.45</v>
          </cell>
          <cell r="F6">
            <v>2</v>
          </cell>
          <cell r="I6">
            <v>0.3</v>
          </cell>
          <cell r="P6">
            <v>0</v>
          </cell>
          <cell r="Q6">
            <v>2</v>
          </cell>
          <cell r="R6">
            <v>1</v>
          </cell>
          <cell r="S6">
            <v>1</v>
          </cell>
          <cell r="T6">
            <v>2</v>
          </cell>
          <cell r="U6">
            <v>2</v>
          </cell>
          <cell r="W6">
            <v>2</v>
          </cell>
          <cell r="X6">
            <v>1</v>
          </cell>
          <cell r="Y6">
            <v>2</v>
          </cell>
          <cell r="Z6">
            <v>1</v>
          </cell>
          <cell r="AA6">
            <v>1</v>
          </cell>
        </row>
        <row r="7">
          <cell r="B7" t="str">
            <v>ALBAFLOW JET  PREP</v>
          </cell>
          <cell r="C7">
            <v>8.02</v>
          </cell>
          <cell r="F7">
            <v>0</v>
          </cell>
          <cell r="P7">
            <v>2</v>
          </cell>
          <cell r="Q7">
            <v>0</v>
          </cell>
          <cell r="Y7">
            <v>1</v>
          </cell>
        </row>
        <row r="8">
          <cell r="B8" t="str">
            <v>DETERSOIL CD 830</v>
          </cell>
          <cell r="C8">
            <v>4.2</v>
          </cell>
          <cell r="Z8">
            <v>0.02</v>
          </cell>
        </row>
        <row r="9">
          <cell r="B9" t="str">
            <v>CROSCOLOR PRP PREP</v>
          </cell>
          <cell r="C9">
            <v>6.4610000000000003</v>
          </cell>
          <cell r="F9">
            <v>0</v>
          </cell>
          <cell r="I9">
            <v>0.02</v>
          </cell>
          <cell r="J9"/>
          <cell r="K9"/>
          <cell r="L9"/>
          <cell r="Q9">
            <v>0</v>
          </cell>
        </row>
        <row r="10">
          <cell r="B10" t="str">
            <v>eau de javel</v>
          </cell>
          <cell r="C10">
            <v>0.73550000000000004</v>
          </cell>
          <cell r="I10"/>
          <cell r="J10"/>
          <cell r="K10"/>
          <cell r="L10"/>
          <cell r="W10">
            <v>16</v>
          </cell>
        </row>
        <row r="11">
          <cell r="B11" t="str">
            <v>SOUDE CAUSTIQUE PREP</v>
          </cell>
          <cell r="C11">
            <v>0.77</v>
          </cell>
          <cell r="I11"/>
          <cell r="J11"/>
          <cell r="K11"/>
          <cell r="L11"/>
          <cell r="Y11">
            <v>4</v>
          </cell>
        </row>
        <row r="12">
          <cell r="B12" t="str">
            <v>eau oxygénée</v>
          </cell>
          <cell r="C12">
            <v>0.91300000000000003</v>
          </cell>
          <cell r="I12"/>
          <cell r="J12"/>
          <cell r="K12"/>
          <cell r="L12"/>
          <cell r="W12">
            <v>2</v>
          </cell>
        </row>
        <row r="13">
          <cell r="B13" t="str">
            <v>BLEU BEMACID F2-G</v>
          </cell>
          <cell r="C13">
            <v>194.78</v>
          </cell>
          <cell r="D13"/>
          <cell r="E13"/>
          <cell r="I13"/>
          <cell r="J13"/>
          <cell r="K13"/>
          <cell r="L13"/>
        </row>
        <row r="14">
          <cell r="B14" t="str">
            <v>BLEU BEMACID ETL</v>
          </cell>
          <cell r="C14">
            <v>76.37</v>
          </cell>
          <cell r="D14"/>
          <cell r="E14"/>
          <cell r="F14">
            <v>2.8E-3</v>
          </cell>
          <cell r="G14"/>
          <cell r="H14"/>
          <cell r="I14"/>
          <cell r="J14"/>
          <cell r="K14"/>
          <cell r="L14"/>
          <cell r="R14"/>
          <cell r="S14">
            <v>1.3200000000000001E-4</v>
          </cell>
        </row>
        <row r="15">
          <cell r="B15" t="str">
            <v>BLEU BEMACID NTF</v>
          </cell>
          <cell r="C15">
            <v>50.86524</v>
          </cell>
          <cell r="D15"/>
          <cell r="E15"/>
        </row>
        <row r="16">
          <cell r="B16" t="str">
            <v>BLEU BEMACIDE FBL</v>
          </cell>
          <cell r="C16">
            <v>56.493000000000002</v>
          </cell>
          <cell r="D16"/>
          <cell r="E16"/>
        </row>
        <row r="17">
          <cell r="B17" t="str">
            <v>BLEU BEZACTIVE S-FR 150</v>
          </cell>
          <cell r="C17">
            <v>56.83</v>
          </cell>
          <cell r="D17"/>
          <cell r="E17"/>
        </row>
        <row r="18">
          <cell r="B18" t="str">
            <v>BLEU BEZACTIVE SGLD</v>
          </cell>
          <cell r="C18">
            <v>33.15</v>
          </cell>
          <cell r="D18"/>
          <cell r="E18"/>
        </row>
        <row r="19">
          <cell r="B19" t="str">
            <v>BLEU TUBANTIN BRR</v>
          </cell>
          <cell r="C19">
            <v>42.26</v>
          </cell>
          <cell r="D19"/>
          <cell r="E19"/>
        </row>
        <row r="20">
          <cell r="B20" t="str">
            <v>BORDEAU BEMAPLEX NGT</v>
          </cell>
          <cell r="C20">
            <v>51.12</v>
          </cell>
          <cell r="D20"/>
          <cell r="E20"/>
        </row>
        <row r="21">
          <cell r="B21" t="str">
            <v>BRUN TUBANTIN BLL</v>
          </cell>
          <cell r="C21">
            <v>0</v>
          </cell>
          <cell r="D21"/>
          <cell r="E21"/>
        </row>
        <row r="22">
          <cell r="B22" t="str">
            <v>BRUN TUBANTIN GGL</v>
          </cell>
          <cell r="C22">
            <v>39.799999999999997</v>
          </cell>
          <cell r="D22"/>
          <cell r="E22"/>
        </row>
        <row r="23">
          <cell r="B23" t="str">
            <v>ECARLATE BEMACIDE  F3_G</v>
          </cell>
          <cell r="C23">
            <v>37.43</v>
          </cell>
          <cell r="D23"/>
          <cell r="E23"/>
        </row>
        <row r="24">
          <cell r="B24" t="str">
            <v>FLAVINA FLUO INFANYL 10-G</v>
          </cell>
          <cell r="C24">
            <v>43.412580000000005</v>
          </cell>
          <cell r="D24"/>
          <cell r="E24"/>
        </row>
        <row r="25">
          <cell r="B25" t="str">
            <v>GRIS TUBANTIN CGLL</v>
          </cell>
          <cell r="C25">
            <v>60.57</v>
          </cell>
          <cell r="D25"/>
          <cell r="E25"/>
        </row>
        <row r="26">
          <cell r="B26" t="str">
            <v>JAUNE BEMACIDE ETL</v>
          </cell>
          <cell r="C26">
            <v>63.36</v>
          </cell>
          <cell r="D26"/>
          <cell r="E26"/>
          <cell r="R26"/>
          <cell r="S26">
            <v>0.01</v>
          </cell>
        </row>
        <row r="27">
          <cell r="B27" t="str">
            <v>JAUNE BEMACIDE E4-G</v>
          </cell>
          <cell r="C27">
            <v>31.45</v>
          </cell>
          <cell r="D27"/>
          <cell r="E27"/>
        </row>
        <row r="28">
          <cell r="B28" t="str">
            <v>JAUNE BEMACIDE FG</v>
          </cell>
          <cell r="C28">
            <v>66.45</v>
          </cell>
          <cell r="D28"/>
          <cell r="E28"/>
          <cell r="R28">
            <v>1.4999999999999999E-4</v>
          </cell>
        </row>
        <row r="29">
          <cell r="B29" t="str">
            <v>JAUNE BEMAPLEX MT</v>
          </cell>
          <cell r="C29">
            <v>40.816960000000002</v>
          </cell>
          <cell r="D29"/>
          <cell r="E29"/>
          <cell r="Q29">
            <v>3.7799999999999999E-3</v>
          </cell>
          <cell r="S29"/>
          <cell r="X29">
            <v>5.5599999999999996E-4</v>
          </cell>
        </row>
        <row r="30">
          <cell r="B30" t="str">
            <v>ROUGE BEZACTIV  S-3B</v>
          </cell>
          <cell r="C30">
            <v>12.81</v>
          </cell>
          <cell r="D30"/>
          <cell r="E30"/>
        </row>
        <row r="31">
          <cell r="B31" t="str">
            <v>JAUNE BEZACTIV SLF</v>
          </cell>
          <cell r="C31">
            <v>17.68</v>
          </cell>
          <cell r="D31"/>
          <cell r="E31"/>
        </row>
        <row r="32">
          <cell r="B32" t="str">
            <v>JAUNE BEZACTIVE S8G</v>
          </cell>
          <cell r="C32">
            <v>23.4</v>
          </cell>
          <cell r="D32"/>
          <cell r="E32"/>
        </row>
        <row r="33">
          <cell r="B33" t="str">
            <v>JAUNE TUBANTIN 4 GL</v>
          </cell>
          <cell r="C33">
            <v>44.8</v>
          </cell>
          <cell r="D33"/>
          <cell r="E33"/>
        </row>
        <row r="34">
          <cell r="B34" t="str">
            <v>JAUNE TUBANTIN GR</v>
          </cell>
          <cell r="C34">
            <v>21.65</v>
          </cell>
          <cell r="D34"/>
          <cell r="E34"/>
        </row>
        <row r="35">
          <cell r="B35" t="str">
            <v>MAIRNE BEZACTIVE S MAX</v>
          </cell>
          <cell r="C35">
            <v>13.87</v>
          </cell>
          <cell r="D35"/>
          <cell r="E35"/>
        </row>
        <row r="36">
          <cell r="B36" t="str">
            <v>MARINE BEMAPLEX MT</v>
          </cell>
          <cell r="C36">
            <v>37.229880000000009</v>
          </cell>
          <cell r="D36"/>
          <cell r="E36"/>
          <cell r="Q36">
            <v>7.0000000000000001E-3</v>
          </cell>
          <cell r="S36"/>
          <cell r="X36">
            <v>1.3100000000000001E-4</v>
          </cell>
          <cell r="Y36">
            <v>8.9999999999999993E-3</v>
          </cell>
        </row>
        <row r="37">
          <cell r="B37" t="str">
            <v>MARINE BEZACTIVE S3G</v>
          </cell>
          <cell r="C37">
            <v>36.799999999999997</v>
          </cell>
          <cell r="D37"/>
          <cell r="E37"/>
          <cell r="F37"/>
          <cell r="G37"/>
          <cell r="H37"/>
        </row>
        <row r="38">
          <cell r="B38" t="str">
            <v>NOIR BEMAPLEX DR</v>
          </cell>
          <cell r="C38">
            <v>12.922400000000001</v>
          </cell>
          <cell r="D38"/>
          <cell r="E38"/>
          <cell r="I38"/>
          <cell r="J38"/>
          <cell r="K38"/>
          <cell r="L38"/>
          <cell r="P38">
            <v>6.6000000000000003E-2</v>
          </cell>
          <cell r="U38">
            <v>6.6000000000000003E-2</v>
          </cell>
        </row>
        <row r="39">
          <cell r="B39" t="str">
            <v>NOIR COSMOS S MAX</v>
          </cell>
          <cell r="C39">
            <v>13.5</v>
          </cell>
          <cell r="D39"/>
          <cell r="E39"/>
          <cell r="Y39">
            <v>1.5E-3</v>
          </cell>
        </row>
        <row r="40">
          <cell r="B40" t="str">
            <v>NOIR ERIOFAST M</v>
          </cell>
          <cell r="C40">
            <v>36.650600000000004</v>
          </cell>
          <cell r="D40"/>
          <cell r="E40"/>
          <cell r="I40"/>
          <cell r="J40"/>
          <cell r="K40"/>
          <cell r="L40"/>
          <cell r="T40">
            <v>7.4999999999999997E-2</v>
          </cell>
          <cell r="AA40">
            <v>7.4999999999999997E-2</v>
          </cell>
        </row>
        <row r="41">
          <cell r="B41" t="str">
            <v>NOIR ERIONAL AMR</v>
          </cell>
          <cell r="C41">
            <v>13.145200000000003</v>
          </cell>
          <cell r="D41"/>
          <cell r="E41"/>
        </row>
        <row r="42">
          <cell r="B42" t="str">
            <v>RODAMINA INFACIDE B CONC</v>
          </cell>
          <cell r="C42">
            <v>88.006000000000014</v>
          </cell>
          <cell r="D42"/>
          <cell r="E42"/>
        </row>
        <row r="43">
          <cell r="B43" t="str">
            <v>ROUGE BEMACIDE ETL</v>
          </cell>
          <cell r="C43">
            <v>64.849999999999994</v>
          </cell>
          <cell r="D43"/>
          <cell r="E43"/>
          <cell r="F43">
            <v>8.9999999999999998E-4</v>
          </cell>
          <cell r="G43"/>
          <cell r="H43"/>
          <cell r="R43"/>
          <cell r="S43">
            <v>1.2E-4</v>
          </cell>
        </row>
        <row r="44">
          <cell r="B44" t="str">
            <v xml:space="preserve">ROUGE BEMACIDE FB </v>
          </cell>
          <cell r="C44">
            <v>37.096200000000003</v>
          </cell>
          <cell r="D44"/>
          <cell r="E44"/>
          <cell r="R44">
            <v>4.0000000000000002E-4</v>
          </cell>
        </row>
        <row r="45">
          <cell r="B45" t="str">
            <v>ROUGE BEMACIDE FGS</v>
          </cell>
          <cell r="C45">
            <v>80.631320000000002</v>
          </cell>
          <cell r="D45"/>
          <cell r="E45"/>
        </row>
        <row r="46">
          <cell r="B46" t="str">
            <v>ROUGE BEMAPLEX MT</v>
          </cell>
          <cell r="C46">
            <v>48.3476</v>
          </cell>
          <cell r="D46"/>
          <cell r="E46"/>
          <cell r="Q46">
            <v>1.4E-3</v>
          </cell>
          <cell r="S46"/>
          <cell r="X46">
            <v>1.158E-4</v>
          </cell>
        </row>
        <row r="47">
          <cell r="B47" t="str">
            <v>ROUGE BEZACTIVE S 2B</v>
          </cell>
          <cell r="C47">
            <v>29.98</v>
          </cell>
          <cell r="D47"/>
          <cell r="E47"/>
        </row>
        <row r="48">
          <cell r="B48" t="str">
            <v>ROUGE TUBANTIN 6 BLL</v>
          </cell>
          <cell r="C48">
            <v>40.200000000000003</v>
          </cell>
          <cell r="D48"/>
          <cell r="E48"/>
        </row>
        <row r="49">
          <cell r="B49" t="str">
            <v>SETAPHOR</v>
          </cell>
          <cell r="C49">
            <v>10.026000000000002</v>
          </cell>
          <cell r="D49"/>
          <cell r="E49"/>
          <cell r="I49"/>
          <cell r="J49"/>
          <cell r="K49"/>
          <cell r="L49"/>
        </row>
        <row r="50">
          <cell r="B50" t="str">
            <v>TURQUOISE BEMACIDE FG</v>
          </cell>
          <cell r="C50">
            <v>19.66</v>
          </cell>
          <cell r="D50"/>
          <cell r="E50"/>
        </row>
        <row r="51">
          <cell r="B51" t="str">
            <v>TURQUOISE TUBANTIN FBL</v>
          </cell>
          <cell r="C51">
            <v>35.22</v>
          </cell>
          <cell r="D51"/>
          <cell r="E51"/>
        </row>
        <row r="52">
          <cell r="B52" t="str">
            <v>BIAVIN BPA TEINT</v>
          </cell>
          <cell r="C52">
            <v>1.45</v>
          </cell>
          <cell r="N52">
            <v>2</v>
          </cell>
          <cell r="P52">
            <v>1</v>
          </cell>
          <cell r="Q52">
            <v>2</v>
          </cell>
          <cell r="R52">
            <v>2</v>
          </cell>
          <cell r="S52">
            <v>2</v>
          </cell>
          <cell r="T52">
            <v>1</v>
          </cell>
          <cell r="U52">
            <v>1</v>
          </cell>
          <cell r="V52">
            <v>3</v>
          </cell>
          <cell r="X52">
            <v>2</v>
          </cell>
          <cell r="Y52">
            <v>3</v>
          </cell>
          <cell r="AA52">
            <v>1</v>
          </cell>
        </row>
        <row r="53">
          <cell r="B53" t="str">
            <v>SARABID IPD TEINT</v>
          </cell>
          <cell r="C53">
            <v>7.798</v>
          </cell>
          <cell r="N53">
            <v>0.01</v>
          </cell>
          <cell r="Q53">
            <v>0.01</v>
          </cell>
          <cell r="R53">
            <v>1.4999999999999999E-2</v>
          </cell>
          <cell r="S53">
            <v>0.01</v>
          </cell>
          <cell r="X53">
            <v>0.01</v>
          </cell>
        </row>
        <row r="54">
          <cell r="B54" t="str">
            <v>SARABID IPF TEINT</v>
          </cell>
          <cell r="C54">
            <v>8.3550000000000004</v>
          </cell>
          <cell r="N54">
            <v>0.01</v>
          </cell>
          <cell r="P54">
            <v>0.01</v>
          </cell>
          <cell r="Q54">
            <v>0.01</v>
          </cell>
          <cell r="R54">
            <v>1.4999999999999999E-2</v>
          </cell>
          <cell r="S54">
            <v>0.01</v>
          </cell>
          <cell r="U54">
            <v>0.01</v>
          </cell>
          <cell r="X54">
            <v>0.01</v>
          </cell>
        </row>
        <row r="55">
          <cell r="B55" t="str">
            <v>MEROPAN EF  TEINT</v>
          </cell>
          <cell r="C55">
            <v>13.613799999999999</v>
          </cell>
          <cell r="N55">
            <v>2</v>
          </cell>
          <cell r="P55">
            <v>2</v>
          </cell>
          <cell r="R55">
            <v>1</v>
          </cell>
          <cell r="S55">
            <v>0.5</v>
          </cell>
          <cell r="U55">
            <v>2</v>
          </cell>
        </row>
        <row r="56">
          <cell r="B56" t="str">
            <v>ALBAFLOW JET TEINT</v>
          </cell>
          <cell r="C56">
            <v>8.02</v>
          </cell>
          <cell r="N56">
            <v>0.5</v>
          </cell>
          <cell r="P56">
            <v>0.5</v>
          </cell>
          <cell r="Q56">
            <v>0.5</v>
          </cell>
          <cell r="R56">
            <v>0.5</v>
          </cell>
          <cell r="S56">
            <v>0.5</v>
          </cell>
          <cell r="T56">
            <v>0.5</v>
          </cell>
          <cell r="U56">
            <v>0.7</v>
          </cell>
          <cell r="X56">
            <v>0.5</v>
          </cell>
          <cell r="Y56">
            <v>0.5</v>
          </cell>
          <cell r="AA56">
            <v>0.5</v>
          </cell>
        </row>
        <row r="57">
          <cell r="B57" t="str">
            <v>ACIDE ACETIQUE TEINT</v>
          </cell>
          <cell r="C57">
            <v>1.45</v>
          </cell>
          <cell r="N57">
            <v>0</v>
          </cell>
          <cell r="P57">
            <v>2</v>
          </cell>
          <cell r="Q57">
            <v>1</v>
          </cell>
          <cell r="R57">
            <v>2</v>
          </cell>
          <cell r="T57">
            <v>2</v>
          </cell>
          <cell r="U57">
            <v>2</v>
          </cell>
          <cell r="V57">
            <v>2</v>
          </cell>
          <cell r="Y57">
            <v>2</v>
          </cell>
          <cell r="AA57">
            <v>2</v>
          </cell>
        </row>
        <row r="58">
          <cell r="B58" t="str">
            <v>CHLORURE DE CALCIUM</v>
          </cell>
          <cell r="C58">
            <v>3.2519999999999998</v>
          </cell>
          <cell r="N58">
            <v>0</v>
          </cell>
          <cell r="T58">
            <v>2.5000000000000001E-2</v>
          </cell>
          <cell r="AA58">
            <v>2.5000000000000001E-2</v>
          </cell>
        </row>
        <row r="59">
          <cell r="B59" t="str">
            <v>CARBONATE DE SODIUM TEINT</v>
          </cell>
          <cell r="C59">
            <v>0.77</v>
          </cell>
          <cell r="N59"/>
          <cell r="T59"/>
          <cell r="V59">
            <v>3</v>
          </cell>
          <cell r="Y59">
            <v>5</v>
          </cell>
        </row>
        <row r="60">
          <cell r="B60" t="str">
            <v>ACIDE FORMIQUE TEINT</v>
          </cell>
          <cell r="C60">
            <v>1.4</v>
          </cell>
          <cell r="N60">
            <v>0</v>
          </cell>
        </row>
        <row r="61">
          <cell r="B61" t="str">
            <v>SARABID LDR</v>
          </cell>
          <cell r="C61">
            <v>5.89</v>
          </cell>
          <cell r="N61"/>
          <cell r="Y61">
            <v>1.4999999999999999E-2</v>
          </cell>
        </row>
        <row r="62">
          <cell r="B62" t="str">
            <v>CROSCOURT RDT TEINT</v>
          </cell>
          <cell r="C62">
            <v>7.35</v>
          </cell>
          <cell r="N62">
            <v>0</v>
          </cell>
          <cell r="V62">
            <v>0.02</v>
          </cell>
        </row>
        <row r="63">
          <cell r="B63" t="str">
            <v>ALBATEX AB45 TEINT</v>
          </cell>
          <cell r="C63">
            <v>4.2332000000000001</v>
          </cell>
          <cell r="N63">
            <v>0</v>
          </cell>
          <cell r="X63">
            <v>2</v>
          </cell>
        </row>
        <row r="64">
          <cell r="B64" t="str">
            <v>SOUDE CAUSTIQUE TEINT</v>
          </cell>
          <cell r="C64">
            <v>0.77</v>
          </cell>
          <cell r="Y64">
            <v>3</v>
          </cell>
        </row>
        <row r="65">
          <cell r="B65" t="str">
            <v>SEL</v>
          </cell>
          <cell r="C65">
            <v>0.11</v>
          </cell>
          <cell r="Y65">
            <v>100</v>
          </cell>
        </row>
        <row r="66">
          <cell r="B66" t="str">
            <v>CROSCOLOR PRP TEINT</v>
          </cell>
          <cell r="C66">
            <v>6.6412000000000004</v>
          </cell>
          <cell r="N66">
            <v>0</v>
          </cell>
          <cell r="V66">
            <v>10</v>
          </cell>
        </row>
        <row r="67">
          <cell r="B67" t="str">
            <v>ACIDE FORMIQUE FIX</v>
          </cell>
          <cell r="C67">
            <v>1.4</v>
          </cell>
          <cell r="O67">
            <v>0</v>
          </cell>
          <cell r="P67">
            <v>2</v>
          </cell>
          <cell r="Q67">
            <v>2</v>
          </cell>
          <cell r="R67">
            <v>2</v>
          </cell>
          <cell r="U67">
            <v>2</v>
          </cell>
          <cell r="X67">
            <v>2</v>
          </cell>
        </row>
        <row r="68">
          <cell r="B68" t="str">
            <v>REWIN KBL</v>
          </cell>
          <cell r="C68">
            <v>7.1070000000000002</v>
          </cell>
          <cell r="O68">
            <v>0</v>
          </cell>
          <cell r="P68">
            <v>0.04</v>
          </cell>
          <cell r="Q68">
            <v>0.04</v>
          </cell>
          <cell r="R68">
            <v>0.04</v>
          </cell>
          <cell r="U68">
            <v>0.04</v>
          </cell>
          <cell r="X68">
            <v>0.04</v>
          </cell>
        </row>
        <row r="69">
          <cell r="B69" t="str">
            <v>SOUDE CAUSTIQUE FIX</v>
          </cell>
          <cell r="C69">
            <v>0.77</v>
          </cell>
          <cell r="O69">
            <v>0</v>
          </cell>
          <cell r="T69">
            <v>1</v>
          </cell>
          <cell r="AA69">
            <v>1</v>
          </cell>
        </row>
        <row r="70">
          <cell r="B70" t="str">
            <v>ERIOFAST FIX</v>
          </cell>
          <cell r="C70">
            <v>10.130000000000001</v>
          </cell>
          <cell r="O70">
            <v>0</v>
          </cell>
          <cell r="T70">
            <v>3.7499999999999999E-2</v>
          </cell>
          <cell r="AA70">
            <v>3.7499999999999999E-2</v>
          </cell>
        </row>
        <row r="71">
          <cell r="B71" t="str">
            <v>CROSCOURT RDT FIX</v>
          </cell>
          <cell r="C71">
            <v>7.35</v>
          </cell>
          <cell r="O71">
            <v>0</v>
          </cell>
          <cell r="T71">
            <v>1</v>
          </cell>
          <cell r="AA71">
            <v>1</v>
          </cell>
        </row>
        <row r="72">
          <cell r="B72" t="str">
            <v>COREZYMB NAP</v>
          </cell>
          <cell r="C72">
            <v>5.79</v>
          </cell>
          <cell r="O72"/>
          <cell r="Y72">
            <v>0.04</v>
          </cell>
        </row>
        <row r="73">
          <cell r="B73" t="str">
            <v>COTOBLANC SEL</v>
          </cell>
          <cell r="C73">
            <v>3.98</v>
          </cell>
          <cell r="O73"/>
          <cell r="Y73">
            <v>2</v>
          </cell>
        </row>
        <row r="74">
          <cell r="B74" t="str">
            <v>CARBONATE DE SOUDE FIX</v>
          </cell>
          <cell r="C74">
            <v>0.77</v>
          </cell>
          <cell r="O74">
            <v>0</v>
          </cell>
          <cell r="T74">
            <v>2</v>
          </cell>
          <cell r="AA74">
            <v>2</v>
          </cell>
        </row>
        <row r="75">
          <cell r="B75" t="str">
            <v>REWIN ACP</v>
          </cell>
          <cell r="C75">
            <v>4.2</v>
          </cell>
          <cell r="O75"/>
          <cell r="Y75">
            <v>0.04</v>
          </cell>
        </row>
        <row r="76">
          <cell r="B76" t="str">
            <v>ACIDE ACETIQUE FIX</v>
          </cell>
          <cell r="C76">
            <v>1.45</v>
          </cell>
          <cell r="O76">
            <v>0.1</v>
          </cell>
          <cell r="P76">
            <v>0.2</v>
          </cell>
          <cell r="Q76">
            <v>0.2</v>
          </cell>
          <cell r="T76">
            <v>1</v>
          </cell>
          <cell r="Y76">
            <v>0.8</v>
          </cell>
          <cell r="AA76">
            <v>1</v>
          </cell>
        </row>
        <row r="77">
          <cell r="B77" t="str">
            <v>CROSOFT LISS</v>
          </cell>
          <cell r="C77">
            <v>4.9000000000000004</v>
          </cell>
          <cell r="O77">
            <v>0</v>
          </cell>
          <cell r="P77">
            <v>0.06</v>
          </cell>
          <cell r="Q77">
            <v>0.06</v>
          </cell>
        </row>
        <row r="78">
          <cell r="B78" t="str">
            <v>CROSOFT GPAT</v>
          </cell>
          <cell r="C78">
            <v>1.335</v>
          </cell>
          <cell r="O78">
            <v>6</v>
          </cell>
          <cell r="S78">
            <v>6</v>
          </cell>
        </row>
        <row r="79">
          <cell r="I79"/>
          <cell r="J79"/>
          <cell r="K79"/>
          <cell r="L79"/>
        </row>
        <row r="80">
          <cell r="B80" t="str">
            <v>volume bain</v>
          </cell>
          <cell r="C80" t="str">
            <v>volume bain pour preparation</v>
          </cell>
          <cell r="D80" t="str">
            <v>volume de bain pour preparation 1</v>
          </cell>
          <cell r="E80" t="str">
            <v>volume de bain pour preparation 2</v>
          </cell>
          <cell r="F80" t="str">
            <v>volume de bain pour teinture</v>
          </cell>
          <cell r="G80" t="str">
            <v>volume de bain pour teinture1</v>
          </cell>
          <cell r="H80" t="str">
            <v>volume de bain pour teinture2</v>
          </cell>
          <cell r="I80" t="str">
            <v>volume de bain fixation</v>
          </cell>
          <cell r="J80" t="str">
            <v>volume de bain fixation1</v>
          </cell>
          <cell r="K80" t="str">
            <v>volume de bain fixation2</v>
          </cell>
          <cell r="L80" t="str">
            <v>volume de bain fixation3</v>
          </cell>
          <cell r="M80" t="str">
            <v>volum bain total</v>
          </cell>
        </row>
        <row r="81">
          <cell r="B81">
            <v>527</v>
          </cell>
          <cell r="M81">
            <v>4040</v>
          </cell>
        </row>
        <row r="82">
          <cell r="B82">
            <v>75</v>
          </cell>
          <cell r="M82">
            <v>825</v>
          </cell>
        </row>
        <row r="83">
          <cell r="B83">
            <v>878</v>
          </cell>
          <cell r="M83">
            <v>4040</v>
          </cell>
        </row>
        <row r="84">
          <cell r="B84">
            <v>45</v>
          </cell>
          <cell r="C84">
            <v>45</v>
          </cell>
          <cell r="F84">
            <v>180</v>
          </cell>
          <cell r="I84">
            <v>135</v>
          </cell>
          <cell r="M84">
            <v>360</v>
          </cell>
        </row>
        <row r="85">
          <cell r="B85">
            <v>10.8</v>
          </cell>
          <cell r="C85">
            <v>32.4</v>
          </cell>
          <cell r="F85">
            <v>32.4</v>
          </cell>
          <cell r="I85">
            <v>10.8</v>
          </cell>
          <cell r="M85">
            <v>75.599999999999994</v>
          </cell>
        </row>
        <row r="86">
          <cell r="B86">
            <v>714</v>
          </cell>
          <cell r="C86">
            <v>2142</v>
          </cell>
          <cell r="F86">
            <v>2142</v>
          </cell>
          <cell r="I86">
            <v>2142</v>
          </cell>
          <cell r="M86">
            <v>6426</v>
          </cell>
        </row>
        <row r="87">
          <cell r="B87">
            <v>1713.6</v>
          </cell>
          <cell r="C87">
            <v>5140.8</v>
          </cell>
          <cell r="F87">
            <v>5140.8</v>
          </cell>
          <cell r="I87">
            <v>0</v>
          </cell>
          <cell r="M87">
            <v>10281.6</v>
          </cell>
        </row>
        <row r="88">
          <cell r="B88">
            <v>76</v>
          </cell>
          <cell r="M88">
            <v>797</v>
          </cell>
        </row>
        <row r="89">
          <cell r="B89">
            <v>345</v>
          </cell>
          <cell r="M89">
            <v>3132</v>
          </cell>
        </row>
        <row r="90">
          <cell r="B90">
            <v>420</v>
          </cell>
          <cell r="M90">
            <v>1680</v>
          </cell>
        </row>
        <row r="91">
          <cell r="B91">
            <v>500</v>
          </cell>
          <cell r="M91">
            <v>2500</v>
          </cell>
        </row>
        <row r="92">
          <cell r="B92">
            <v>90.9</v>
          </cell>
          <cell r="M92">
            <v>818.2</v>
          </cell>
        </row>
        <row r="93">
          <cell r="B93">
            <v>10</v>
          </cell>
          <cell r="C93">
            <v>30</v>
          </cell>
          <cell r="F93">
            <v>30</v>
          </cell>
          <cell r="I93">
            <v>60</v>
          </cell>
          <cell r="M93">
            <v>120</v>
          </cell>
        </row>
        <row r="94">
          <cell r="B94">
            <v>10</v>
          </cell>
          <cell r="C94">
            <v>30</v>
          </cell>
          <cell r="F94">
            <v>0</v>
          </cell>
          <cell r="I94">
            <v>0</v>
          </cell>
          <cell r="M94">
            <v>30</v>
          </cell>
        </row>
        <row r="95">
          <cell r="C95">
            <v>1050</v>
          </cell>
          <cell r="D95">
            <v>270</v>
          </cell>
          <cell r="E95">
            <v>390</v>
          </cell>
          <cell r="F95">
            <v>1230</v>
          </cell>
          <cell r="G95">
            <v>270</v>
          </cell>
          <cell r="H95">
            <v>480</v>
          </cell>
          <cell r="I95">
            <v>1920</v>
          </cell>
          <cell r="J95">
            <v>270</v>
          </cell>
          <cell r="K95">
            <v>480</v>
          </cell>
          <cell r="L95">
            <v>390</v>
          </cell>
          <cell r="M95">
            <v>5610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1.45</v>
          </cell>
        </row>
        <row r="2">
          <cell r="C2">
            <v>7.26</v>
          </cell>
        </row>
        <row r="3">
          <cell r="C3">
            <v>7.84</v>
          </cell>
        </row>
        <row r="4">
          <cell r="C4">
            <v>0.77</v>
          </cell>
        </row>
        <row r="5">
          <cell r="C5">
            <v>1.45</v>
          </cell>
        </row>
        <row r="6">
          <cell r="C6">
            <v>6.38</v>
          </cell>
        </row>
        <row r="47">
          <cell r="B47" t="str">
            <v>BIAVIN BPA</v>
          </cell>
        </row>
        <row r="48">
          <cell r="B48" t="str">
            <v>SARABID IPD</v>
          </cell>
        </row>
        <row r="49">
          <cell r="B49" t="str">
            <v>SARABID IPF</v>
          </cell>
        </row>
        <row r="50">
          <cell r="B50" t="str">
            <v>MEROPAN EF</v>
          </cell>
        </row>
        <row r="51">
          <cell r="B51" t="str">
            <v>ALBAFLOW JET</v>
          </cell>
        </row>
        <row r="52">
          <cell r="B52" t="str">
            <v>ACIDE ACETIQUE</v>
          </cell>
        </row>
        <row r="53">
          <cell r="B53" t="str">
            <v>CHLORURE DE CALCIUM</v>
          </cell>
        </row>
        <row r="54">
          <cell r="B54" t="str">
            <v>ACIDE FORMIQUE</v>
          </cell>
        </row>
        <row r="55">
          <cell r="B55" t="str">
            <v>CROSCOURT RDT</v>
          </cell>
        </row>
        <row r="56">
          <cell r="B56" t="str">
            <v>ALBATEX AB45</v>
          </cell>
        </row>
        <row r="57">
          <cell r="B57" t="str">
            <v>CROSCOLOR PRP</v>
          </cell>
        </row>
        <row r="58">
          <cell r="H58">
            <v>2</v>
          </cell>
        </row>
        <row r="59">
          <cell r="H59">
            <v>0.04</v>
          </cell>
        </row>
        <row r="60">
          <cell r="H60">
            <v>1</v>
          </cell>
        </row>
        <row r="61">
          <cell r="H61">
            <v>3.7499999999999999E-2</v>
          </cell>
        </row>
        <row r="62">
          <cell r="H62">
            <v>1</v>
          </cell>
        </row>
        <row r="63">
          <cell r="H63">
            <v>0.02</v>
          </cell>
        </row>
        <row r="64">
          <cell r="H64">
            <v>1</v>
          </cell>
        </row>
        <row r="65">
          <cell r="H65">
            <v>0.06</v>
          </cell>
        </row>
        <row r="66">
          <cell r="H66">
            <v>10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N49"/>
  <sheetViews>
    <sheetView workbookViewId="0">
      <selection activeCell="E1" sqref="E1"/>
    </sheetView>
  </sheetViews>
  <sheetFormatPr baseColWidth="10" defaultColWidth="11.42578125" defaultRowHeight="15" x14ac:dyDescent="0.25"/>
  <cols>
    <col min="1" max="2" width="20.7109375" customWidth="1"/>
    <col min="3" max="3" width="16" customWidth="1"/>
    <col min="4" max="4" width="24.140625" customWidth="1"/>
    <col min="5" max="5" width="15.7109375" bestFit="1" customWidth="1"/>
    <col min="7" max="7" width="23.85546875" customWidth="1"/>
    <col min="10" max="10" width="13.7109375" customWidth="1"/>
    <col min="11" max="11" width="15.5703125" customWidth="1"/>
    <col min="12" max="12" width="13.5703125" customWidth="1"/>
    <col min="13" max="13" width="11.85546875" customWidth="1"/>
  </cols>
  <sheetData>
    <row r="1" spans="2:14" x14ac:dyDescent="0.25">
      <c r="B1" t="s">
        <v>19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221</v>
      </c>
      <c r="K1" t="s">
        <v>184</v>
      </c>
      <c r="L1" t="s">
        <v>185</v>
      </c>
      <c r="M1" t="s">
        <v>186</v>
      </c>
      <c r="N1" t="s">
        <v>155</v>
      </c>
    </row>
    <row r="2" spans="2:14" x14ac:dyDescent="0.25">
      <c r="B2" s="1" t="s">
        <v>0</v>
      </c>
      <c r="C2" s="1" t="s">
        <v>38</v>
      </c>
      <c r="D2" s="3" t="s">
        <v>48</v>
      </c>
      <c r="E2" s="2" t="s">
        <v>20</v>
      </c>
      <c r="F2" s="1">
        <v>86</v>
      </c>
      <c r="G2" s="1" t="s">
        <v>25</v>
      </c>
      <c r="H2" s="4">
        <v>42430</v>
      </c>
      <c r="I2" s="3" t="s">
        <v>63</v>
      </c>
    </row>
    <row r="3" spans="2:14" x14ac:dyDescent="0.25">
      <c r="B3" s="1" t="s">
        <v>1</v>
      </c>
      <c r="C3" s="1" t="s">
        <v>39</v>
      </c>
      <c r="D3" s="3" t="s">
        <v>49</v>
      </c>
      <c r="E3" s="2" t="s">
        <v>21</v>
      </c>
      <c r="F3" s="1">
        <v>9.3000000000000007</v>
      </c>
      <c r="G3" s="1" t="s">
        <v>26</v>
      </c>
      <c r="H3" s="4">
        <v>42430</v>
      </c>
      <c r="I3" s="3" t="s">
        <v>64</v>
      </c>
    </row>
    <row r="4" spans="2:14" x14ac:dyDescent="0.25">
      <c r="B4" s="1" t="s">
        <v>2</v>
      </c>
      <c r="C4" s="1" t="s">
        <v>40</v>
      </c>
      <c r="D4" s="3" t="s">
        <v>50</v>
      </c>
      <c r="E4" s="2" t="s">
        <v>21</v>
      </c>
      <c r="F4" s="1">
        <v>30.3</v>
      </c>
      <c r="G4" s="1" t="s">
        <v>26</v>
      </c>
      <c r="H4" s="4">
        <v>42430</v>
      </c>
      <c r="I4" s="3" t="s">
        <v>65</v>
      </c>
    </row>
    <row r="5" spans="2:14" x14ac:dyDescent="0.25">
      <c r="B5" s="1" t="s">
        <v>2</v>
      </c>
      <c r="C5" s="1" t="s">
        <v>40</v>
      </c>
      <c r="D5" s="3" t="s">
        <v>51</v>
      </c>
      <c r="E5" s="2" t="s">
        <v>21</v>
      </c>
      <c r="F5" s="1">
        <v>30.3</v>
      </c>
      <c r="G5" s="1" t="s">
        <v>26</v>
      </c>
      <c r="H5" s="4">
        <v>42430</v>
      </c>
      <c r="I5" s="3" t="s">
        <v>65</v>
      </c>
    </row>
    <row r="6" spans="2:14" x14ac:dyDescent="0.25">
      <c r="B6" s="1" t="s">
        <v>3</v>
      </c>
      <c r="C6" s="1" t="s">
        <v>38</v>
      </c>
      <c r="D6" s="3"/>
      <c r="E6" s="2" t="s">
        <v>22</v>
      </c>
      <c r="F6" s="1">
        <v>0.6</v>
      </c>
      <c r="G6" s="1" t="s">
        <v>27</v>
      </c>
      <c r="H6" s="4">
        <v>42430</v>
      </c>
      <c r="I6" s="3" t="s">
        <v>66</v>
      </c>
    </row>
    <row r="7" spans="2:14" x14ac:dyDescent="0.25">
      <c r="B7" s="1" t="s">
        <v>4</v>
      </c>
      <c r="C7" s="1" t="s">
        <v>41</v>
      </c>
      <c r="D7" s="3" t="s">
        <v>49</v>
      </c>
      <c r="E7" s="2" t="s">
        <v>22</v>
      </c>
      <c r="F7" s="1">
        <v>2.95</v>
      </c>
      <c r="G7" s="1" t="s">
        <v>28</v>
      </c>
      <c r="H7" s="4">
        <v>42430</v>
      </c>
      <c r="I7" s="3" t="s">
        <v>64</v>
      </c>
    </row>
    <row r="8" spans="2:14" x14ac:dyDescent="0.25">
      <c r="B8" s="1" t="s">
        <v>0</v>
      </c>
      <c r="C8" s="1" t="s">
        <v>38</v>
      </c>
      <c r="D8" s="3" t="s">
        <v>48</v>
      </c>
      <c r="E8" s="2" t="s">
        <v>20</v>
      </c>
      <c r="F8" s="1">
        <v>55.2</v>
      </c>
      <c r="G8" s="1" t="s">
        <v>29</v>
      </c>
      <c r="H8" s="4">
        <v>42430</v>
      </c>
      <c r="I8" s="3" t="s">
        <v>67</v>
      </c>
    </row>
    <row r="9" spans="2:14" x14ac:dyDescent="0.25">
      <c r="B9" s="1"/>
      <c r="C9" s="1"/>
      <c r="D9" s="3" t="s">
        <v>49</v>
      </c>
      <c r="E9" s="2"/>
      <c r="F9" s="1"/>
      <c r="G9" s="1"/>
      <c r="H9" s="4">
        <v>42430</v>
      </c>
      <c r="I9" s="3"/>
    </row>
    <row r="10" spans="2:14" x14ac:dyDescent="0.25">
      <c r="B10" s="1" t="s">
        <v>5</v>
      </c>
      <c r="C10" s="1" t="s">
        <v>42</v>
      </c>
      <c r="D10" s="3" t="s">
        <v>50</v>
      </c>
      <c r="E10" s="2" t="s">
        <v>20</v>
      </c>
      <c r="F10" s="1">
        <v>81.599999999999994</v>
      </c>
      <c r="G10" s="1" t="s">
        <v>30</v>
      </c>
      <c r="H10" s="4">
        <v>42430</v>
      </c>
      <c r="I10" s="3" t="s">
        <v>67</v>
      </c>
    </row>
    <row r="11" spans="2:14" x14ac:dyDescent="0.25">
      <c r="B11" s="1" t="s">
        <v>5</v>
      </c>
      <c r="C11" s="1" t="s">
        <v>42</v>
      </c>
      <c r="D11" s="3" t="s">
        <v>51</v>
      </c>
      <c r="E11" s="2" t="s">
        <v>20</v>
      </c>
      <c r="F11" s="1">
        <v>81.599999999999994</v>
      </c>
      <c r="G11" s="1" t="s">
        <v>30</v>
      </c>
      <c r="H11" s="4">
        <v>42430</v>
      </c>
      <c r="I11" s="3" t="s">
        <v>67</v>
      </c>
    </row>
    <row r="12" spans="2:14" x14ac:dyDescent="0.25">
      <c r="B12" s="1" t="s">
        <v>5</v>
      </c>
      <c r="C12" s="1" t="s">
        <v>42</v>
      </c>
      <c r="D12" s="3" t="s">
        <v>52</v>
      </c>
      <c r="E12" s="2" t="s">
        <v>20</v>
      </c>
      <c r="F12" s="1">
        <v>81.599999999999994</v>
      </c>
      <c r="G12" s="1" t="s">
        <v>30</v>
      </c>
      <c r="H12" s="4">
        <v>42430</v>
      </c>
      <c r="I12" s="3" t="s">
        <v>67</v>
      </c>
    </row>
    <row r="13" spans="2:14" x14ac:dyDescent="0.25">
      <c r="B13" s="1" t="s">
        <v>6</v>
      </c>
      <c r="C13" s="1" t="s">
        <v>43</v>
      </c>
      <c r="D13" s="3" t="s">
        <v>53</v>
      </c>
      <c r="E13" s="2" t="s">
        <v>21</v>
      </c>
      <c r="F13" s="1">
        <v>31.7</v>
      </c>
      <c r="G13" s="1" t="s">
        <v>26</v>
      </c>
      <c r="H13" s="4">
        <v>42430</v>
      </c>
      <c r="I13" s="3" t="s">
        <v>67</v>
      </c>
    </row>
    <row r="14" spans="2:14" x14ac:dyDescent="0.25">
      <c r="B14" s="1" t="s">
        <v>6</v>
      </c>
      <c r="C14" s="1" t="s">
        <v>43</v>
      </c>
      <c r="D14" s="3" t="s">
        <v>54</v>
      </c>
      <c r="E14" s="2" t="s">
        <v>21</v>
      </c>
      <c r="F14" s="1">
        <v>31.7</v>
      </c>
      <c r="G14" s="1" t="s">
        <v>26</v>
      </c>
      <c r="H14" s="4">
        <v>42430</v>
      </c>
      <c r="I14" s="3" t="s">
        <v>67</v>
      </c>
    </row>
    <row r="15" spans="2:14" x14ac:dyDescent="0.25">
      <c r="B15" s="1" t="s">
        <v>6</v>
      </c>
      <c r="C15" s="1" t="s">
        <v>43</v>
      </c>
      <c r="D15" s="3" t="s">
        <v>55</v>
      </c>
      <c r="E15" s="2" t="s">
        <v>21</v>
      </c>
      <c r="F15" s="1">
        <v>31.7</v>
      </c>
      <c r="G15" s="1" t="s">
        <v>26</v>
      </c>
      <c r="H15" s="4">
        <v>42430</v>
      </c>
      <c r="I15" s="3" t="s">
        <v>67</v>
      </c>
    </row>
    <row r="16" spans="2:14" x14ac:dyDescent="0.25">
      <c r="B16" s="1" t="s">
        <v>234</v>
      </c>
      <c r="C16" s="1" t="s">
        <v>235</v>
      </c>
      <c r="D16" s="3" t="s">
        <v>50</v>
      </c>
      <c r="E16" s="2" t="s">
        <v>237</v>
      </c>
      <c r="F16" s="1">
        <v>25.2</v>
      </c>
      <c r="G16" s="1" t="s">
        <v>238</v>
      </c>
      <c r="H16" s="4">
        <v>42137</v>
      </c>
      <c r="I16" s="3" t="s">
        <v>67</v>
      </c>
      <c r="J16">
        <f>VLOOKUP("volume",'peau doré C28-02  13-05-15'!E:F,2,FALSE)</f>
        <v>4536</v>
      </c>
      <c r="K16" s="17">
        <f>VLOOKUP("cout preparation",'peau doré C28-02  13-05-15'!A:B,2,FALSE)</f>
        <v>26.426312266666667</v>
      </c>
      <c r="L16" s="65">
        <f>VLOOKUP("cout teinture ",'peau doré C28-02  13-05-15'!A:B,2,FALSE)</f>
        <v>34.730624396588894</v>
      </c>
      <c r="M16" s="34">
        <f>VLOOKUP("cout fixation",'peau doré C28-02  13-05-15'!A:B,2,FALSE)</f>
        <v>33.887338488888886</v>
      </c>
      <c r="N16" s="24">
        <f>SUM(K16:M16)</f>
        <v>95.044275152144451</v>
      </c>
    </row>
    <row r="17" spans="2:14" x14ac:dyDescent="0.25">
      <c r="B17" s="1" t="s">
        <v>234</v>
      </c>
      <c r="C17" s="1" t="s">
        <v>235</v>
      </c>
      <c r="D17" s="3" t="s">
        <v>51</v>
      </c>
      <c r="E17" s="2" t="s">
        <v>237</v>
      </c>
      <c r="F17" s="1">
        <v>25.2</v>
      </c>
      <c r="G17" s="1" t="s">
        <v>238</v>
      </c>
      <c r="H17" s="4">
        <v>42137</v>
      </c>
      <c r="I17" s="3" t="s">
        <v>67</v>
      </c>
    </row>
    <row r="18" spans="2:14" x14ac:dyDescent="0.25">
      <c r="B18" s="1" t="s">
        <v>234</v>
      </c>
      <c r="C18" s="1" t="s">
        <v>235</v>
      </c>
      <c r="D18" s="3" t="s">
        <v>236</v>
      </c>
      <c r="E18" s="2" t="s">
        <v>237</v>
      </c>
      <c r="F18" s="1">
        <v>25.2</v>
      </c>
      <c r="G18" s="1" t="s">
        <v>238</v>
      </c>
      <c r="H18" s="4">
        <v>42137</v>
      </c>
      <c r="I18" s="3" t="s">
        <v>67</v>
      </c>
    </row>
    <row r="19" spans="2:14" x14ac:dyDescent="0.25">
      <c r="B19" s="1" t="s">
        <v>231</v>
      </c>
      <c r="C19" s="1" t="s">
        <v>199</v>
      </c>
      <c r="D19" s="3" t="s">
        <v>53</v>
      </c>
      <c r="E19" s="2" t="s">
        <v>20</v>
      </c>
      <c r="F19" s="1">
        <v>68.8</v>
      </c>
      <c r="G19" s="1">
        <v>11859</v>
      </c>
      <c r="H19" s="4">
        <v>42139</v>
      </c>
      <c r="I19" s="3" t="s">
        <v>67</v>
      </c>
      <c r="J19">
        <f>VLOOKUP("volume",'PAM Clair U404-10 13-05-15'!E:F,2,FALSE)</f>
        <v>3717</v>
      </c>
      <c r="K19" s="17">
        <f>VLOOKUP("cout preparation",'PAM Clair U404-10 13-05-15'!A:B,2,FALSE)</f>
        <v>29.725107474074072</v>
      </c>
      <c r="L19" s="16">
        <f>VLOOKUP("cout teinture ",'PAM Clair U404-10 13-05-15'!A:B,2,FALSE)</f>
        <v>37.772531202004004</v>
      </c>
      <c r="M19" s="34">
        <f>VLOOKUP("cout fixation",'PAM Clair U404-10 13-05-15'!A:B,2,FALSE)</f>
        <v>45.878124149999998</v>
      </c>
      <c r="N19" s="57">
        <f>SUM(K19:M19)</f>
        <v>113.37576282607807</v>
      </c>
    </row>
    <row r="20" spans="2:14" x14ac:dyDescent="0.25">
      <c r="B20" s="1" t="s">
        <v>231</v>
      </c>
      <c r="C20" s="1" t="s">
        <v>199</v>
      </c>
      <c r="D20" s="3" t="s">
        <v>54</v>
      </c>
      <c r="E20" s="2" t="s">
        <v>20</v>
      </c>
      <c r="F20" s="1">
        <v>68.8</v>
      </c>
      <c r="G20" s="1">
        <v>11859</v>
      </c>
      <c r="H20" s="4">
        <v>42139</v>
      </c>
      <c r="I20" s="3" t="s">
        <v>67</v>
      </c>
    </row>
    <row r="21" spans="2:14" x14ac:dyDescent="0.25">
      <c r="B21" s="1" t="s">
        <v>231</v>
      </c>
      <c r="C21" s="1" t="s">
        <v>199</v>
      </c>
      <c r="D21" s="3" t="s">
        <v>55</v>
      </c>
      <c r="E21" s="2" t="s">
        <v>20</v>
      </c>
      <c r="F21" s="1">
        <v>68.8</v>
      </c>
      <c r="G21" s="1">
        <v>11859</v>
      </c>
      <c r="H21" s="4">
        <v>42139</v>
      </c>
      <c r="I21" s="3" t="s">
        <v>67</v>
      </c>
    </row>
    <row r="22" spans="2:14" x14ac:dyDescent="0.25">
      <c r="B22" s="1" t="s">
        <v>7</v>
      </c>
      <c r="C22" s="1" t="s">
        <v>40</v>
      </c>
      <c r="D22" s="3" t="s">
        <v>56</v>
      </c>
      <c r="E22" s="2" t="s">
        <v>20</v>
      </c>
      <c r="F22" s="1">
        <v>75.5</v>
      </c>
      <c r="G22" s="1" t="s">
        <v>31</v>
      </c>
      <c r="H22" s="4">
        <v>42430</v>
      </c>
      <c r="I22" s="3" t="s">
        <v>67</v>
      </c>
    </row>
    <row r="23" spans="2:14" x14ac:dyDescent="0.25">
      <c r="B23" s="1" t="s">
        <v>7</v>
      </c>
      <c r="C23" s="1" t="s">
        <v>40</v>
      </c>
      <c r="D23" s="3" t="s">
        <v>57</v>
      </c>
      <c r="E23" s="2" t="s">
        <v>20</v>
      </c>
      <c r="F23" s="1">
        <v>75.5</v>
      </c>
      <c r="G23" s="1" t="s">
        <v>31</v>
      </c>
      <c r="H23" s="4">
        <v>42430</v>
      </c>
      <c r="I23" s="3" t="s">
        <v>67</v>
      </c>
    </row>
    <row r="24" spans="2:14" x14ac:dyDescent="0.25">
      <c r="B24" s="1" t="s">
        <v>0</v>
      </c>
      <c r="C24" s="1" t="s">
        <v>38</v>
      </c>
      <c r="D24" s="3" t="s">
        <v>48</v>
      </c>
      <c r="E24" s="2" t="s">
        <v>20</v>
      </c>
      <c r="F24" s="1">
        <v>48</v>
      </c>
      <c r="G24" s="1" t="s">
        <v>32</v>
      </c>
      <c r="H24" s="4">
        <v>42431</v>
      </c>
      <c r="I24" s="3" t="s">
        <v>63</v>
      </c>
    </row>
    <row r="25" spans="2:14" x14ac:dyDescent="0.25">
      <c r="B25" s="1" t="s">
        <v>3</v>
      </c>
      <c r="C25" s="1" t="s">
        <v>38</v>
      </c>
      <c r="D25" s="3" t="s">
        <v>58</v>
      </c>
      <c r="E25" s="2" t="s">
        <v>20</v>
      </c>
      <c r="F25" s="1">
        <v>1.55</v>
      </c>
      <c r="G25" s="1" t="s">
        <v>33</v>
      </c>
      <c r="H25" s="4">
        <v>42431</v>
      </c>
      <c r="I25" s="3" t="s">
        <v>63</v>
      </c>
    </row>
    <row r="26" spans="2:14" x14ac:dyDescent="0.25">
      <c r="B26" s="1" t="s">
        <v>4</v>
      </c>
      <c r="C26" s="1" t="s">
        <v>41</v>
      </c>
      <c r="D26" s="3" t="s">
        <v>49</v>
      </c>
      <c r="E26" s="2" t="s">
        <v>20</v>
      </c>
      <c r="F26" s="1">
        <v>1.6</v>
      </c>
      <c r="G26" s="1" t="s">
        <v>34</v>
      </c>
      <c r="H26" s="4">
        <v>42431</v>
      </c>
      <c r="I26" s="3" t="s">
        <v>64</v>
      </c>
    </row>
    <row r="27" spans="2:14" x14ac:dyDescent="0.25">
      <c r="B27" s="1" t="s">
        <v>219</v>
      </c>
      <c r="C27" s="1" t="s">
        <v>1</v>
      </c>
      <c r="D27" s="3" t="s">
        <v>116</v>
      </c>
      <c r="E27" s="2" t="s">
        <v>21</v>
      </c>
      <c r="F27" s="1">
        <v>11.1</v>
      </c>
      <c r="G27" s="1"/>
      <c r="H27" s="4">
        <v>42441</v>
      </c>
      <c r="I27" s="3" t="s">
        <v>218</v>
      </c>
      <c r="J27">
        <f>VLOOKUP("volume",'Blanc-0,13 12-03-16'!E:F,2,FALSE)</f>
        <v>705.6</v>
      </c>
      <c r="K27" s="17">
        <f>VLOOKUP("cout preparation",'Blanc-0,13 12-03-16'!A:B,2,FALSE)</f>
        <v>75.360260555925933</v>
      </c>
      <c r="L27" s="65">
        <f>VLOOKUP("cout teinture",'Blanc-0,13 12-03-16'!A:B,2,FALSE)</f>
        <v>5.902355272592593</v>
      </c>
      <c r="M27" s="34">
        <f>VLOOKUP("cout fixation",'Blanc-0,13 12-03-16'!A:B,2,FALSE)</f>
        <v>0</v>
      </c>
      <c r="N27" s="57">
        <f>SUM(K27:M27)</f>
        <v>81.26261582851852</v>
      </c>
    </row>
    <row r="28" spans="2:14" x14ac:dyDescent="0.25">
      <c r="B28" s="1" t="s">
        <v>8</v>
      </c>
      <c r="C28" s="1" t="s">
        <v>44</v>
      </c>
      <c r="D28" s="3" t="s">
        <v>59</v>
      </c>
      <c r="E28" s="2" t="s">
        <v>21</v>
      </c>
      <c r="F28" s="1">
        <v>0.3</v>
      </c>
      <c r="G28" s="1" t="s">
        <v>35</v>
      </c>
      <c r="H28" s="4">
        <v>42431</v>
      </c>
      <c r="I28" s="3" t="s">
        <v>66</v>
      </c>
    </row>
    <row r="29" spans="2:14" x14ac:dyDescent="0.25">
      <c r="B29" s="1" t="s">
        <v>8</v>
      </c>
      <c r="C29" s="1" t="s">
        <v>44</v>
      </c>
      <c r="D29" s="3" t="s">
        <v>60</v>
      </c>
      <c r="E29" s="2" t="s">
        <v>21</v>
      </c>
      <c r="F29" s="1">
        <v>0.3</v>
      </c>
      <c r="G29" s="1" t="s">
        <v>35</v>
      </c>
      <c r="H29" s="4">
        <v>42431</v>
      </c>
      <c r="I29" s="3" t="s">
        <v>66</v>
      </c>
    </row>
    <row r="30" spans="2:14" x14ac:dyDescent="0.25">
      <c r="B30" s="1" t="s">
        <v>9</v>
      </c>
      <c r="C30" s="1" t="s">
        <v>45</v>
      </c>
      <c r="D30" s="3" t="s">
        <v>50</v>
      </c>
      <c r="E30" s="2" t="s">
        <v>23</v>
      </c>
      <c r="F30" s="1">
        <v>9.1</v>
      </c>
      <c r="G30" s="1" t="s">
        <v>36</v>
      </c>
      <c r="H30" s="4">
        <v>42431</v>
      </c>
      <c r="I30" s="3" t="s">
        <v>65</v>
      </c>
    </row>
    <row r="31" spans="2:14" x14ac:dyDescent="0.25">
      <c r="B31" s="1" t="s">
        <v>9</v>
      </c>
      <c r="C31" s="1" t="s">
        <v>45</v>
      </c>
      <c r="D31" s="3" t="s">
        <v>51</v>
      </c>
      <c r="E31" s="2" t="s">
        <v>23</v>
      </c>
      <c r="F31" s="1">
        <v>9.1</v>
      </c>
      <c r="G31" s="1" t="s">
        <v>36</v>
      </c>
      <c r="H31" s="4">
        <v>42431</v>
      </c>
      <c r="I31" s="3" t="s">
        <v>65</v>
      </c>
    </row>
    <row r="32" spans="2:14" x14ac:dyDescent="0.25">
      <c r="B32" s="1" t="s">
        <v>198</v>
      </c>
      <c r="C32" s="1" t="s">
        <v>199</v>
      </c>
      <c r="D32" s="3" t="s">
        <v>93</v>
      </c>
      <c r="E32" s="2" t="s">
        <v>201</v>
      </c>
      <c r="F32" s="1">
        <v>39</v>
      </c>
      <c r="G32" s="1" t="s">
        <v>202</v>
      </c>
      <c r="H32" s="4">
        <v>42441</v>
      </c>
      <c r="I32" s="3" t="s">
        <v>67</v>
      </c>
      <c r="J32">
        <f>VLOOKUP("volume",'C10-08 BLEU12 11-03-2016'!E:F,2,FALSE)</f>
        <v>3344</v>
      </c>
      <c r="K32" s="47">
        <f>VLOOKUP("cout preparation",'CHAIR B19-13'!B:C,2,FALSE)</f>
        <v>39.064391311111109</v>
      </c>
      <c r="L32" s="48">
        <f>VLOOKUP("cout teinture ",'CHAIR B19-13'!B:C,2,FALSE)</f>
        <v>64.810078088888886</v>
      </c>
      <c r="M32" s="34">
        <f>VLOOKUP("cout fixation",'CHAIR B19-13'!B:C,2,FALSE)</f>
        <v>7.4016227999999993</v>
      </c>
      <c r="N32" s="57">
        <f>SUM(K32:M32)</f>
        <v>111.27609219999999</v>
      </c>
    </row>
    <row r="33" spans="2:14" x14ac:dyDescent="0.25">
      <c r="B33" s="1" t="s">
        <v>198</v>
      </c>
      <c r="C33" s="1" t="s">
        <v>199</v>
      </c>
      <c r="D33" s="3" t="s">
        <v>110</v>
      </c>
      <c r="E33" s="2" t="s">
        <v>201</v>
      </c>
      <c r="F33" s="1">
        <v>39</v>
      </c>
      <c r="G33" s="1" t="s">
        <v>202</v>
      </c>
      <c r="H33" s="4">
        <v>42441</v>
      </c>
      <c r="I33" s="3" t="s">
        <v>67</v>
      </c>
    </row>
    <row r="34" spans="2:14" x14ac:dyDescent="0.25">
      <c r="B34" s="1" t="s">
        <v>198</v>
      </c>
      <c r="C34" s="1" t="s">
        <v>199</v>
      </c>
      <c r="D34" s="3" t="s">
        <v>200</v>
      </c>
      <c r="E34" s="2" t="s">
        <v>201</v>
      </c>
      <c r="F34" s="1">
        <v>39</v>
      </c>
      <c r="G34" s="1" t="s">
        <v>202</v>
      </c>
      <c r="H34" s="4">
        <v>42441</v>
      </c>
      <c r="I34" s="3" t="s">
        <v>67</v>
      </c>
    </row>
    <row r="35" spans="2:14" x14ac:dyDescent="0.25">
      <c r="B35" s="1" t="s">
        <v>10</v>
      </c>
      <c r="C35" s="1" t="s">
        <v>46</v>
      </c>
      <c r="D35" s="3" t="s">
        <v>61</v>
      </c>
      <c r="E35" s="2" t="s">
        <v>24</v>
      </c>
      <c r="F35" s="1">
        <v>10.3</v>
      </c>
      <c r="G35" s="1" t="s">
        <v>37</v>
      </c>
      <c r="H35" s="4">
        <v>42431</v>
      </c>
      <c r="I35" s="3" t="s">
        <v>64</v>
      </c>
    </row>
    <row r="36" spans="2:14" x14ac:dyDescent="0.25">
      <c r="B36" s="1" t="s">
        <v>10</v>
      </c>
      <c r="C36" s="1" t="s">
        <v>46</v>
      </c>
      <c r="D36" s="3" t="s">
        <v>52</v>
      </c>
      <c r="E36" s="2" t="s">
        <v>24</v>
      </c>
      <c r="F36" s="1">
        <v>10.3</v>
      </c>
      <c r="G36" s="1" t="s">
        <v>37</v>
      </c>
      <c r="H36" s="4">
        <v>42431</v>
      </c>
      <c r="I36" s="3" t="s">
        <v>64</v>
      </c>
    </row>
    <row r="37" spans="2:14" x14ac:dyDescent="0.25">
      <c r="B37" s="49" t="s">
        <v>223</v>
      </c>
      <c r="C37" s="49" t="s">
        <v>42</v>
      </c>
      <c r="D37" s="8" t="s">
        <v>93</v>
      </c>
      <c r="E37" s="50" t="s">
        <v>224</v>
      </c>
      <c r="F37" s="49">
        <v>7.9</v>
      </c>
      <c r="G37" s="49" t="s">
        <v>225</v>
      </c>
      <c r="H37" s="51">
        <v>42444</v>
      </c>
      <c r="I37" s="8" t="s">
        <v>66</v>
      </c>
      <c r="J37">
        <f>VLOOKUP("volume",'PEAU U93-2 15-03-16 ACIDE'!E:F,2,FALSE)</f>
        <v>442.40000000000003</v>
      </c>
      <c r="K37" s="17">
        <f>VLOOKUP("cout preparation",'PEAU U93-2 15-03-16 ACIDE'!A:B,2,FALSE)</f>
        <v>4.8991401748148151</v>
      </c>
      <c r="L37" s="16">
        <f>VLOOKUP("cout teinture ",'PEAU U93-2 15-03-16 ACIDE'!A:B,2,FALSE)</f>
        <v>6.3430490199629634</v>
      </c>
      <c r="M37" s="34">
        <f>VLOOKUP("cout fixation",'PEAU U93-2 15-03-16 ACIDE'!A:B,2,FALSE)</f>
        <v>1.00687042</v>
      </c>
      <c r="N37" s="57">
        <f>SUM(K37:M37)</f>
        <v>12.24905961477778</v>
      </c>
    </row>
    <row r="38" spans="2:14" x14ac:dyDescent="0.25">
      <c r="B38" s="49" t="s">
        <v>223</v>
      </c>
      <c r="C38" s="49" t="s">
        <v>42</v>
      </c>
      <c r="D38" s="8" t="s">
        <v>110</v>
      </c>
      <c r="E38" s="50" t="s">
        <v>224</v>
      </c>
      <c r="F38" s="49">
        <v>7.9</v>
      </c>
      <c r="G38" s="49" t="s">
        <v>225</v>
      </c>
      <c r="H38" s="51">
        <v>42444</v>
      </c>
      <c r="I38" s="8" t="s">
        <v>66</v>
      </c>
    </row>
    <row r="39" spans="2:14" x14ac:dyDescent="0.25">
      <c r="B39" s="49" t="s">
        <v>223</v>
      </c>
      <c r="C39" s="49" t="s">
        <v>42</v>
      </c>
      <c r="D39" s="8" t="s">
        <v>200</v>
      </c>
      <c r="E39" s="50" t="s">
        <v>224</v>
      </c>
      <c r="F39" s="49">
        <v>7.9</v>
      </c>
      <c r="G39" s="49" t="s">
        <v>225</v>
      </c>
      <c r="H39" s="51">
        <v>42444</v>
      </c>
      <c r="I39" s="8" t="s">
        <v>66</v>
      </c>
    </row>
    <row r="40" spans="2:14" x14ac:dyDescent="0.25">
      <c r="B40" s="49" t="s">
        <v>206</v>
      </c>
      <c r="C40" s="49" t="s">
        <v>205</v>
      </c>
      <c r="D40" s="8" t="s">
        <v>113</v>
      </c>
      <c r="E40" s="50" t="s">
        <v>21</v>
      </c>
      <c r="F40" s="49">
        <v>34.799999999999997</v>
      </c>
      <c r="G40" s="49" t="s">
        <v>210</v>
      </c>
      <c r="H40" s="51">
        <v>42440</v>
      </c>
      <c r="I40" s="8" t="s">
        <v>67</v>
      </c>
      <c r="J40">
        <f>VLOOKUP("volume",'C10-08 BLEU12 11-03-2016'!E:F,2,FALSE)</f>
        <v>3344</v>
      </c>
      <c r="K40" s="17">
        <f>VLOOKUP("cout preparation",'C10-08 BLEU12 11-03-2016'!A:B,2,FALSE)</f>
        <v>12.286770955555557</v>
      </c>
      <c r="L40" s="16">
        <f>VLOOKUP("cout teinture",'C10-08 BLEU12 11-03-2016'!A:B,2,FALSE)</f>
        <v>89.52402445684443</v>
      </c>
      <c r="M40" s="34">
        <f>VLOOKUP("cout fixation",'C10-08 BLEU12 11-03-2016'!A:B,2,FALSE)</f>
        <v>13.78320645</v>
      </c>
      <c r="N40" s="57">
        <f>SUM(K40:M40)</f>
        <v>115.59400186239998</v>
      </c>
    </row>
    <row r="41" spans="2:14" x14ac:dyDescent="0.25">
      <c r="B41" s="49" t="s">
        <v>206</v>
      </c>
      <c r="C41" s="49" t="s">
        <v>207</v>
      </c>
      <c r="D41" s="8" t="s">
        <v>103</v>
      </c>
      <c r="E41" s="50" t="s">
        <v>21</v>
      </c>
      <c r="F41" s="49">
        <v>34.799999999999997</v>
      </c>
      <c r="G41" s="49" t="s">
        <v>210</v>
      </c>
      <c r="H41" s="51">
        <v>42440</v>
      </c>
      <c r="I41" s="8" t="s">
        <v>67</v>
      </c>
    </row>
    <row r="42" spans="2:14" x14ac:dyDescent="0.25">
      <c r="B42" s="49" t="s">
        <v>206</v>
      </c>
      <c r="C42" s="49" t="s">
        <v>205</v>
      </c>
      <c r="D42" s="8" t="s">
        <v>208</v>
      </c>
      <c r="E42" s="50" t="s">
        <v>21</v>
      </c>
      <c r="F42" s="49">
        <v>34.799999999999997</v>
      </c>
      <c r="G42" s="49" t="s">
        <v>210</v>
      </c>
      <c r="H42" s="51">
        <v>42440</v>
      </c>
      <c r="I42" s="8" t="s">
        <v>67</v>
      </c>
    </row>
    <row r="43" spans="2:14" x14ac:dyDescent="0.25">
      <c r="B43" s="5" t="s">
        <v>197</v>
      </c>
      <c r="C43" s="5" t="s">
        <v>38</v>
      </c>
      <c r="D43" s="8" t="s">
        <v>209</v>
      </c>
      <c r="E43" s="6" t="s">
        <v>20</v>
      </c>
      <c r="F43" s="5">
        <v>47</v>
      </c>
      <c r="G43" s="5" t="s">
        <v>68</v>
      </c>
      <c r="H43" s="7">
        <v>42438</v>
      </c>
      <c r="I43" s="8" t="s">
        <v>63</v>
      </c>
      <c r="J43">
        <f>VLOOKUP("volume",'LYTESS NOIR NR-7,5% 9-03-16'!F:G,2,FALSE)</f>
        <v>3294</v>
      </c>
      <c r="K43" s="17">
        <f>VLOOKUP("cout preparation",'LYTESS NOIR NR-7,5% 9-03-16'!B:C,2,FALSE)</f>
        <v>23.172861214814816</v>
      </c>
      <c r="L43" s="29">
        <f>VLOOKUP("cout teinture ",'LYTESS NOIR NR-7,5% 9-03-16'!B:C,2,FALSE)</f>
        <v>151.46736475555556</v>
      </c>
      <c r="M43" s="34">
        <f>VLOOKUP("cout fixation",'LYTESS NOIR NR-7,5% 9-03-16'!B:C,2,FALSE)</f>
        <v>42.103044992592594</v>
      </c>
      <c r="N43" s="57">
        <f>SUM(K43:M43)</f>
        <v>216.74327096296298</v>
      </c>
    </row>
    <row r="44" spans="2:14" x14ac:dyDescent="0.25">
      <c r="B44" s="1" t="s">
        <v>11</v>
      </c>
      <c r="C44" s="1" t="s">
        <v>47</v>
      </c>
      <c r="D44" s="3" t="s">
        <v>62</v>
      </c>
      <c r="E44" s="2" t="s">
        <v>21</v>
      </c>
      <c r="F44" s="1">
        <v>32.5</v>
      </c>
      <c r="G44" s="1" t="s">
        <v>26</v>
      </c>
      <c r="H44" s="4">
        <v>42431</v>
      </c>
      <c r="I44" s="3" t="s">
        <v>67</v>
      </c>
    </row>
    <row r="49" spans="3:5" x14ac:dyDescent="0.25">
      <c r="C49" s="68"/>
      <c r="E49" s="68">
        <f ca="1">NOW()</f>
        <v>42458.730594444445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Z35"/>
  <sheetViews>
    <sheetView zoomScaleNormal="100" workbookViewId="0">
      <selection activeCell="G21" sqref="G21"/>
    </sheetView>
  </sheetViews>
  <sheetFormatPr baseColWidth="10" defaultColWidth="11.42578125" defaultRowHeight="15" x14ac:dyDescent="0.25"/>
  <cols>
    <col min="3" max="3" width="16" customWidth="1"/>
    <col min="4" max="4" width="19.85546875" customWidth="1"/>
    <col min="6" max="6" width="14.7109375" customWidth="1"/>
    <col min="7" max="7" width="14.5703125" customWidth="1"/>
    <col min="9" max="9" width="18" customWidth="1"/>
    <col min="12" max="13" width="12.5703125" customWidth="1"/>
    <col min="18" max="18" width="21.85546875" customWidth="1"/>
    <col min="19" max="19" width="21.28515625" customWidth="1"/>
    <col min="21" max="21" width="18.28515625" customWidth="1"/>
    <col min="22" max="22" width="16" customWidth="1"/>
    <col min="24" max="24" width="17" customWidth="1"/>
    <col min="25" max="25" width="16" customWidth="1"/>
  </cols>
  <sheetData>
    <row r="1" spans="2:26" x14ac:dyDescent="0.25"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2:26" x14ac:dyDescent="0.25"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2:26" x14ac:dyDescent="0.25"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2:26" ht="18.75" x14ac:dyDescent="0.3">
      <c r="C4" s="58" t="s">
        <v>15</v>
      </c>
      <c r="D4" s="67">
        <v>68.8</v>
      </c>
      <c r="E4" s="16"/>
      <c r="F4" s="61" t="s">
        <v>187</v>
      </c>
      <c r="G4" s="67">
        <f>J4*D4</f>
        <v>412.79999999999995</v>
      </c>
      <c r="H4" s="16"/>
      <c r="I4" s="63" t="s">
        <v>188</v>
      </c>
      <c r="J4" s="67">
        <v>6</v>
      </c>
      <c r="K4" s="16"/>
      <c r="L4" s="16"/>
      <c r="M4" s="16"/>
      <c r="N4" s="16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2:26" x14ac:dyDescent="0.25">
      <c r="B5" s="30"/>
      <c r="C5" s="16"/>
      <c r="D5" s="16"/>
      <c r="E5" s="16"/>
      <c r="F5" s="16"/>
      <c r="G5" s="16"/>
      <c r="H5" s="16"/>
      <c r="I5" s="16"/>
      <c r="J5" s="16"/>
      <c r="K5" s="16"/>
      <c r="L5" s="16"/>
      <c r="M5" s="43"/>
      <c r="N5" s="16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2:26" ht="18.75" x14ac:dyDescent="0.3">
      <c r="B6" s="30"/>
      <c r="C6" s="16"/>
      <c r="D6" s="16"/>
      <c r="E6" s="16"/>
      <c r="F6" s="66" t="s">
        <v>220</v>
      </c>
      <c r="G6" s="67">
        <f>VLOOKUP(D8,'FENETRE PRINCIPALE Mars 2016'!B:J,9,FALSE)</f>
        <v>3717</v>
      </c>
      <c r="H6" s="16"/>
      <c r="I6" s="16"/>
      <c r="J6" s="16"/>
      <c r="K6" s="16"/>
      <c r="L6" s="16"/>
      <c r="M6" s="16"/>
      <c r="N6" s="16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2:26" x14ac:dyDescent="0.25">
      <c r="B7" s="30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2:26" ht="18.75" x14ac:dyDescent="0.3">
      <c r="B8" s="30"/>
      <c r="C8" s="59" t="s">
        <v>189</v>
      </c>
      <c r="D8" s="1" t="s">
        <v>231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2:26" x14ac:dyDescent="0.25">
      <c r="B9" s="30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2:26" x14ac:dyDescent="0.25">
      <c r="B10" s="30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2:26" ht="18.75" x14ac:dyDescent="0.3">
      <c r="B11" s="30"/>
      <c r="C11" s="60" t="s">
        <v>190</v>
      </c>
      <c r="D11" s="16" t="str">
        <f>VLOOKUP(D8,'FENETRE PRINCIPALE Mars 2016'!B:C,2,FALSE)</f>
        <v>CHAIR</v>
      </c>
      <c r="E11" s="16"/>
      <c r="F11" s="62" t="s">
        <v>192</v>
      </c>
      <c r="G11" s="16">
        <f>VLOOKUP(D8,'FENETRE PRINCIPALE Mars 2016'!B:G,6,FALSE)</f>
        <v>11859</v>
      </c>
      <c r="H11" s="16"/>
      <c r="I11" s="40" t="s">
        <v>195</v>
      </c>
      <c r="J11" s="30">
        <f>VLOOKUP(D8,'FENETRE PRINCIPALE Mars 2016'!B:K,10,FALSE)</f>
        <v>29.725107474074072</v>
      </c>
      <c r="K11" s="16"/>
      <c r="L11" s="16"/>
      <c r="M11" s="16"/>
      <c r="N11" s="16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2:26" x14ac:dyDescent="0.25">
      <c r="B12" s="3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2:26" x14ac:dyDescent="0.25">
      <c r="B13" s="30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2:26" x14ac:dyDescent="0.25"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2:26" ht="18.75" x14ac:dyDescent="0.3">
      <c r="C15" s="37" t="s">
        <v>191</v>
      </c>
      <c r="D15" s="16" t="str">
        <f>VLOOKUP(D8,'FENETRE PRINCIPALE Mars 2016'!B:E,4,FALSE)</f>
        <v>LYTESS</v>
      </c>
      <c r="E15" s="16"/>
      <c r="F15" s="38" t="s">
        <v>193</v>
      </c>
      <c r="G15" s="44">
        <f>VLOOKUP(D8,'FENETRE PRINCIPALE Mars 2016'!B:H,7,FALSE)</f>
        <v>42139</v>
      </c>
      <c r="H15" s="16"/>
      <c r="I15" s="41" t="s">
        <v>185</v>
      </c>
      <c r="J15" s="30">
        <f>VLOOKUP(D8,'FENETRE PRINCIPALE Mars 2016'!B:L,11,FALSE)</f>
        <v>37.772531202004004</v>
      </c>
      <c r="K15" s="16"/>
      <c r="L15" s="41" t="s">
        <v>155</v>
      </c>
      <c r="M15" s="30">
        <f>VLOOKUP(D8,'FENETRE PRINCIPALE Mars 2016'!B:N,13,FALSE)</f>
        <v>113.37576282607807</v>
      </c>
      <c r="N15" s="16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2:26" x14ac:dyDescent="0.25"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3:26" x14ac:dyDescent="0.25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3:26" ht="18.75" x14ac:dyDescent="0.3">
      <c r="C18" s="39" t="s">
        <v>194</v>
      </c>
      <c r="D18" s="42" t="str">
        <f>VLOOKUP(D8,'FENETRE PRINCIPALE Mars 2016'!B:I,8,FALSE)</f>
        <v>G3</v>
      </c>
      <c r="E18" s="16"/>
      <c r="F18" s="16"/>
      <c r="G18" s="16"/>
      <c r="H18" s="16"/>
      <c r="I18" s="41" t="s">
        <v>196</v>
      </c>
      <c r="J18" s="30">
        <f>VLOOKUP(D8,'FENETRE PRINCIPALE Mars 2016'!B:M,12,FALSE)</f>
        <v>45.878124149999998</v>
      </c>
      <c r="K18" s="16"/>
      <c r="L18" s="16"/>
      <c r="M18" s="16"/>
      <c r="N18" s="16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3:26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3:26" x14ac:dyDescent="0.25">
      <c r="C20" s="30"/>
      <c r="G20" s="30"/>
      <c r="J20" s="30"/>
      <c r="M20" s="30"/>
    </row>
    <row r="21" spans="3:26" x14ac:dyDescent="0.25">
      <c r="C21" s="30"/>
      <c r="G21" s="30"/>
      <c r="J21" s="30"/>
      <c r="M21" s="30"/>
    </row>
    <row r="22" spans="3:26" x14ac:dyDescent="0.25">
      <c r="C22" s="30"/>
      <c r="G22" s="30"/>
      <c r="J22" s="30"/>
      <c r="M22" s="30"/>
    </row>
    <row r="23" spans="3:26" x14ac:dyDescent="0.25">
      <c r="C23" s="30"/>
      <c r="G23" s="30"/>
      <c r="J23" s="30"/>
      <c r="M23" s="30"/>
    </row>
    <row r="24" spans="3:26" x14ac:dyDescent="0.25">
      <c r="C24" s="30"/>
      <c r="G24" s="30"/>
      <c r="J24" s="30"/>
      <c r="M24" s="30"/>
    </row>
    <row r="25" spans="3:26" x14ac:dyDescent="0.25">
      <c r="C25" s="30"/>
      <c r="G25" s="30"/>
      <c r="J25" s="30"/>
      <c r="M25" s="30"/>
    </row>
    <row r="26" spans="3:26" x14ac:dyDescent="0.25">
      <c r="C26" s="30"/>
      <c r="G26" s="30"/>
      <c r="J26" s="30"/>
      <c r="M26" s="30"/>
    </row>
    <row r="27" spans="3:26" x14ac:dyDescent="0.25">
      <c r="C27" s="30"/>
      <c r="G27" s="30"/>
      <c r="J27" s="30"/>
      <c r="M27" s="30"/>
    </row>
    <row r="28" spans="3:26" x14ac:dyDescent="0.25">
      <c r="C28" s="30"/>
      <c r="G28" s="30"/>
      <c r="J28" s="30"/>
      <c r="M28" s="30"/>
    </row>
    <row r="29" spans="3:26" x14ac:dyDescent="0.25">
      <c r="C29" s="30"/>
      <c r="G29" s="30"/>
      <c r="J29" s="30"/>
      <c r="M29" s="30"/>
    </row>
    <row r="30" spans="3:26" x14ac:dyDescent="0.25">
      <c r="C30" s="30"/>
      <c r="G30" s="30"/>
      <c r="J30" s="30"/>
      <c r="M30" s="30"/>
    </row>
    <row r="31" spans="3:26" x14ac:dyDescent="0.25">
      <c r="C31" s="30"/>
      <c r="G31" s="30"/>
      <c r="J31" s="30"/>
      <c r="M31" s="30"/>
    </row>
    <row r="32" spans="3:26" x14ac:dyDescent="0.25">
      <c r="C32" s="30"/>
      <c r="G32" s="30"/>
      <c r="J32" s="30"/>
      <c r="M32" s="30"/>
    </row>
    <row r="33" spans="3:16" x14ac:dyDescent="0.25">
      <c r="C33" s="30"/>
      <c r="G33" s="30"/>
      <c r="J33" s="30"/>
      <c r="M33" s="30"/>
      <c r="P33" s="42"/>
    </row>
    <row r="34" spans="3:16" x14ac:dyDescent="0.25">
      <c r="C34" s="30"/>
      <c r="G34" s="30"/>
      <c r="J34" s="30"/>
      <c r="M34" s="30"/>
    </row>
    <row r="35" spans="3:16" x14ac:dyDescent="0.25">
      <c r="C35" s="30"/>
      <c r="G35" s="30"/>
      <c r="J35" s="30"/>
      <c r="M35" s="3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381000</xdr:colOff>
                <xdr:row>20</xdr:row>
                <xdr:rowOff>38100</xdr:rowOff>
              </from>
              <to>
                <xdr:col>1</xdr:col>
                <xdr:colOff>742950</xdr:colOff>
                <xdr:row>22</xdr:row>
                <xdr:rowOff>171450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'FENETRE PRINCIPALE Mars 2016'!$B$2:$B$44</xm:f>
          </x14:formula1>
          <xm:sqref>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5"/>
  <sheetViews>
    <sheetView topLeftCell="C16" workbookViewId="0">
      <selection activeCell="J1" sqref="J1"/>
    </sheetView>
  </sheetViews>
  <sheetFormatPr baseColWidth="10" defaultColWidth="11.42578125" defaultRowHeight="15" x14ac:dyDescent="0.25"/>
  <cols>
    <col min="2" max="2" width="27.140625" customWidth="1"/>
    <col min="3" max="3" width="12.42578125" customWidth="1"/>
    <col min="4" max="4" width="23.140625" customWidth="1"/>
    <col min="5" max="5" width="23.85546875" customWidth="1"/>
    <col min="6" max="6" width="24.5703125" customWidth="1"/>
    <col min="7" max="7" width="20.140625" customWidth="1"/>
    <col min="8" max="8" width="23.85546875" customWidth="1"/>
    <col min="9" max="9" width="25.5703125" customWidth="1"/>
    <col min="10" max="10" width="23.7109375" customWidth="1"/>
  </cols>
  <sheetData>
    <row r="1" spans="1:10" x14ac:dyDescent="0.25">
      <c r="D1" t="s">
        <v>153</v>
      </c>
      <c r="E1" t="s">
        <v>203</v>
      </c>
      <c r="F1" t="s">
        <v>211</v>
      </c>
      <c r="G1" t="s">
        <v>216</v>
      </c>
      <c r="H1" t="s">
        <v>222</v>
      </c>
      <c r="I1" t="s">
        <v>227</v>
      </c>
      <c r="J1" t="s">
        <v>232</v>
      </c>
    </row>
    <row r="2" spans="1:10" x14ac:dyDescent="0.25">
      <c r="A2" t="s">
        <v>150</v>
      </c>
      <c r="B2" s="9" t="s">
        <v>69</v>
      </c>
      <c r="C2">
        <v>1.45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</row>
    <row r="3" spans="1:10" x14ac:dyDescent="0.25">
      <c r="A3" t="s">
        <v>150</v>
      </c>
      <c r="B3" s="10" t="s">
        <v>70</v>
      </c>
      <c r="C3">
        <v>7.3529999999999998</v>
      </c>
      <c r="D3" s="22">
        <v>0.02</v>
      </c>
      <c r="E3" s="22">
        <v>0.02</v>
      </c>
      <c r="G3" s="22">
        <v>0.02</v>
      </c>
      <c r="H3" s="22">
        <v>0.02</v>
      </c>
    </row>
    <row r="4" spans="1:10" x14ac:dyDescent="0.25">
      <c r="A4" t="s">
        <v>150</v>
      </c>
      <c r="B4" s="9" t="s">
        <v>71</v>
      </c>
      <c r="C4">
        <v>7.9089999999999998</v>
      </c>
      <c r="I4" s="22">
        <v>0.02</v>
      </c>
      <c r="J4" s="22">
        <v>0.02</v>
      </c>
    </row>
    <row r="5" spans="1:10" x14ac:dyDescent="0.25">
      <c r="A5" t="s">
        <v>150</v>
      </c>
      <c r="B5" s="10" t="s">
        <v>72</v>
      </c>
      <c r="C5">
        <v>0.77</v>
      </c>
      <c r="D5">
        <v>2</v>
      </c>
      <c r="E5">
        <v>1</v>
      </c>
      <c r="G5">
        <v>3</v>
      </c>
      <c r="H5">
        <v>1</v>
      </c>
      <c r="I5">
        <v>3</v>
      </c>
      <c r="J5">
        <v>3</v>
      </c>
    </row>
    <row r="6" spans="1:10" x14ac:dyDescent="0.25">
      <c r="A6" t="s">
        <v>150</v>
      </c>
      <c r="B6" s="9" t="s">
        <v>73</v>
      </c>
      <c r="C6">
        <v>1.45</v>
      </c>
      <c r="D6">
        <v>1</v>
      </c>
      <c r="E6">
        <v>1</v>
      </c>
      <c r="F6">
        <v>1</v>
      </c>
      <c r="G6">
        <v>2</v>
      </c>
      <c r="H6">
        <v>1</v>
      </c>
      <c r="I6">
        <v>1</v>
      </c>
      <c r="J6">
        <v>1</v>
      </c>
    </row>
    <row r="7" spans="1:10" x14ac:dyDescent="0.25">
      <c r="A7" t="s">
        <v>150</v>
      </c>
      <c r="B7" s="9" t="s">
        <v>74</v>
      </c>
      <c r="C7">
        <v>8.02</v>
      </c>
    </row>
    <row r="8" spans="1:10" x14ac:dyDescent="0.25">
      <c r="A8" t="s">
        <v>150</v>
      </c>
      <c r="B8" s="9" t="s">
        <v>75</v>
      </c>
      <c r="C8">
        <v>4.2</v>
      </c>
    </row>
    <row r="9" spans="1:10" x14ac:dyDescent="0.25">
      <c r="A9" t="s">
        <v>150</v>
      </c>
      <c r="B9" s="9" t="s">
        <v>76</v>
      </c>
      <c r="C9">
        <v>6.4610000000000003</v>
      </c>
      <c r="G9">
        <v>10</v>
      </c>
    </row>
    <row r="10" spans="1:10" x14ac:dyDescent="0.25">
      <c r="A10" t="s">
        <v>150</v>
      </c>
      <c r="B10" s="9" t="s">
        <v>77</v>
      </c>
      <c r="C10">
        <v>0.73550000000000004</v>
      </c>
    </row>
    <row r="11" spans="1:10" x14ac:dyDescent="0.25">
      <c r="A11" t="s">
        <v>150</v>
      </c>
      <c r="B11" s="9" t="s">
        <v>78</v>
      </c>
      <c r="C11">
        <v>0.77</v>
      </c>
    </row>
    <row r="12" spans="1:10" x14ac:dyDescent="0.25">
      <c r="A12" t="s">
        <v>150</v>
      </c>
      <c r="B12" s="9" t="s">
        <v>79</v>
      </c>
      <c r="C12">
        <v>0.91300000000000003</v>
      </c>
    </row>
    <row r="13" spans="1:10" x14ac:dyDescent="0.25">
      <c r="A13" t="s">
        <v>151</v>
      </c>
      <c r="B13" s="11" t="s">
        <v>80</v>
      </c>
      <c r="C13" s="18">
        <v>194.78</v>
      </c>
    </row>
    <row r="14" spans="1:10" x14ac:dyDescent="0.25">
      <c r="A14" t="s">
        <v>151</v>
      </c>
      <c r="B14" s="12" t="s">
        <v>81</v>
      </c>
      <c r="C14" s="19">
        <v>76.37</v>
      </c>
      <c r="E14" s="45">
        <v>1.617E-4</v>
      </c>
      <c r="H14" s="45">
        <v>9.3399999999999993E-5</v>
      </c>
      <c r="J14" s="45">
        <v>7.2000000000000002E-5</v>
      </c>
    </row>
    <row r="15" spans="1:10" x14ac:dyDescent="0.25">
      <c r="A15" t="s">
        <v>151</v>
      </c>
      <c r="B15" s="11" t="s">
        <v>82</v>
      </c>
      <c r="C15" s="18">
        <f>22.83*2.228</f>
        <v>50.86524</v>
      </c>
      <c r="E15" s="45"/>
      <c r="F15" s="23">
        <v>2.9100000000000001E-2</v>
      </c>
      <c r="H15" s="45"/>
      <c r="J15" s="45"/>
    </row>
    <row r="16" spans="1:10" x14ac:dyDescent="0.25">
      <c r="A16" t="s">
        <v>151</v>
      </c>
      <c r="B16" s="12" t="s">
        <v>83</v>
      </c>
      <c r="C16" s="19">
        <v>56.493000000000002</v>
      </c>
      <c r="E16" s="45"/>
      <c r="H16" s="45"/>
      <c r="J16" s="45"/>
    </row>
    <row r="17" spans="1:10" x14ac:dyDescent="0.25">
      <c r="A17" t="s">
        <v>151</v>
      </c>
      <c r="B17" s="11" t="s">
        <v>84</v>
      </c>
      <c r="C17" s="18">
        <v>56.83</v>
      </c>
      <c r="J17" s="45"/>
    </row>
    <row r="18" spans="1:10" x14ac:dyDescent="0.25">
      <c r="A18" t="s">
        <v>151</v>
      </c>
      <c r="B18" s="12" t="s">
        <v>85</v>
      </c>
      <c r="C18" s="19">
        <v>33.15</v>
      </c>
      <c r="J18" s="45"/>
    </row>
    <row r="19" spans="1:10" x14ac:dyDescent="0.25">
      <c r="A19" t="s">
        <v>151</v>
      </c>
      <c r="B19" s="13" t="s">
        <v>86</v>
      </c>
      <c r="C19" s="18">
        <v>42.26</v>
      </c>
      <c r="J19" s="45"/>
    </row>
    <row r="20" spans="1:10" x14ac:dyDescent="0.25">
      <c r="A20" t="s">
        <v>151</v>
      </c>
      <c r="B20" s="12" t="s">
        <v>87</v>
      </c>
      <c r="C20" s="19">
        <v>51.12</v>
      </c>
      <c r="J20" s="45"/>
    </row>
    <row r="21" spans="1:10" x14ac:dyDescent="0.25">
      <c r="A21" t="s">
        <v>151</v>
      </c>
      <c r="B21" s="13" t="s">
        <v>88</v>
      </c>
      <c r="C21" s="20">
        <v>0</v>
      </c>
      <c r="J21" s="45"/>
    </row>
    <row r="22" spans="1:10" x14ac:dyDescent="0.25">
      <c r="A22" t="s">
        <v>151</v>
      </c>
      <c r="B22" s="14" t="s">
        <v>89</v>
      </c>
      <c r="C22" s="19">
        <v>39.799999999999997</v>
      </c>
      <c r="J22" s="45"/>
    </row>
    <row r="23" spans="1:10" x14ac:dyDescent="0.25">
      <c r="A23" t="s">
        <v>151</v>
      </c>
      <c r="B23" s="11" t="s">
        <v>90</v>
      </c>
      <c r="C23" s="18">
        <v>37.43</v>
      </c>
      <c r="J23" s="45"/>
    </row>
    <row r="24" spans="1:10" x14ac:dyDescent="0.25">
      <c r="A24" t="s">
        <v>151</v>
      </c>
      <c r="B24" s="12" t="s">
        <v>91</v>
      </c>
      <c r="C24" s="19">
        <f>19.485*2.228</f>
        <v>43.412580000000005</v>
      </c>
      <c r="J24" s="45"/>
    </row>
    <row r="25" spans="1:10" x14ac:dyDescent="0.25">
      <c r="A25" t="s">
        <v>151</v>
      </c>
      <c r="B25" s="13" t="s">
        <v>92</v>
      </c>
      <c r="C25" s="18">
        <v>60.57</v>
      </c>
      <c r="J25" s="45"/>
    </row>
    <row r="26" spans="1:10" x14ac:dyDescent="0.25">
      <c r="A26" t="s">
        <v>151</v>
      </c>
      <c r="B26" s="12" t="s">
        <v>93</v>
      </c>
      <c r="C26" s="19">
        <v>63.36</v>
      </c>
      <c r="E26" s="45">
        <v>6.0860000000000005E-4</v>
      </c>
      <c r="H26" s="45">
        <v>3.6230000000000002E-4</v>
      </c>
      <c r="J26" s="45">
        <v>9.2299999999999999E-4</v>
      </c>
    </row>
    <row r="27" spans="1:10" x14ac:dyDescent="0.25">
      <c r="A27" t="s">
        <v>151</v>
      </c>
      <c r="B27" s="11" t="s">
        <v>94</v>
      </c>
      <c r="C27" s="18">
        <v>31.45</v>
      </c>
      <c r="J27" s="45"/>
    </row>
    <row r="28" spans="1:10" x14ac:dyDescent="0.25">
      <c r="A28" t="s">
        <v>151</v>
      </c>
      <c r="B28" s="12" t="s">
        <v>95</v>
      </c>
      <c r="C28" s="19">
        <v>66.45</v>
      </c>
      <c r="J28" s="45"/>
    </row>
    <row r="29" spans="1:10" x14ac:dyDescent="0.25">
      <c r="A29" t="s">
        <v>151</v>
      </c>
      <c r="B29" s="11" t="s">
        <v>96</v>
      </c>
      <c r="C29" s="18">
        <f>18.32*2.228</f>
        <v>40.816960000000002</v>
      </c>
      <c r="I29" s="45">
        <v>9.2299999999999999E-4</v>
      </c>
      <c r="J29" s="45"/>
    </row>
    <row r="30" spans="1:10" x14ac:dyDescent="0.25">
      <c r="A30" t="s">
        <v>151</v>
      </c>
      <c r="B30" s="12" t="s">
        <v>97</v>
      </c>
      <c r="C30" s="19">
        <v>12.81</v>
      </c>
      <c r="J30" s="45"/>
    </row>
    <row r="31" spans="1:10" x14ac:dyDescent="0.25">
      <c r="A31" t="s">
        <v>151</v>
      </c>
      <c r="B31" s="11" t="s">
        <v>98</v>
      </c>
      <c r="C31" s="18">
        <v>17.68</v>
      </c>
      <c r="J31" s="45"/>
    </row>
    <row r="32" spans="1:10" x14ac:dyDescent="0.25">
      <c r="A32" t="s">
        <v>151</v>
      </c>
      <c r="B32" s="12" t="s">
        <v>99</v>
      </c>
      <c r="C32" s="19">
        <v>23.4</v>
      </c>
      <c r="J32" s="45"/>
    </row>
    <row r="33" spans="1:10" x14ac:dyDescent="0.25">
      <c r="A33" t="s">
        <v>151</v>
      </c>
      <c r="B33" s="13" t="s">
        <v>100</v>
      </c>
      <c r="C33" s="18">
        <v>44.8</v>
      </c>
      <c r="J33" s="45"/>
    </row>
    <row r="34" spans="1:10" x14ac:dyDescent="0.25">
      <c r="A34" t="s">
        <v>151</v>
      </c>
      <c r="B34" s="14" t="s">
        <v>101</v>
      </c>
      <c r="C34" s="19">
        <v>21.65</v>
      </c>
      <c r="J34" s="45"/>
    </row>
    <row r="35" spans="1:10" x14ac:dyDescent="0.25">
      <c r="A35" t="s">
        <v>151</v>
      </c>
      <c r="B35" s="11" t="s">
        <v>102</v>
      </c>
      <c r="C35" s="18">
        <v>13.87</v>
      </c>
      <c r="J35" s="45"/>
    </row>
    <row r="36" spans="1:10" x14ac:dyDescent="0.25">
      <c r="A36" t="s">
        <v>151</v>
      </c>
      <c r="B36" s="12" t="s">
        <v>103</v>
      </c>
      <c r="C36" s="19">
        <f>16.71*2.228</f>
        <v>37.229880000000009</v>
      </c>
      <c r="F36" s="23">
        <v>1.06E-2</v>
      </c>
      <c r="I36" s="23">
        <v>2.0000000000000001E-4</v>
      </c>
      <c r="J36" s="45">
        <v>2.0000000000000001E-4</v>
      </c>
    </row>
    <row r="37" spans="1:10" x14ac:dyDescent="0.25">
      <c r="A37" t="s">
        <v>151</v>
      </c>
      <c r="B37" s="11" t="s">
        <v>104</v>
      </c>
      <c r="C37" s="18">
        <v>36.799999999999997</v>
      </c>
      <c r="J37" s="45"/>
    </row>
    <row r="38" spans="1:10" x14ac:dyDescent="0.25">
      <c r="A38" t="s">
        <v>151</v>
      </c>
      <c r="B38" s="12" t="s">
        <v>105</v>
      </c>
      <c r="C38" s="19">
        <f>5.8*2.228</f>
        <v>12.922400000000001</v>
      </c>
      <c r="J38" s="45"/>
    </row>
    <row r="39" spans="1:10" x14ac:dyDescent="0.25">
      <c r="A39" t="s">
        <v>151</v>
      </c>
      <c r="B39" s="13" t="s">
        <v>106</v>
      </c>
      <c r="C39" s="18">
        <v>13.5</v>
      </c>
      <c r="J39" s="45"/>
    </row>
    <row r="40" spans="1:10" x14ac:dyDescent="0.25">
      <c r="A40" t="s">
        <v>151</v>
      </c>
      <c r="B40" s="12" t="s">
        <v>107</v>
      </c>
      <c r="C40" s="19">
        <f>16.45*2.228</f>
        <v>36.650600000000004</v>
      </c>
      <c r="D40" s="23">
        <v>7.4999999999999997E-2</v>
      </c>
      <c r="J40" s="45"/>
    </row>
    <row r="41" spans="1:10" x14ac:dyDescent="0.25">
      <c r="A41" t="s">
        <v>151</v>
      </c>
      <c r="B41" s="11" t="s">
        <v>108</v>
      </c>
      <c r="C41" s="18">
        <f>5.9*2.228</f>
        <v>13.145200000000003</v>
      </c>
      <c r="J41" s="45"/>
    </row>
    <row r="42" spans="1:10" x14ac:dyDescent="0.25">
      <c r="A42" t="s">
        <v>151</v>
      </c>
      <c r="B42" s="12" t="s">
        <v>109</v>
      </c>
      <c r="C42" s="19">
        <f>39.5*2.228</f>
        <v>88.006000000000014</v>
      </c>
      <c r="J42" s="45"/>
    </row>
    <row r="43" spans="1:10" x14ac:dyDescent="0.25">
      <c r="A43" t="s">
        <v>151</v>
      </c>
      <c r="B43" s="11" t="s">
        <v>110</v>
      </c>
      <c r="C43" s="18">
        <v>64.849999999999994</v>
      </c>
      <c r="E43" s="46">
        <v>3.48E-4</v>
      </c>
      <c r="H43" s="46">
        <v>1.4300000000000001E-4</v>
      </c>
      <c r="J43" s="45">
        <v>1.4999999999999999E-4</v>
      </c>
    </row>
    <row r="44" spans="1:10" x14ac:dyDescent="0.25">
      <c r="A44" t="s">
        <v>151</v>
      </c>
      <c r="B44" s="12" t="s">
        <v>111</v>
      </c>
      <c r="C44" s="19">
        <f>16.65*2.228</f>
        <v>37.096200000000003</v>
      </c>
    </row>
    <row r="45" spans="1:10" x14ac:dyDescent="0.25">
      <c r="A45" t="s">
        <v>151</v>
      </c>
      <c r="B45" s="11" t="s">
        <v>112</v>
      </c>
      <c r="C45" s="18">
        <f>36.19*2.228</f>
        <v>80.631320000000002</v>
      </c>
    </row>
    <row r="46" spans="1:10" x14ac:dyDescent="0.25">
      <c r="A46" t="s">
        <v>151</v>
      </c>
      <c r="B46" s="12" t="s">
        <v>113</v>
      </c>
      <c r="C46" s="19">
        <f>21.7*2.228</f>
        <v>48.3476</v>
      </c>
      <c r="F46" s="23">
        <v>1.1000000000000001E-3</v>
      </c>
      <c r="I46" s="46">
        <v>1.25E-4</v>
      </c>
      <c r="J46" s="46"/>
    </row>
    <row r="47" spans="1:10" x14ac:dyDescent="0.25">
      <c r="A47" t="s">
        <v>151</v>
      </c>
      <c r="B47" s="11" t="s">
        <v>114</v>
      </c>
      <c r="C47" s="18">
        <v>29.98</v>
      </c>
    </row>
    <row r="48" spans="1:10" x14ac:dyDescent="0.25">
      <c r="A48" t="s">
        <v>151</v>
      </c>
      <c r="B48" s="14" t="s">
        <v>115</v>
      </c>
      <c r="C48" s="19">
        <v>40.200000000000003</v>
      </c>
    </row>
    <row r="49" spans="1:10" x14ac:dyDescent="0.25">
      <c r="A49" t="s">
        <v>151</v>
      </c>
      <c r="B49" s="11" t="s">
        <v>116</v>
      </c>
      <c r="C49" s="18">
        <f>4.5*2.228</f>
        <v>10.026000000000002</v>
      </c>
      <c r="G49" s="23">
        <v>1.1999999999999999E-3</v>
      </c>
    </row>
    <row r="50" spans="1:10" x14ac:dyDescent="0.25">
      <c r="A50" t="s">
        <v>151</v>
      </c>
      <c r="B50" s="12" t="s">
        <v>117</v>
      </c>
      <c r="C50" s="19">
        <v>19.66</v>
      </c>
    </row>
    <row r="51" spans="1:10" x14ac:dyDescent="0.25">
      <c r="A51" t="s">
        <v>151</v>
      </c>
      <c r="B51" s="15" t="s">
        <v>118</v>
      </c>
      <c r="C51" s="21">
        <v>35.22</v>
      </c>
    </row>
    <row r="52" spans="1:10" x14ac:dyDescent="0.25">
      <c r="A52" t="s">
        <v>151</v>
      </c>
      <c r="B52" s="16" t="s">
        <v>119</v>
      </c>
      <c r="C52">
        <v>1.45</v>
      </c>
      <c r="D52">
        <v>1</v>
      </c>
      <c r="E52">
        <v>2</v>
      </c>
      <c r="F52">
        <v>2</v>
      </c>
      <c r="H52">
        <v>2</v>
      </c>
      <c r="I52">
        <v>2</v>
      </c>
      <c r="J52">
        <v>2</v>
      </c>
    </row>
    <row r="53" spans="1:10" x14ac:dyDescent="0.25">
      <c r="A53" t="s">
        <v>151</v>
      </c>
      <c r="B53" s="16" t="s">
        <v>120</v>
      </c>
      <c r="C53">
        <v>7.798</v>
      </c>
      <c r="E53" s="22">
        <v>0.02</v>
      </c>
      <c r="F53" s="22">
        <v>0.01</v>
      </c>
      <c r="H53" s="22">
        <v>0.01</v>
      </c>
      <c r="I53" s="23">
        <v>1.4999999999999999E-2</v>
      </c>
      <c r="J53" s="23">
        <v>1.4999999999999999E-2</v>
      </c>
    </row>
    <row r="54" spans="1:10" x14ac:dyDescent="0.25">
      <c r="A54" t="s">
        <v>151</v>
      </c>
      <c r="B54" s="16" t="s">
        <v>121</v>
      </c>
      <c r="C54">
        <v>8.3550000000000004</v>
      </c>
      <c r="E54" s="22">
        <v>0.02</v>
      </c>
      <c r="F54" s="22">
        <v>0.01</v>
      </c>
      <c r="H54" s="22">
        <v>0.01</v>
      </c>
      <c r="I54" s="23">
        <v>1.4999999999999999E-2</v>
      </c>
      <c r="J54" s="23">
        <v>1.4999999999999999E-2</v>
      </c>
    </row>
    <row r="55" spans="1:10" x14ac:dyDescent="0.25">
      <c r="A55" t="s">
        <v>151</v>
      </c>
      <c r="B55" s="16" t="s">
        <v>122</v>
      </c>
      <c r="C55">
        <v>13.613799999999999</v>
      </c>
      <c r="F55">
        <v>1</v>
      </c>
      <c r="G55">
        <v>0.5</v>
      </c>
      <c r="H55">
        <v>1</v>
      </c>
    </row>
    <row r="56" spans="1:10" x14ac:dyDescent="0.25">
      <c r="A56" t="s">
        <v>151</v>
      </c>
      <c r="B56" s="16" t="s">
        <v>123</v>
      </c>
      <c r="C56">
        <v>8.02</v>
      </c>
      <c r="D56">
        <v>0.2</v>
      </c>
      <c r="E56">
        <v>0.5</v>
      </c>
      <c r="F56">
        <v>0.5</v>
      </c>
      <c r="H56">
        <v>0.5</v>
      </c>
      <c r="I56">
        <v>0.5</v>
      </c>
      <c r="J56">
        <v>0.5</v>
      </c>
    </row>
    <row r="57" spans="1:10" x14ac:dyDescent="0.25">
      <c r="A57" t="s">
        <v>151</v>
      </c>
      <c r="B57" s="16" t="s">
        <v>124</v>
      </c>
      <c r="C57">
        <v>1.45</v>
      </c>
      <c r="D57">
        <v>2</v>
      </c>
      <c r="E57">
        <v>1</v>
      </c>
      <c r="F57">
        <v>2</v>
      </c>
      <c r="G57">
        <v>0.4</v>
      </c>
    </row>
    <row r="58" spans="1:10" x14ac:dyDescent="0.25">
      <c r="A58" t="s">
        <v>151</v>
      </c>
      <c r="B58" s="16" t="s">
        <v>125</v>
      </c>
      <c r="C58">
        <v>3.2519999999999998</v>
      </c>
      <c r="D58" s="23">
        <v>2.5000000000000001E-2</v>
      </c>
    </row>
    <row r="59" spans="1:10" x14ac:dyDescent="0.25">
      <c r="A59" t="s">
        <v>151</v>
      </c>
      <c r="B59" s="16" t="s">
        <v>126</v>
      </c>
      <c r="C59">
        <v>0.77</v>
      </c>
    </row>
    <row r="60" spans="1:10" x14ac:dyDescent="0.25">
      <c r="A60" t="s">
        <v>151</v>
      </c>
      <c r="B60" s="16" t="s">
        <v>127</v>
      </c>
      <c r="C60">
        <v>1.4</v>
      </c>
    </row>
    <row r="61" spans="1:10" x14ac:dyDescent="0.25">
      <c r="A61" t="s">
        <v>151</v>
      </c>
      <c r="B61" s="16" t="s">
        <v>128</v>
      </c>
    </row>
    <row r="62" spans="1:10" x14ac:dyDescent="0.25">
      <c r="A62" t="s">
        <v>151</v>
      </c>
      <c r="B62" s="16" t="s">
        <v>129</v>
      </c>
    </row>
    <row r="63" spans="1:10" x14ac:dyDescent="0.25">
      <c r="A63" t="s">
        <v>151</v>
      </c>
      <c r="B63" s="16" t="s">
        <v>230</v>
      </c>
    </row>
    <row r="64" spans="1:10" x14ac:dyDescent="0.25">
      <c r="A64" t="s">
        <v>151</v>
      </c>
      <c r="B64" s="16" t="s">
        <v>130</v>
      </c>
    </row>
    <row r="65" spans="1:10" x14ac:dyDescent="0.25">
      <c r="A65" t="s">
        <v>151</v>
      </c>
      <c r="B65" s="16" t="s">
        <v>131</v>
      </c>
    </row>
    <row r="66" spans="1:10" x14ac:dyDescent="0.25">
      <c r="A66" t="s">
        <v>151</v>
      </c>
      <c r="B66" s="16" t="s">
        <v>132</v>
      </c>
    </row>
    <row r="67" spans="1:10" x14ac:dyDescent="0.25">
      <c r="A67" t="s">
        <v>151</v>
      </c>
      <c r="B67" s="16" t="s">
        <v>133</v>
      </c>
      <c r="C67">
        <v>5.89</v>
      </c>
    </row>
    <row r="68" spans="1:10" x14ac:dyDescent="0.25">
      <c r="A68" t="s">
        <v>151</v>
      </c>
      <c r="B68" s="16" t="s">
        <v>134</v>
      </c>
      <c r="C68">
        <v>7.35</v>
      </c>
      <c r="G68">
        <v>2</v>
      </c>
    </row>
    <row r="69" spans="1:10" x14ac:dyDescent="0.25">
      <c r="A69" t="s">
        <v>151</v>
      </c>
      <c r="B69" s="16" t="s">
        <v>135</v>
      </c>
      <c r="C69">
        <v>4.2332000000000001</v>
      </c>
      <c r="I69">
        <v>2</v>
      </c>
      <c r="J69">
        <v>2</v>
      </c>
    </row>
    <row r="70" spans="1:10" x14ac:dyDescent="0.25">
      <c r="A70" t="s">
        <v>151</v>
      </c>
      <c r="B70" s="16" t="s">
        <v>136</v>
      </c>
      <c r="C70">
        <v>0.77</v>
      </c>
    </row>
    <row r="71" spans="1:10" x14ac:dyDescent="0.25">
      <c r="A71" t="s">
        <v>151</v>
      </c>
      <c r="B71" s="16" t="s">
        <v>217</v>
      </c>
      <c r="C71">
        <v>4.9000000000000004</v>
      </c>
      <c r="G71" s="22">
        <v>7.0000000000000007E-2</v>
      </c>
    </row>
    <row r="72" spans="1:10" x14ac:dyDescent="0.25">
      <c r="A72" t="s">
        <v>151</v>
      </c>
      <c r="B72" s="16" t="s">
        <v>137</v>
      </c>
      <c r="C72">
        <v>0.11</v>
      </c>
    </row>
    <row r="73" spans="1:10" x14ac:dyDescent="0.25">
      <c r="A73" t="s">
        <v>151</v>
      </c>
      <c r="B73" s="16" t="s">
        <v>138</v>
      </c>
      <c r="C73">
        <v>6.6412000000000004</v>
      </c>
    </row>
    <row r="74" spans="1:10" x14ac:dyDescent="0.25">
      <c r="A74" t="s">
        <v>152</v>
      </c>
      <c r="B74" s="17" t="s">
        <v>139</v>
      </c>
      <c r="C74">
        <v>1.4</v>
      </c>
      <c r="F74" s="52">
        <v>2</v>
      </c>
      <c r="I74">
        <v>2</v>
      </c>
      <c r="J74">
        <v>2</v>
      </c>
    </row>
    <row r="75" spans="1:10" x14ac:dyDescent="0.25">
      <c r="A75" t="s">
        <v>152</v>
      </c>
      <c r="B75" s="17" t="s">
        <v>140</v>
      </c>
      <c r="C75">
        <v>7.1070000000000002</v>
      </c>
      <c r="F75" s="22">
        <v>0.04</v>
      </c>
      <c r="I75" s="22">
        <v>0.04</v>
      </c>
      <c r="J75" s="22">
        <v>0.04</v>
      </c>
    </row>
    <row r="76" spans="1:10" x14ac:dyDescent="0.25">
      <c r="A76" t="s">
        <v>152</v>
      </c>
      <c r="B76" s="17" t="s">
        <v>141</v>
      </c>
      <c r="C76">
        <v>0.77</v>
      </c>
      <c r="D76">
        <v>1</v>
      </c>
      <c r="F76" s="52"/>
    </row>
    <row r="77" spans="1:10" x14ac:dyDescent="0.25">
      <c r="A77" t="s">
        <v>152</v>
      </c>
      <c r="B77" s="17" t="s">
        <v>142</v>
      </c>
      <c r="C77">
        <v>10.130000000000001</v>
      </c>
      <c r="D77" s="23">
        <v>3.7499999999999999E-2</v>
      </c>
    </row>
    <row r="78" spans="1:10" x14ac:dyDescent="0.25">
      <c r="A78" t="s">
        <v>152</v>
      </c>
      <c r="B78" s="17" t="s">
        <v>143</v>
      </c>
      <c r="C78">
        <v>7.35</v>
      </c>
      <c r="D78">
        <v>1</v>
      </c>
    </row>
    <row r="79" spans="1:10" x14ac:dyDescent="0.25">
      <c r="A79" t="s">
        <v>152</v>
      </c>
      <c r="B79" s="17" t="s">
        <v>144</v>
      </c>
      <c r="C79">
        <v>5.79</v>
      </c>
    </row>
    <row r="80" spans="1:10" x14ac:dyDescent="0.25">
      <c r="A80" t="s">
        <v>152</v>
      </c>
      <c r="B80" s="17" t="s">
        <v>145</v>
      </c>
      <c r="C80">
        <v>3.98</v>
      </c>
    </row>
    <row r="81" spans="1:10" x14ac:dyDescent="0.25">
      <c r="A81" t="s">
        <v>152</v>
      </c>
      <c r="B81" s="17" t="s">
        <v>146</v>
      </c>
      <c r="C81">
        <v>0.77</v>
      </c>
      <c r="D81">
        <v>2</v>
      </c>
    </row>
    <row r="82" spans="1:10" x14ac:dyDescent="0.25">
      <c r="A82" t="s">
        <v>152</v>
      </c>
      <c r="B82" s="17" t="s">
        <v>229</v>
      </c>
      <c r="C82">
        <v>4.2</v>
      </c>
      <c r="I82" s="22">
        <v>0.04</v>
      </c>
      <c r="J82" s="22"/>
    </row>
    <row r="83" spans="1:10" x14ac:dyDescent="0.25">
      <c r="A83" t="s">
        <v>152</v>
      </c>
      <c r="B83" s="17" t="s">
        <v>147</v>
      </c>
      <c r="C83">
        <v>1.45</v>
      </c>
      <c r="D83">
        <v>1</v>
      </c>
      <c r="F83">
        <v>0.3</v>
      </c>
      <c r="I83">
        <v>0.2</v>
      </c>
    </row>
    <row r="84" spans="1:10" x14ac:dyDescent="0.25">
      <c r="A84" t="s">
        <v>152</v>
      </c>
      <c r="B84" s="17" t="s">
        <v>148</v>
      </c>
      <c r="C84">
        <v>4.9000000000000004</v>
      </c>
    </row>
    <row r="85" spans="1:10" x14ac:dyDescent="0.25">
      <c r="A85" t="s">
        <v>152</v>
      </c>
      <c r="B85" s="17" t="s">
        <v>149</v>
      </c>
      <c r="C85">
        <v>1.335</v>
      </c>
      <c r="E85">
        <v>6</v>
      </c>
      <c r="F85" s="22">
        <v>7.0000000000000007E-2</v>
      </c>
      <c r="H85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89"/>
  <sheetViews>
    <sheetView workbookViewId="0">
      <selection activeCell="X10" sqref="X10"/>
    </sheetView>
  </sheetViews>
  <sheetFormatPr baseColWidth="10" defaultColWidth="11.42578125" defaultRowHeight="15" x14ac:dyDescent="0.25"/>
  <cols>
    <col min="1" max="1" width="37.140625" customWidth="1"/>
    <col min="2" max="2" width="20.85546875" customWidth="1"/>
    <col min="3" max="3" width="22" customWidth="1"/>
    <col min="5" max="5" width="20.140625" customWidth="1"/>
    <col min="8" max="8" width="23.42578125" customWidth="1"/>
    <col min="9" max="9" width="18.28515625" customWidth="1"/>
    <col min="10" max="10" width="36.140625" customWidth="1"/>
    <col min="11" max="11" width="24.7109375" customWidth="1"/>
    <col min="12" max="12" width="35" customWidth="1"/>
    <col min="13" max="14" width="19.85546875" customWidth="1"/>
    <col min="15" max="15" width="24.140625" customWidth="1"/>
    <col min="16" max="16" width="25.5703125" customWidth="1"/>
    <col min="17" max="17" width="22.85546875" customWidth="1"/>
    <col min="18" max="18" width="21.85546875" customWidth="1"/>
    <col min="19" max="19" width="15.7109375" customWidth="1"/>
  </cols>
  <sheetData>
    <row r="1" spans="1:22" x14ac:dyDescent="0.25">
      <c r="E1" s="1" t="s">
        <v>154</v>
      </c>
      <c r="F1" s="1">
        <v>68.8</v>
      </c>
      <c r="I1" s="24" t="s">
        <v>155</v>
      </c>
      <c r="J1" s="24">
        <f>E14+E73+E89+L13+T13+T71+L22+L23+L87+T88</f>
        <v>113.37576282607807</v>
      </c>
    </row>
    <row r="2" spans="1:22" x14ac:dyDescent="0.25">
      <c r="E2" s="1" t="s">
        <v>156</v>
      </c>
      <c r="F2" s="1">
        <f>413*9</f>
        <v>3717</v>
      </c>
    </row>
    <row r="3" spans="1:22" x14ac:dyDescent="0.25">
      <c r="A3" s="53" t="s">
        <v>213</v>
      </c>
      <c r="B3" s="55">
        <f>E14+T13+L13</f>
        <v>29.725107474074072</v>
      </c>
      <c r="E3" s="1" t="s">
        <v>228</v>
      </c>
      <c r="F3" s="25"/>
    </row>
    <row r="4" spans="1:22" x14ac:dyDescent="0.25">
      <c r="B4" s="30"/>
    </row>
    <row r="5" spans="1:22" x14ac:dyDescent="0.25">
      <c r="A5" s="26" t="s">
        <v>150</v>
      </c>
    </row>
    <row r="6" spans="1:22" x14ac:dyDescent="0.25">
      <c r="A6" s="26" t="s">
        <v>182</v>
      </c>
      <c r="B6" s="26" t="s">
        <v>158</v>
      </c>
      <c r="C6" s="26" t="s">
        <v>159</v>
      </c>
      <c r="D6" s="26" t="s">
        <v>160</v>
      </c>
      <c r="E6" s="26" t="s">
        <v>161</v>
      </c>
      <c r="F6" s="26" t="s">
        <v>162</v>
      </c>
      <c r="G6" s="27" t="s">
        <v>163</v>
      </c>
      <c r="H6" s="27" t="s">
        <v>164</v>
      </c>
      <c r="I6" s="26" t="s">
        <v>165</v>
      </c>
      <c r="J6" s="26" t="s">
        <v>166</v>
      </c>
      <c r="K6" s="26" t="s">
        <v>167</v>
      </c>
      <c r="L6" s="26" t="s">
        <v>226</v>
      </c>
      <c r="M6" s="26" t="s">
        <v>226</v>
      </c>
      <c r="N6" s="26" t="s">
        <v>169</v>
      </c>
      <c r="O6" s="26" t="s">
        <v>170</v>
      </c>
      <c r="P6" s="26" t="s">
        <v>171</v>
      </c>
      <c r="Q6" s="26" t="s">
        <v>172</v>
      </c>
      <c r="R6" s="26" t="s">
        <v>173</v>
      </c>
      <c r="S6" s="26" t="s">
        <v>174</v>
      </c>
      <c r="T6" s="26" t="s">
        <v>175</v>
      </c>
      <c r="U6" s="1"/>
      <c r="V6" s="1"/>
    </row>
    <row r="7" spans="1:22" x14ac:dyDescent="0.25">
      <c r="A7" s="26" t="s">
        <v>69</v>
      </c>
      <c r="B7" s="1">
        <f>VLOOKUP(A7,'feuille de base Mars 2016'!B:C,2,FALSE)</f>
        <v>1.45</v>
      </c>
      <c r="C7" s="1">
        <f>VLOOKUP(A7,'feuille de base Mars 2016'!B:I,8,FALSE)</f>
        <v>2</v>
      </c>
      <c r="D7" s="1">
        <f>(C7*G7)</f>
        <v>826</v>
      </c>
      <c r="E7" s="1">
        <f>(D7/1000)*B7</f>
        <v>1.1977</v>
      </c>
      <c r="F7" s="1">
        <v>68.8</v>
      </c>
      <c r="G7" s="1">
        <v>413</v>
      </c>
      <c r="H7" s="1">
        <f>SUM(212+306+306)</f>
        <v>824</v>
      </c>
      <c r="I7" s="1">
        <v>1.35</v>
      </c>
      <c r="J7" s="1">
        <f>3*413</f>
        <v>1239</v>
      </c>
      <c r="K7" s="1">
        <f>(J7*3.33)/1000</f>
        <v>4.1258699999999999</v>
      </c>
      <c r="L7" s="1">
        <f>K7*0.11</f>
        <v>0.45384570000000002</v>
      </c>
      <c r="M7" s="1">
        <f>(J7/1000)*5.5</f>
        <v>6.8145000000000007</v>
      </c>
      <c r="O7" s="1">
        <f>(((4.18*413*(35-22))))</f>
        <v>22442.42</v>
      </c>
      <c r="P7" s="1">
        <f>O7/3600</f>
        <v>6.2340055555555551</v>
      </c>
      <c r="Q7" s="1">
        <f>10/60</f>
        <v>0.16666666666666666</v>
      </c>
      <c r="R7" s="1"/>
      <c r="S7" s="1"/>
      <c r="T7" s="1">
        <f>P7*Q7*0.17</f>
        <v>0.1766301574074074</v>
      </c>
      <c r="U7" s="1"/>
      <c r="V7" s="1"/>
    </row>
    <row r="8" spans="1:22" x14ac:dyDescent="0.25">
      <c r="A8" s="26" t="s">
        <v>70</v>
      </c>
      <c r="B8" s="1">
        <f>VLOOKUP(A8,'feuille de base Mars 2016'!B:C,2,FALSE)</f>
        <v>7.3529999999999998</v>
      </c>
      <c r="C8" s="1">
        <f>VLOOKUP(A8,'feuille de base Mars 2016'!B:I,8,FALSE)</f>
        <v>0</v>
      </c>
      <c r="D8" s="1">
        <f>(C8*F8)*1000</f>
        <v>0</v>
      </c>
      <c r="E8" s="1">
        <f>(D8/1000)*B8</f>
        <v>0</v>
      </c>
      <c r="F8" s="1">
        <v>68.8</v>
      </c>
      <c r="G8" s="1">
        <v>413</v>
      </c>
      <c r="I8" s="1"/>
      <c r="J8" s="1"/>
      <c r="K8" s="1"/>
      <c r="L8" s="1"/>
      <c r="M8" s="1"/>
      <c r="O8" s="1">
        <f>(4.18*413*(90-30))</f>
        <v>103580.4</v>
      </c>
      <c r="P8" s="1">
        <f t="shared" ref="P8:P10" si="0">O8/3600</f>
        <v>28.772333333333332</v>
      </c>
      <c r="Q8" s="1">
        <f>(45/60)</f>
        <v>0.75</v>
      </c>
      <c r="R8" s="1"/>
      <c r="S8" s="1"/>
      <c r="T8" s="1">
        <f t="shared" ref="T8:T10" si="1">P8*Q8*0.17</f>
        <v>3.6684725</v>
      </c>
      <c r="U8" s="1"/>
      <c r="V8" s="1"/>
    </row>
    <row r="9" spans="1:22" x14ac:dyDescent="0.25">
      <c r="A9" s="26" t="s">
        <v>71</v>
      </c>
      <c r="B9" s="1">
        <f>VLOOKUP(A9,'feuille de base Mars 2016'!B:C,2,FALSE)</f>
        <v>7.9089999999999998</v>
      </c>
      <c r="C9" s="1">
        <f>VLOOKUP(A9,'feuille de base Mars 2016'!B:I,8,FALSE)</f>
        <v>0.02</v>
      </c>
      <c r="D9" s="1">
        <f>(C9*F9)*1000</f>
        <v>1376</v>
      </c>
      <c r="E9" s="1">
        <f>(D9/1000)*B9</f>
        <v>10.882783999999999</v>
      </c>
      <c r="F9" s="1">
        <v>68.8</v>
      </c>
      <c r="G9" s="1">
        <v>413</v>
      </c>
      <c r="I9" s="1"/>
      <c r="J9" s="1"/>
      <c r="K9" s="1"/>
      <c r="L9" s="1"/>
      <c r="M9" s="1"/>
      <c r="O9" s="1">
        <f>(4.18*413*(50-25))</f>
        <v>43158.5</v>
      </c>
      <c r="P9" s="1">
        <f t="shared" si="0"/>
        <v>11.988472222222223</v>
      </c>
      <c r="Q9" s="1">
        <f>10/60</f>
        <v>0.16666666666666666</v>
      </c>
      <c r="R9" s="1"/>
      <c r="S9" s="1"/>
      <c r="T9" s="1">
        <f t="shared" si="1"/>
        <v>0.33967337962962968</v>
      </c>
      <c r="U9" s="1"/>
      <c r="V9" s="1"/>
    </row>
    <row r="10" spans="1:22" x14ac:dyDescent="0.25">
      <c r="A10" s="26" t="s">
        <v>72</v>
      </c>
      <c r="B10" s="1">
        <f>VLOOKUP(A10,'feuille de base Mars 2016'!B:C,2,FALSE)</f>
        <v>0.77</v>
      </c>
      <c r="C10" s="1">
        <f>VLOOKUP(A10,'feuille de base Mars 2016'!B:I,8,FALSE)</f>
        <v>3</v>
      </c>
      <c r="D10" s="1">
        <f>(C10*G10)</f>
        <v>1239</v>
      </c>
      <c r="E10" s="1">
        <f>(D10/1000)*B10</f>
        <v>0.95403000000000004</v>
      </c>
      <c r="F10" s="1">
        <v>68.8</v>
      </c>
      <c r="G10" s="1">
        <v>413</v>
      </c>
      <c r="I10" s="1"/>
      <c r="J10" s="1"/>
      <c r="K10" s="1"/>
      <c r="L10" s="1"/>
      <c r="M10" s="1"/>
      <c r="O10" s="1">
        <f>(4.18*413*(38-25))</f>
        <v>22442.42</v>
      </c>
      <c r="P10" s="1">
        <f t="shared" si="0"/>
        <v>6.2340055555555551</v>
      </c>
      <c r="Q10" s="1">
        <f>10/60</f>
        <v>0.16666666666666666</v>
      </c>
      <c r="R10" s="1"/>
      <c r="S10" s="1"/>
      <c r="T10" s="1">
        <f t="shared" si="1"/>
        <v>0.1766301574074074</v>
      </c>
      <c r="U10" s="1"/>
      <c r="V10" s="1"/>
    </row>
    <row r="11" spans="1:22" x14ac:dyDescent="0.25">
      <c r="A11" s="26" t="s">
        <v>73</v>
      </c>
      <c r="B11" s="1">
        <f>VLOOKUP(A11,'feuille de base Mars 2016'!B:C,2,FALSE)</f>
        <v>1.45</v>
      </c>
      <c r="C11" s="1">
        <f>VLOOKUP(A11,'feuille de base Mars 2016'!B:I,8,FALSE)</f>
        <v>1</v>
      </c>
      <c r="D11" s="1">
        <f>(C11*G11)</f>
        <v>413</v>
      </c>
      <c r="E11" s="1">
        <f>(D11/1000)*B11</f>
        <v>0.59884999999999999</v>
      </c>
      <c r="F11" s="1">
        <v>68.8</v>
      </c>
      <c r="G11" s="1">
        <v>413</v>
      </c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26" t="s">
        <v>74</v>
      </c>
      <c r="B12" s="1">
        <f>VLOOKUP(A12,'feuille de base Mars 2016'!B:C,2,FALSE)</f>
        <v>8.02</v>
      </c>
      <c r="C12" s="1">
        <f>VLOOKUP(A12,'feuille de base Mars 2016'!B:I,8,FALSE)</f>
        <v>0</v>
      </c>
      <c r="D12" s="1">
        <f>(C12*G12)</f>
        <v>0</v>
      </c>
      <c r="E12" s="1">
        <f t="shared" ref="E12:E13" si="2">(D12/1000)*B12</f>
        <v>0</v>
      </c>
      <c r="F12" s="1">
        <v>68.8</v>
      </c>
      <c r="G12" s="1">
        <v>413</v>
      </c>
      <c r="I12" s="1"/>
      <c r="J12" s="1"/>
      <c r="K12" s="1"/>
      <c r="L12" s="1"/>
      <c r="M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26" t="s">
        <v>76</v>
      </c>
      <c r="B13" s="1">
        <f>VLOOKUP(A13,'feuille de base Mars 2016'!B:C,2,FALSE)</f>
        <v>6.4610000000000003</v>
      </c>
      <c r="C13" s="1">
        <f>VLOOKUP(A13,'feuille de base Mars 2016'!B:I,8,FALSE)</f>
        <v>0</v>
      </c>
      <c r="D13" s="1">
        <f>(C13*G13)</f>
        <v>0</v>
      </c>
      <c r="E13" s="1">
        <f t="shared" si="2"/>
        <v>0</v>
      </c>
      <c r="F13" s="1">
        <v>68.8</v>
      </c>
      <c r="G13" s="1">
        <v>413</v>
      </c>
      <c r="I13" s="1"/>
      <c r="J13" s="1"/>
      <c r="K13" s="1"/>
      <c r="L13" s="1">
        <f>SUM(L7:L12,M7)</f>
        <v>7.2683457000000011</v>
      </c>
      <c r="M13" s="1"/>
      <c r="O13" s="1">
        <f>SUM(O7:O9)</f>
        <v>169181.32</v>
      </c>
      <c r="P13" s="1">
        <f>SUM(P7:P9)</f>
        <v>46.994811111111112</v>
      </c>
      <c r="Q13" s="1">
        <f>SUM(Q7:Q11)</f>
        <v>1.25</v>
      </c>
      <c r="R13" s="1"/>
      <c r="S13" s="1"/>
      <c r="T13" s="1">
        <f>SUM(T7:T9)</f>
        <v>4.1847760370370368</v>
      </c>
      <c r="U13" s="1"/>
      <c r="V13" s="1"/>
    </row>
    <row r="14" spans="1:22" x14ac:dyDescent="0.25">
      <c r="A14" s="17"/>
      <c r="E14" s="17">
        <f>SUM(E7:E11,L22,T13)</f>
        <v>18.271985737037035</v>
      </c>
      <c r="L14" s="17"/>
      <c r="M14" s="17"/>
    </row>
    <row r="20" spans="1:22" x14ac:dyDescent="0.25">
      <c r="A20" s="16" t="s">
        <v>151</v>
      </c>
    </row>
    <row r="21" spans="1:22" x14ac:dyDescent="0.25">
      <c r="A21" s="35" t="s">
        <v>13</v>
      </c>
      <c r="B21" s="28" t="s">
        <v>176</v>
      </c>
      <c r="C21" s="28" t="s">
        <v>177</v>
      </c>
      <c r="D21" s="28" t="s">
        <v>178</v>
      </c>
      <c r="E21" s="28" t="s">
        <v>176</v>
      </c>
      <c r="F21" s="28" t="s">
        <v>162</v>
      </c>
      <c r="G21" s="28" t="s">
        <v>179</v>
      </c>
      <c r="H21" s="28"/>
      <c r="I21" s="28" t="s">
        <v>165</v>
      </c>
      <c r="J21" s="28" t="s">
        <v>180</v>
      </c>
      <c r="K21" s="28" t="s">
        <v>167</v>
      </c>
      <c r="L21" s="28" t="s">
        <v>226</v>
      </c>
      <c r="M21" s="28" t="s">
        <v>226</v>
      </c>
      <c r="N21" s="28" t="s">
        <v>169</v>
      </c>
      <c r="O21" s="28" t="s">
        <v>170</v>
      </c>
      <c r="P21" s="28" t="s">
        <v>171</v>
      </c>
      <c r="Q21" s="28" t="s">
        <v>172</v>
      </c>
      <c r="R21" s="28" t="s">
        <v>173</v>
      </c>
      <c r="S21" s="28" t="s">
        <v>174</v>
      </c>
      <c r="T21" s="28" t="s">
        <v>175</v>
      </c>
      <c r="U21" s="28"/>
      <c r="V21" s="28"/>
    </row>
    <row r="22" spans="1:22" x14ac:dyDescent="0.25">
      <c r="A22" s="1" t="s">
        <v>80</v>
      </c>
      <c r="B22" s="1">
        <f>VLOOKUP(A22,'feuille de base Mars 2016'!B:C,2,FALSE)</f>
        <v>194.78</v>
      </c>
      <c r="C22" s="1">
        <f>VLOOKUP(A22,'feuille de base Mars 2016'!B:I,8,FALSE)</f>
        <v>0</v>
      </c>
      <c r="D22" s="1">
        <f>(C22*F22)*1000</f>
        <v>0</v>
      </c>
      <c r="E22" s="1">
        <f t="shared" ref="E22:E36" si="3">(D22*F22)/1000</f>
        <v>0</v>
      </c>
      <c r="F22" s="1">
        <v>68.8</v>
      </c>
      <c r="G22" s="1">
        <v>413</v>
      </c>
      <c r="H22" s="1"/>
      <c r="I22" s="1">
        <v>0.33</v>
      </c>
      <c r="J22" s="1">
        <f>413*3</f>
        <v>1239</v>
      </c>
      <c r="K22" s="1">
        <f>(J22*3.33)/1000</f>
        <v>4.1258699999999999</v>
      </c>
      <c r="L22" s="1">
        <f>K22*0.11</f>
        <v>0.45384570000000002</v>
      </c>
      <c r="M22" s="1">
        <f>(J22/1000)*5.5</f>
        <v>6.8145000000000007</v>
      </c>
      <c r="N22" s="1"/>
      <c r="O22" s="1">
        <f>(413*4.18*(35-25))</f>
        <v>17263.399999999998</v>
      </c>
      <c r="P22" s="1">
        <f>O22/3600</f>
        <v>4.7953888888888887</v>
      </c>
      <c r="Q22" s="1">
        <f>15/60</f>
        <v>0.25</v>
      </c>
      <c r="R22" s="1"/>
      <c r="S22" s="1"/>
      <c r="T22" s="1">
        <f>P22*Q22*0.17</f>
        <v>0.20380402777777779</v>
      </c>
      <c r="U22" s="1"/>
      <c r="V22" s="1"/>
    </row>
    <row r="23" spans="1:22" x14ac:dyDescent="0.25">
      <c r="A23" s="1" t="s">
        <v>81</v>
      </c>
      <c r="B23" s="1">
        <f>VLOOKUP(A23,'feuille de base Mars 2016'!B:C,2,FALSE)</f>
        <v>76.37</v>
      </c>
      <c r="C23" s="1">
        <f>VLOOKUP(A23,'feuille de base Mars 2016'!B:I,8,FALSE)</f>
        <v>0</v>
      </c>
      <c r="D23" s="1">
        <f t="shared" ref="D23:D60" si="4">(C23*F23)*1000</f>
        <v>0</v>
      </c>
      <c r="E23" s="1">
        <f t="shared" si="3"/>
        <v>0</v>
      </c>
      <c r="F23" s="1">
        <v>68.8</v>
      </c>
      <c r="G23" s="1">
        <v>413</v>
      </c>
      <c r="H23" s="1"/>
      <c r="I23" s="1">
        <v>1.83</v>
      </c>
      <c r="J23" s="1"/>
      <c r="K23" s="1"/>
      <c r="L23" s="36">
        <f>(964/1000)*1.19</f>
        <v>1.14716</v>
      </c>
      <c r="M23" s="1"/>
      <c r="N23" s="1"/>
      <c r="O23" s="1">
        <f>(4.18*1.1594)*(80-30)</f>
        <v>242.31460000000001</v>
      </c>
      <c r="P23" s="1">
        <f t="shared" ref="P23:P26" si="5">O23/3600</f>
        <v>6.7309611111111112E-2</v>
      </c>
      <c r="Q23" s="1">
        <f>15/60</f>
        <v>0.25</v>
      </c>
      <c r="R23" s="1"/>
      <c r="S23" s="1"/>
      <c r="T23" s="1">
        <f t="shared" ref="T23:T26" si="6">P23*Q23*0.17</f>
        <v>2.8606584722222226E-3</v>
      </c>
      <c r="U23" s="1"/>
      <c r="V23" s="1"/>
    </row>
    <row r="24" spans="1:22" x14ac:dyDescent="0.25">
      <c r="A24" s="1" t="s">
        <v>82</v>
      </c>
      <c r="B24" s="1">
        <f>VLOOKUP(A24,'feuille de base Mars 2016'!B:C,2,FALSE)</f>
        <v>50.86524</v>
      </c>
      <c r="C24" s="1">
        <f>VLOOKUP(A24,'feuille de base Mars 2016'!B:I,8,FALSE)</f>
        <v>0</v>
      </c>
      <c r="D24" s="1">
        <f t="shared" si="4"/>
        <v>0</v>
      </c>
      <c r="E24" s="1">
        <f t="shared" si="3"/>
        <v>0</v>
      </c>
      <c r="F24" s="1">
        <v>68.8</v>
      </c>
      <c r="G24" s="1">
        <v>413</v>
      </c>
      <c r="H24" s="1"/>
      <c r="I24" s="1">
        <v>0.16</v>
      </c>
      <c r="J24" s="1"/>
      <c r="K24" s="1"/>
      <c r="L24" s="1"/>
      <c r="M24" s="1"/>
      <c r="N24" s="1"/>
      <c r="O24" s="1">
        <f>(413*4.18*(98-30))</f>
        <v>117391.12</v>
      </c>
      <c r="P24" s="1">
        <f t="shared" si="5"/>
        <v>32.608644444444444</v>
      </c>
      <c r="Q24" s="1">
        <f>15/60</f>
        <v>0.25</v>
      </c>
      <c r="R24" s="1"/>
      <c r="S24" s="1"/>
      <c r="T24" s="1">
        <f t="shared" si="6"/>
        <v>1.3858673888888891</v>
      </c>
      <c r="U24" s="1"/>
      <c r="V24" s="1"/>
    </row>
    <row r="25" spans="1:22" x14ac:dyDescent="0.25">
      <c r="A25" s="1" t="s">
        <v>83</v>
      </c>
      <c r="B25" s="1">
        <f>VLOOKUP(A25,'feuille de base Mars 2016'!B:C,2,FALSE)</f>
        <v>56.493000000000002</v>
      </c>
      <c r="C25" s="1">
        <f>VLOOKUP(A25,'feuille de base Mars 2016'!B:I,8,FALSE)</f>
        <v>0</v>
      </c>
      <c r="D25" s="1">
        <f t="shared" si="4"/>
        <v>0</v>
      </c>
      <c r="E25" s="1">
        <f t="shared" si="3"/>
        <v>0</v>
      </c>
      <c r="F25" s="1">
        <v>68.8</v>
      </c>
      <c r="G25" s="1">
        <v>413</v>
      </c>
      <c r="H25" s="1"/>
      <c r="I25" s="1"/>
      <c r="J25" s="1"/>
      <c r="K25" s="1"/>
      <c r="L25" s="1"/>
      <c r="M25" s="1"/>
      <c r="N25" s="1"/>
      <c r="O25" s="28">
        <f>(4.18*413*(98-80))</f>
        <v>31074.12</v>
      </c>
      <c r="P25" s="1">
        <f t="shared" si="5"/>
        <v>8.6317000000000004</v>
      </c>
      <c r="Q25" s="1">
        <f>75/60</f>
        <v>1.25</v>
      </c>
      <c r="R25" s="1"/>
      <c r="S25" s="1"/>
      <c r="T25" s="1">
        <f t="shared" si="6"/>
        <v>1.8342362500000002</v>
      </c>
      <c r="U25" s="1"/>
      <c r="V25" s="1"/>
    </row>
    <row r="26" spans="1:22" x14ac:dyDescent="0.25">
      <c r="A26" s="1" t="s">
        <v>84</v>
      </c>
      <c r="B26" s="1">
        <f>VLOOKUP(A26,'feuille de base Mars 2016'!B:C,2,FALSE)</f>
        <v>56.83</v>
      </c>
      <c r="C26" s="1">
        <f>VLOOKUP(A26,'feuille de base Mars 2016'!B:I,8,FALSE)</f>
        <v>0</v>
      </c>
      <c r="D26" s="1">
        <f t="shared" si="4"/>
        <v>0</v>
      </c>
      <c r="E26" s="1">
        <f t="shared" si="3"/>
        <v>0</v>
      </c>
      <c r="F26" s="1">
        <v>68.8</v>
      </c>
      <c r="G26" s="1">
        <v>413</v>
      </c>
      <c r="H26" s="1"/>
      <c r="I26" s="1"/>
      <c r="J26" s="1"/>
      <c r="K26" s="1"/>
      <c r="L26" s="1"/>
      <c r="M26" s="1"/>
      <c r="N26" s="1"/>
      <c r="O26" s="1">
        <f>(413*4.18*(35-20)*2)</f>
        <v>51790.2</v>
      </c>
      <c r="P26" s="1">
        <f t="shared" si="5"/>
        <v>14.386166666666666</v>
      </c>
      <c r="Q26" s="1">
        <f>20/60</f>
        <v>0.33333333333333331</v>
      </c>
      <c r="R26" s="1"/>
      <c r="S26" s="1"/>
      <c r="T26" s="1">
        <f t="shared" si="6"/>
        <v>0.81521611111111114</v>
      </c>
      <c r="U26" s="1"/>
      <c r="V26" s="1"/>
    </row>
    <row r="27" spans="1:22" x14ac:dyDescent="0.25">
      <c r="A27" s="1" t="s">
        <v>85</v>
      </c>
      <c r="B27" s="1">
        <f>VLOOKUP(A27,'feuille de base Mars 2016'!B:C,2,FALSE)</f>
        <v>33.15</v>
      </c>
      <c r="C27" s="1">
        <f>VLOOKUP(A27,'feuille de base Mars 2016'!B:I,8,FALSE)</f>
        <v>0</v>
      </c>
      <c r="D27" s="1">
        <f t="shared" si="4"/>
        <v>0</v>
      </c>
      <c r="E27" s="1">
        <f t="shared" si="3"/>
        <v>0</v>
      </c>
      <c r="F27" s="1">
        <v>68.8</v>
      </c>
      <c r="G27" s="1">
        <v>413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" t="s">
        <v>86</v>
      </c>
      <c r="B28" s="1">
        <f>VLOOKUP(A28,'feuille de base Mars 2016'!B:C,2,FALSE)</f>
        <v>42.26</v>
      </c>
      <c r="C28" s="1">
        <f>VLOOKUP(A28,'feuille de base Mars 2016'!B:I,8,FALSE)</f>
        <v>0</v>
      </c>
      <c r="D28" s="1">
        <f t="shared" si="4"/>
        <v>0</v>
      </c>
      <c r="E28" s="1">
        <f t="shared" si="3"/>
        <v>0</v>
      </c>
      <c r="F28" s="1">
        <v>68.8</v>
      </c>
      <c r="G28" s="1">
        <v>413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 t="s">
        <v>87</v>
      </c>
      <c r="B29" s="1">
        <f>VLOOKUP(A29,'feuille de base Mars 2016'!B:C,2,FALSE)</f>
        <v>51.12</v>
      </c>
      <c r="C29" s="1">
        <f>VLOOKUP(A29,'feuille de base Mars 2016'!B:I,8,FALSE)</f>
        <v>0</v>
      </c>
      <c r="D29" s="1">
        <f t="shared" si="4"/>
        <v>0</v>
      </c>
      <c r="E29" s="1">
        <f t="shared" si="3"/>
        <v>0</v>
      </c>
      <c r="F29" s="1">
        <v>68.8</v>
      </c>
      <c r="G29" s="1">
        <v>413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 t="s">
        <v>88</v>
      </c>
      <c r="B30" s="1">
        <f>VLOOKUP(A30,'feuille de base Mars 2016'!B:C,2,FALSE)</f>
        <v>0</v>
      </c>
      <c r="C30" s="1">
        <f>VLOOKUP(A30,'feuille de base Mars 2016'!B:I,8,FALSE)</f>
        <v>0</v>
      </c>
      <c r="D30" s="1">
        <f t="shared" si="4"/>
        <v>0</v>
      </c>
      <c r="E30" s="1">
        <f t="shared" si="3"/>
        <v>0</v>
      </c>
      <c r="F30" s="1">
        <v>68.8</v>
      </c>
      <c r="G30" s="1">
        <v>413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 t="s">
        <v>89</v>
      </c>
      <c r="B31" s="1">
        <f>VLOOKUP(A31,'feuille de base Mars 2016'!B:C,2,FALSE)</f>
        <v>39.799999999999997</v>
      </c>
      <c r="C31" s="1">
        <f>VLOOKUP(A31,'feuille de base Mars 2016'!B:I,8,FALSE)</f>
        <v>0</v>
      </c>
      <c r="D31" s="1">
        <f t="shared" si="4"/>
        <v>0</v>
      </c>
      <c r="E31" s="1">
        <f t="shared" si="3"/>
        <v>0</v>
      </c>
      <c r="F31" s="1">
        <v>68.8</v>
      </c>
      <c r="G31" s="1">
        <v>413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 t="s">
        <v>90</v>
      </c>
      <c r="B32" s="1">
        <f>VLOOKUP(A32,'feuille de base Mars 2016'!B:C,2,FALSE)</f>
        <v>37.43</v>
      </c>
      <c r="C32" s="1">
        <f>VLOOKUP(A32,'feuille de base Mars 2016'!B:I,8,FALSE)</f>
        <v>0</v>
      </c>
      <c r="D32" s="1">
        <f t="shared" si="4"/>
        <v>0</v>
      </c>
      <c r="E32" s="1">
        <f t="shared" si="3"/>
        <v>0</v>
      </c>
      <c r="F32" s="1">
        <v>68.8</v>
      </c>
      <c r="G32" s="1">
        <v>413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 t="s">
        <v>91</v>
      </c>
      <c r="B33" s="1">
        <f>VLOOKUP(A33,'feuille de base Mars 2016'!B:C,2,FALSE)</f>
        <v>43.412580000000005</v>
      </c>
      <c r="C33" s="1">
        <f>VLOOKUP(A33,'feuille de base Mars 2016'!B:I,8,FALSE)</f>
        <v>0</v>
      </c>
      <c r="D33" s="1">
        <f t="shared" si="4"/>
        <v>0</v>
      </c>
      <c r="E33" s="1">
        <f t="shared" si="3"/>
        <v>0</v>
      </c>
      <c r="F33" s="1">
        <v>68.8</v>
      </c>
      <c r="G33" s="1">
        <v>413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 t="s">
        <v>92</v>
      </c>
      <c r="B34" s="1">
        <f>VLOOKUP(A34,'feuille de base Mars 2016'!B:C,2,FALSE)</f>
        <v>60.57</v>
      </c>
      <c r="C34" s="1">
        <f>VLOOKUP(A34,'feuille de base Mars 2016'!B:I,8,FALSE)</f>
        <v>0</v>
      </c>
      <c r="D34" s="1">
        <f t="shared" si="4"/>
        <v>0</v>
      </c>
      <c r="E34" s="1">
        <f t="shared" si="3"/>
        <v>0</v>
      </c>
      <c r="F34" s="1">
        <v>68.8</v>
      </c>
      <c r="G34" s="1">
        <v>413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 t="s">
        <v>93</v>
      </c>
      <c r="B35" s="1">
        <f>VLOOKUP(A35,'feuille de base Mars 2016'!B:C,2,FALSE)</f>
        <v>63.36</v>
      </c>
      <c r="C35" s="1">
        <f>VLOOKUP(A35,'feuille de base Mars 2016'!B:I,8,FALSE)</f>
        <v>0</v>
      </c>
      <c r="D35" s="1">
        <f t="shared" si="4"/>
        <v>0</v>
      </c>
      <c r="E35" s="1">
        <f t="shared" si="3"/>
        <v>0</v>
      </c>
      <c r="F35" s="1">
        <v>68.8</v>
      </c>
      <c r="G35" s="1">
        <v>413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 t="s">
        <v>94</v>
      </c>
      <c r="B36" s="1">
        <f>VLOOKUP(A36,'feuille de base Mars 2016'!B:C,2,FALSE)</f>
        <v>31.45</v>
      </c>
      <c r="C36" s="1">
        <f>VLOOKUP(A36,'feuille de base Mars 2016'!B:I,8,FALSE)</f>
        <v>0</v>
      </c>
      <c r="D36" s="1">
        <f t="shared" si="4"/>
        <v>0</v>
      </c>
      <c r="E36" s="1">
        <f t="shared" si="3"/>
        <v>0</v>
      </c>
      <c r="F36" s="1">
        <v>68.8</v>
      </c>
      <c r="G36" s="1">
        <v>413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 t="s">
        <v>95</v>
      </c>
      <c r="B37" s="1">
        <f>VLOOKUP(A37,'feuille de base Mars 2016'!B:C,2,FALSE)</f>
        <v>66.45</v>
      </c>
      <c r="C37" s="1">
        <f>VLOOKUP(A37,'feuille de base Mars 2016'!B:I,8,FALSE)</f>
        <v>0</v>
      </c>
      <c r="D37" s="1">
        <f>(C37*F37)*1000</f>
        <v>0</v>
      </c>
      <c r="E37" s="1">
        <f>(D37/1000)*B37</f>
        <v>0</v>
      </c>
      <c r="F37" s="1">
        <v>68.8</v>
      </c>
      <c r="G37" s="1">
        <v>413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 t="s">
        <v>96</v>
      </c>
      <c r="B38" s="1">
        <f>VLOOKUP(A38,'feuille de base Mars 2016'!B:C,2,FALSE)</f>
        <v>40.816960000000002</v>
      </c>
      <c r="C38" s="1">
        <f>VLOOKUP(A38,'feuille de base Mars 2016'!B:I,8,FALSE)</f>
        <v>9.2299999999999999E-4</v>
      </c>
      <c r="D38" s="1">
        <f t="shared" si="4"/>
        <v>63.502400000000002</v>
      </c>
      <c r="E38" s="1">
        <f t="shared" ref="E38:E48" si="7">(D38/1000)*B38</f>
        <v>2.5919749207040002</v>
      </c>
      <c r="F38" s="1">
        <v>68.8</v>
      </c>
      <c r="G38" s="1">
        <v>413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 t="s">
        <v>97</v>
      </c>
      <c r="B39" s="1">
        <f>VLOOKUP(A39,'feuille de base Mars 2016'!B:C,2,FALSE)</f>
        <v>12.81</v>
      </c>
      <c r="C39" s="1">
        <f>VLOOKUP(A39,'feuille de base Mars 2016'!B:I,8,FALSE)</f>
        <v>0</v>
      </c>
      <c r="D39" s="1">
        <f t="shared" si="4"/>
        <v>0</v>
      </c>
      <c r="E39" s="1">
        <f t="shared" si="7"/>
        <v>0</v>
      </c>
      <c r="F39" s="1">
        <v>68.8</v>
      </c>
      <c r="G39" s="1">
        <v>413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 t="s">
        <v>98</v>
      </c>
      <c r="B40" s="1">
        <f>VLOOKUP(A40,'feuille de base Mars 2016'!B:C,2,FALSE)</f>
        <v>17.68</v>
      </c>
      <c r="C40" s="1">
        <f>VLOOKUP(A40,'feuille de base Mars 2016'!B:I,8,FALSE)</f>
        <v>0</v>
      </c>
      <c r="D40" s="1">
        <f t="shared" si="4"/>
        <v>0</v>
      </c>
      <c r="E40" s="1">
        <f t="shared" si="7"/>
        <v>0</v>
      </c>
      <c r="F40" s="1">
        <v>68.8</v>
      </c>
      <c r="G40" s="1">
        <v>413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 t="s">
        <v>99</v>
      </c>
      <c r="B41" s="1">
        <f>VLOOKUP(A41,'feuille de base Mars 2016'!B:C,2,FALSE)</f>
        <v>23.4</v>
      </c>
      <c r="C41" s="1">
        <f>VLOOKUP(A41,'feuille de base Mars 2016'!B:I,8,FALSE)</f>
        <v>0</v>
      </c>
      <c r="D41" s="1">
        <f t="shared" si="4"/>
        <v>0</v>
      </c>
      <c r="E41" s="1">
        <f t="shared" si="7"/>
        <v>0</v>
      </c>
      <c r="F41" s="1">
        <v>68.8</v>
      </c>
      <c r="G41" s="1">
        <v>413</v>
      </c>
      <c r="H41" s="1"/>
      <c r="I41" s="1"/>
      <c r="J41" s="1"/>
      <c r="K41" s="1"/>
      <c r="L41" s="1"/>
      <c r="M41" s="1"/>
      <c r="N41" s="1"/>
      <c r="O41" s="1">
        <v>0</v>
      </c>
      <c r="P41" s="1"/>
      <c r="Q41" s="1"/>
      <c r="R41" s="1"/>
      <c r="S41" s="1"/>
      <c r="T41" s="1"/>
      <c r="U41" s="1"/>
      <c r="V41" s="1"/>
    </row>
    <row r="42" spans="1:22" x14ac:dyDescent="0.25">
      <c r="A42" s="1" t="s">
        <v>100</v>
      </c>
      <c r="B42" s="1">
        <f>VLOOKUP(A42,'feuille de base Mars 2016'!B:C,2,FALSE)</f>
        <v>44.8</v>
      </c>
      <c r="C42" s="1">
        <f>VLOOKUP(A42,'feuille de base Mars 2016'!B:I,8,FALSE)</f>
        <v>0</v>
      </c>
      <c r="D42" s="1">
        <f t="shared" si="4"/>
        <v>0</v>
      </c>
      <c r="E42" s="1">
        <f t="shared" si="7"/>
        <v>0</v>
      </c>
      <c r="F42" s="1">
        <v>68.8</v>
      </c>
      <c r="G42" s="1">
        <v>413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" t="s">
        <v>101</v>
      </c>
      <c r="B43" s="1">
        <f>VLOOKUP(A43,'feuille de base Mars 2016'!B:C,2,FALSE)</f>
        <v>21.65</v>
      </c>
      <c r="C43" s="1">
        <f>VLOOKUP(A43,'feuille de base Mars 2016'!B:I,8,FALSE)</f>
        <v>0</v>
      </c>
      <c r="D43" s="1">
        <f t="shared" si="4"/>
        <v>0</v>
      </c>
      <c r="E43" s="1">
        <f t="shared" si="7"/>
        <v>0</v>
      </c>
      <c r="F43" s="1">
        <v>68.8</v>
      </c>
      <c r="G43" s="1">
        <v>413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 t="s">
        <v>102</v>
      </c>
      <c r="B44" s="1">
        <f>VLOOKUP(A44,'feuille de base Mars 2016'!B:C,2,FALSE)</f>
        <v>13.87</v>
      </c>
      <c r="C44" s="1">
        <f>VLOOKUP(A44,'feuille de base Mars 2016'!B:I,8,FALSE)</f>
        <v>0</v>
      </c>
      <c r="D44" s="1">
        <f t="shared" si="4"/>
        <v>0</v>
      </c>
      <c r="E44" s="1">
        <f t="shared" si="7"/>
        <v>0</v>
      </c>
      <c r="F44" s="1">
        <v>68.8</v>
      </c>
      <c r="G44" s="1">
        <v>413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 t="s">
        <v>103</v>
      </c>
      <c r="B45" s="1">
        <f>VLOOKUP(A45,'feuille de base Mars 2016'!B:C,2,FALSE)</f>
        <v>37.229880000000009</v>
      </c>
      <c r="C45" s="1">
        <f>VLOOKUP(A45,'feuille de base Mars 2016'!B:I,8,FALSE)</f>
        <v>2.0000000000000001E-4</v>
      </c>
      <c r="D45" s="1">
        <f t="shared" si="4"/>
        <v>13.76</v>
      </c>
      <c r="E45" s="1">
        <f t="shared" si="7"/>
        <v>0.51228314880000014</v>
      </c>
      <c r="F45" s="1">
        <v>68.8</v>
      </c>
      <c r="G45" s="1">
        <v>413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 t="s">
        <v>104</v>
      </c>
      <c r="B46" s="1">
        <f>VLOOKUP(A46,'feuille de base Mars 2016'!B:C,2,FALSE)</f>
        <v>36.799999999999997</v>
      </c>
      <c r="C46" s="1">
        <f>VLOOKUP(A46,'feuille de base Mars 2016'!B:I,8,FALSE)</f>
        <v>0</v>
      </c>
      <c r="D46" s="1">
        <f t="shared" si="4"/>
        <v>0</v>
      </c>
      <c r="E46" s="1">
        <f t="shared" si="7"/>
        <v>0</v>
      </c>
      <c r="F46" s="1">
        <v>68.8</v>
      </c>
      <c r="G46" s="1">
        <v>413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 t="s">
        <v>105</v>
      </c>
      <c r="B47" s="1">
        <f>VLOOKUP(A47,'feuille de base Mars 2016'!B:C,2,FALSE)</f>
        <v>12.922400000000001</v>
      </c>
      <c r="C47" s="1">
        <f>VLOOKUP(A47,'feuille de base Mars 2016'!B:I,8,FALSE)</f>
        <v>0</v>
      </c>
      <c r="D47" s="1">
        <f t="shared" si="4"/>
        <v>0</v>
      </c>
      <c r="E47" s="1">
        <f t="shared" si="7"/>
        <v>0</v>
      </c>
      <c r="F47" s="1">
        <v>68.8</v>
      </c>
      <c r="G47" s="1">
        <v>413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 t="s">
        <v>106</v>
      </c>
      <c r="B48" s="1">
        <f>VLOOKUP(A48,'feuille de base Mars 2016'!B:C,2,FALSE)</f>
        <v>13.5</v>
      </c>
      <c r="C48" s="1">
        <f>VLOOKUP(A48,'feuille de base Mars 2016'!B:I,8,FALSE)</f>
        <v>0</v>
      </c>
      <c r="D48" s="1">
        <f t="shared" si="4"/>
        <v>0</v>
      </c>
      <c r="E48" s="1">
        <f t="shared" si="7"/>
        <v>0</v>
      </c>
      <c r="F48" s="1">
        <v>68.8</v>
      </c>
      <c r="G48" s="1">
        <v>413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 t="s">
        <v>107</v>
      </c>
      <c r="B49" s="1">
        <f>VLOOKUP(A49,'feuille de base Mars 2016'!B:C,2,FALSE)</f>
        <v>36.650600000000004</v>
      </c>
      <c r="C49" s="1">
        <f>VLOOKUP(A49,'feuille de base Mars 2016'!B:I,8,FALSE)</f>
        <v>0</v>
      </c>
      <c r="D49" s="1">
        <f>(C49*F49)*1000</f>
        <v>0</v>
      </c>
      <c r="E49" s="1">
        <f>(D49/1000)*B49</f>
        <v>0</v>
      </c>
      <c r="F49" s="1">
        <v>68.8</v>
      </c>
      <c r="G49" s="1">
        <v>413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" t="s">
        <v>108</v>
      </c>
      <c r="B50" s="1">
        <f>VLOOKUP(A50,'feuille de base Mars 2016'!B:C,2,FALSE)</f>
        <v>13.145200000000003</v>
      </c>
      <c r="C50" s="1">
        <f>VLOOKUP(A50,'feuille de base Mars 2016'!B:I,8,FALSE)</f>
        <v>0</v>
      </c>
      <c r="D50" s="1">
        <f t="shared" si="4"/>
        <v>0</v>
      </c>
      <c r="E50" s="1">
        <f t="shared" ref="E50:E72" si="8">(D50/1000)*B50</f>
        <v>0</v>
      </c>
      <c r="F50" s="1">
        <v>68.8</v>
      </c>
      <c r="G50" s="1">
        <v>413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 t="s">
        <v>109</v>
      </c>
      <c r="B51" s="1">
        <f>VLOOKUP(A51,'feuille de base Mars 2016'!B:C,2,FALSE)</f>
        <v>88.006000000000014</v>
      </c>
      <c r="C51" s="1">
        <f>VLOOKUP(A51,'feuille de base Mars 2016'!B:I,8,FALSE)</f>
        <v>0</v>
      </c>
      <c r="D51" s="1">
        <f t="shared" si="4"/>
        <v>0</v>
      </c>
      <c r="E51" s="1">
        <f t="shared" si="8"/>
        <v>0</v>
      </c>
      <c r="F51" s="1">
        <v>68.8</v>
      </c>
      <c r="G51" s="1">
        <v>413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 t="s">
        <v>110</v>
      </c>
      <c r="B52" s="1">
        <f>VLOOKUP(A52,'feuille de base Mars 2016'!B:C,2,FALSE)</f>
        <v>64.849999999999994</v>
      </c>
      <c r="C52" s="1">
        <f>VLOOKUP(A52,'feuille de base Mars 2016'!B:I,8,FALSE)</f>
        <v>0</v>
      </c>
      <c r="D52" s="1">
        <f t="shared" si="4"/>
        <v>0</v>
      </c>
      <c r="E52" s="1">
        <f t="shared" si="8"/>
        <v>0</v>
      </c>
      <c r="F52" s="1">
        <v>68.8</v>
      </c>
      <c r="G52" s="1">
        <v>413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 t="s">
        <v>111</v>
      </c>
      <c r="B53" s="1">
        <f>VLOOKUP(A53,'feuille de base Mars 2016'!B:C,2,FALSE)</f>
        <v>37.096200000000003</v>
      </c>
      <c r="C53" s="1">
        <f>VLOOKUP(A53,'feuille de base Mars 2016'!B:I,8,FALSE)</f>
        <v>0</v>
      </c>
      <c r="D53" s="1">
        <f>(C53*F53)*1000</f>
        <v>0</v>
      </c>
      <c r="E53" s="1">
        <f t="shared" si="8"/>
        <v>0</v>
      </c>
      <c r="F53" s="1">
        <v>68.8</v>
      </c>
      <c r="G53" s="1">
        <v>413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 t="s">
        <v>112</v>
      </c>
      <c r="B54" s="1">
        <f>VLOOKUP(A54,'feuille de base Mars 2016'!B:C,2,FALSE)</f>
        <v>80.631320000000002</v>
      </c>
      <c r="C54" s="1">
        <f>VLOOKUP(A54,'feuille de base Mars 2016'!B:I,8,FALSE)</f>
        <v>0</v>
      </c>
      <c r="D54" s="1">
        <f t="shared" si="4"/>
        <v>0</v>
      </c>
      <c r="E54" s="1">
        <f t="shared" si="8"/>
        <v>0</v>
      </c>
      <c r="F54" s="1">
        <v>68.8</v>
      </c>
      <c r="G54" s="1">
        <v>413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 t="s">
        <v>113</v>
      </c>
      <c r="B55" s="1">
        <f>VLOOKUP(A55,'feuille de base Mars 2016'!B:C,2,FALSE)</f>
        <v>48.3476</v>
      </c>
      <c r="C55" s="1">
        <f>VLOOKUP(A55,'feuille de base Mars 2016'!B:I,8,FALSE)</f>
        <v>1.25E-4</v>
      </c>
      <c r="D55" s="1">
        <f t="shared" si="4"/>
        <v>8.6</v>
      </c>
      <c r="E55" s="1">
        <f t="shared" si="8"/>
        <v>0.41578936</v>
      </c>
      <c r="F55" s="1">
        <v>68.8</v>
      </c>
      <c r="G55" s="1">
        <v>413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" t="s">
        <v>114</v>
      </c>
      <c r="B56" s="1">
        <f>VLOOKUP(A56,'feuille de base Mars 2016'!B:C,2,FALSE)</f>
        <v>29.98</v>
      </c>
      <c r="C56" s="1">
        <f>VLOOKUP(A56,'feuille de base Mars 2016'!B:I,8,FALSE)</f>
        <v>0</v>
      </c>
      <c r="D56" s="1">
        <f t="shared" si="4"/>
        <v>0</v>
      </c>
      <c r="E56" s="1">
        <f t="shared" si="8"/>
        <v>0</v>
      </c>
      <c r="F56" s="1">
        <v>68.8</v>
      </c>
      <c r="G56" s="1">
        <v>413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 t="s">
        <v>115</v>
      </c>
      <c r="B57" s="1">
        <f>VLOOKUP(A57,'feuille de base Mars 2016'!B:C,2,FALSE)</f>
        <v>40.200000000000003</v>
      </c>
      <c r="C57" s="1">
        <f>VLOOKUP(A57,'feuille de base Mars 2016'!B:I,8,FALSE)</f>
        <v>0</v>
      </c>
      <c r="D57" s="1">
        <f t="shared" si="4"/>
        <v>0</v>
      </c>
      <c r="E57" s="1">
        <f t="shared" si="8"/>
        <v>0</v>
      </c>
      <c r="F57" s="1">
        <v>68.8</v>
      </c>
      <c r="G57" s="1">
        <v>413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 t="s">
        <v>116</v>
      </c>
      <c r="B58" s="1">
        <f>VLOOKUP(A58,'feuille de base Mars 2016'!B:C,2,FALSE)</f>
        <v>10.026000000000002</v>
      </c>
      <c r="C58" s="1">
        <f>VLOOKUP(A58,'feuille de base Mars 2016'!B:I,8,FALSE)</f>
        <v>0</v>
      </c>
      <c r="D58" s="1">
        <f t="shared" si="4"/>
        <v>0</v>
      </c>
      <c r="E58" s="1">
        <f t="shared" si="8"/>
        <v>0</v>
      </c>
      <c r="F58" s="1">
        <v>68.8</v>
      </c>
      <c r="G58" s="1">
        <v>413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 t="s">
        <v>117</v>
      </c>
      <c r="B59" s="1">
        <f>VLOOKUP(A59,'feuille de base Mars 2016'!B:C,2,FALSE)</f>
        <v>19.66</v>
      </c>
      <c r="C59" s="1">
        <f>VLOOKUP(A59,'feuille de base Mars 2016'!B:I,8,FALSE)</f>
        <v>0</v>
      </c>
      <c r="D59" s="1">
        <f t="shared" si="4"/>
        <v>0</v>
      </c>
      <c r="E59" s="1">
        <f t="shared" si="8"/>
        <v>0</v>
      </c>
      <c r="F59" s="1">
        <v>68.8</v>
      </c>
      <c r="G59" s="1">
        <v>413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 t="s">
        <v>118</v>
      </c>
      <c r="B60" s="1">
        <f>VLOOKUP(A60,'feuille de base Mars 2016'!B:C,2,FALSE)</f>
        <v>35.22</v>
      </c>
      <c r="C60" s="1">
        <f>VLOOKUP(A60,'feuille de base Mars 2016'!B:I,8,FALSE)</f>
        <v>0</v>
      </c>
      <c r="D60" s="1">
        <f t="shared" si="4"/>
        <v>0</v>
      </c>
      <c r="E60" s="1">
        <f t="shared" si="8"/>
        <v>0</v>
      </c>
      <c r="F60" s="1">
        <v>68.8</v>
      </c>
      <c r="G60" s="1">
        <v>413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28" t="s">
        <v>119</v>
      </c>
      <c r="B61" s="1">
        <f>VLOOKUP(A61,'feuille de base Mars 2016'!B:C,2,FALSE)</f>
        <v>1.45</v>
      </c>
      <c r="C61" s="1">
        <f>VLOOKUP(A61,'feuille de base Mars 2016'!B:I,8,FALSE)</f>
        <v>2</v>
      </c>
      <c r="D61" s="1">
        <f>(C61*G61)</f>
        <v>826</v>
      </c>
      <c r="E61" s="1">
        <f>(D61/1000)*B61</f>
        <v>1.1977</v>
      </c>
      <c r="F61" s="1">
        <v>68.8</v>
      </c>
      <c r="G61" s="1">
        <v>413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28" t="s">
        <v>120</v>
      </c>
      <c r="B62" s="1">
        <f>VLOOKUP(A62,'feuille de base Mars 2016'!B:C,2,FALSE)</f>
        <v>7.798</v>
      </c>
      <c r="C62" s="1">
        <f>VLOOKUP(A62,'feuille de base Mars 2016'!B:I,8,FALSE)</f>
        <v>1.4999999999999999E-2</v>
      </c>
      <c r="D62" s="1">
        <f>(C62*F62)*1000</f>
        <v>1032</v>
      </c>
      <c r="E62" s="1">
        <f t="shared" si="8"/>
        <v>8.0475360000000009</v>
      </c>
      <c r="F62" s="1">
        <v>68.8</v>
      </c>
      <c r="G62" s="1">
        <v>413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28" t="s">
        <v>121</v>
      </c>
      <c r="B63" s="1">
        <f>VLOOKUP(A63,'feuille de base Mars 2016'!B:C,2,FALSE)</f>
        <v>8.3550000000000004</v>
      </c>
      <c r="C63" s="1">
        <f>VLOOKUP(A63,'feuille de base Mars 2016'!B:I,8,FALSE)</f>
        <v>1.4999999999999999E-2</v>
      </c>
      <c r="D63" s="1">
        <f>(C63*F63)*1000</f>
        <v>1032</v>
      </c>
      <c r="E63" s="1">
        <f t="shared" si="8"/>
        <v>8.6223600000000005</v>
      </c>
      <c r="F63" s="1">
        <v>68.8</v>
      </c>
      <c r="G63" s="1">
        <v>413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28" t="s">
        <v>122</v>
      </c>
      <c r="B64" s="1">
        <f>VLOOKUP(A64,'feuille de base Mars 2016'!B:C,2,FALSE)</f>
        <v>13.613799999999999</v>
      </c>
      <c r="C64" s="1">
        <f>VLOOKUP(A64,'feuille de base Mars 2016'!B:I,8,FALSE)</f>
        <v>0</v>
      </c>
      <c r="D64" s="1">
        <f t="shared" ref="D64:D72" si="9">(C64*G64)</f>
        <v>0</v>
      </c>
      <c r="E64" s="1">
        <f t="shared" si="8"/>
        <v>0</v>
      </c>
      <c r="F64" s="1">
        <v>68.8</v>
      </c>
      <c r="G64" s="1">
        <v>413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28" t="s">
        <v>123</v>
      </c>
      <c r="B65" s="1">
        <f>VLOOKUP(A65,'feuille de base Mars 2016'!B:C,2,FALSE)</f>
        <v>8.02</v>
      </c>
      <c r="C65" s="1">
        <f>VLOOKUP(A65,'feuille de base Mars 2016'!B:I,8,FALSE)</f>
        <v>0.5</v>
      </c>
      <c r="D65" s="1">
        <f>(C65*G65)</f>
        <v>206.5</v>
      </c>
      <c r="E65" s="1">
        <f t="shared" si="8"/>
        <v>1.6561299999999999</v>
      </c>
      <c r="F65" s="1">
        <v>68.8</v>
      </c>
      <c r="G65" s="1">
        <v>413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28" t="s">
        <v>126</v>
      </c>
      <c r="B66" s="1">
        <f>VLOOKUP(A66,'feuille de base Mars 2016'!B:C,2,FALSE)</f>
        <v>0.77</v>
      </c>
      <c r="C66" s="1">
        <f>VLOOKUP(A66,'feuille de base Mars 2016'!B:I,8,FALSE)</f>
        <v>0</v>
      </c>
      <c r="D66" s="1"/>
      <c r="E66" s="1"/>
      <c r="F66" s="1">
        <v>68.8</v>
      </c>
      <c r="G66" s="1">
        <v>413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28" t="s">
        <v>124</v>
      </c>
      <c r="B67" s="1">
        <f>VLOOKUP(A67,'feuille de base Mars 2016'!B:C,2,FALSE)</f>
        <v>1.45</v>
      </c>
      <c r="C67" s="1">
        <f>VLOOKUP(A67,'feuille de base Mars 2016'!B:I,8,FALSE)</f>
        <v>0</v>
      </c>
      <c r="D67" s="1">
        <f t="shared" si="9"/>
        <v>0</v>
      </c>
      <c r="E67" s="1">
        <f t="shared" si="8"/>
        <v>0</v>
      </c>
      <c r="F67" s="1">
        <v>68.8</v>
      </c>
      <c r="G67" s="1">
        <v>413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28" t="s">
        <v>125</v>
      </c>
      <c r="B68" s="1">
        <f>VLOOKUP(A68,'feuille de base Mars 2016'!B:C,2,FALSE)</f>
        <v>3.2519999999999998</v>
      </c>
      <c r="C68" s="1">
        <f>VLOOKUP(A68,'feuille de base Mars 2016'!B:I,8,FALSE)</f>
        <v>0</v>
      </c>
      <c r="D68" s="1">
        <f>(C68*F68)*1000</f>
        <v>0</v>
      </c>
      <c r="E68" s="1">
        <f>(D68/1000)*B68</f>
        <v>0</v>
      </c>
      <c r="F68" s="1">
        <v>68.8</v>
      </c>
      <c r="G68" s="1">
        <v>413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28" t="s">
        <v>127</v>
      </c>
      <c r="B69" s="1">
        <f>VLOOKUP(A69,'feuille de base Mars 2016'!B:C,2,FALSE)</f>
        <v>1.4</v>
      </c>
      <c r="C69" s="1">
        <f>VLOOKUP(A69,'feuille de base Mars 2016'!B:I,8,FALSE)</f>
        <v>0</v>
      </c>
      <c r="D69" s="1">
        <f t="shared" si="9"/>
        <v>0</v>
      </c>
      <c r="E69" s="1">
        <f t="shared" si="8"/>
        <v>0</v>
      </c>
      <c r="F69" s="1">
        <v>68.8</v>
      </c>
      <c r="G69" s="1">
        <v>413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28" t="s">
        <v>134</v>
      </c>
      <c r="B70" s="1">
        <f>VLOOKUP(A70,'feuille de base Mars 2016'!B:C,2,FALSE)</f>
        <v>7.35</v>
      </c>
      <c r="C70" s="1">
        <f>VLOOKUP(A70,'feuille de base Mars 2016'!B:I,8,FALSE)</f>
        <v>0</v>
      </c>
      <c r="D70" s="1">
        <f t="shared" si="9"/>
        <v>0</v>
      </c>
      <c r="E70" s="1">
        <f t="shared" si="8"/>
        <v>0</v>
      </c>
      <c r="F70" s="1">
        <v>68.8</v>
      </c>
      <c r="G70" s="1">
        <v>413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28" t="s">
        <v>135</v>
      </c>
      <c r="B71" s="1">
        <f>VLOOKUP(A71,'feuille de base Mars 2016'!B:C,2,FALSE)</f>
        <v>4.2332000000000001</v>
      </c>
      <c r="C71" s="1">
        <f>VLOOKUP(A71,'feuille de base Mars 2016'!B:I,8,FALSE)</f>
        <v>2</v>
      </c>
      <c r="D71" s="1">
        <f t="shared" si="9"/>
        <v>826</v>
      </c>
      <c r="E71" s="1">
        <f t="shared" si="8"/>
        <v>3.4966231999999997</v>
      </c>
      <c r="F71" s="1">
        <v>68.8</v>
      </c>
      <c r="G71" s="1">
        <v>413</v>
      </c>
      <c r="H71" s="1"/>
      <c r="I71" s="1"/>
      <c r="J71" s="1"/>
      <c r="K71" s="1"/>
      <c r="L71" s="1"/>
      <c r="M71" s="1"/>
      <c r="N71" s="1"/>
      <c r="O71" s="28">
        <f>SUM(O22:O70)</f>
        <v>217761.15460000001</v>
      </c>
      <c r="P71" s="28">
        <f>O71/3600</f>
        <v>60.489209611111114</v>
      </c>
      <c r="Q71" s="28">
        <f>SUM(Q22:Q24)</f>
        <v>0.75</v>
      </c>
      <c r="R71" s="28"/>
      <c r="S71" s="28"/>
      <c r="T71" s="28">
        <f>SUM(T22:T70)</f>
        <v>4.2419844362500001</v>
      </c>
      <c r="U71" s="1"/>
      <c r="V71" s="1"/>
    </row>
    <row r="72" spans="1:22" x14ac:dyDescent="0.25">
      <c r="A72" s="28" t="s">
        <v>138</v>
      </c>
      <c r="B72" s="1">
        <f>VLOOKUP(A72,'feuille de base Mars 2016'!B:C,2,FALSE)</f>
        <v>6.6412000000000004</v>
      </c>
      <c r="C72" s="1">
        <f>VLOOKUP(A72,'feuille de base Mars 2016'!B:I,8,FALSE)</f>
        <v>0</v>
      </c>
      <c r="D72" s="1">
        <f t="shared" si="9"/>
        <v>0</v>
      </c>
      <c r="E72" s="1">
        <f t="shared" si="8"/>
        <v>0</v>
      </c>
      <c r="F72" s="1">
        <v>68.8</v>
      </c>
      <c r="G72" s="1">
        <v>413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6"/>
      <c r="B73" s="16"/>
      <c r="C73" s="16"/>
      <c r="D73" s="16"/>
      <c r="E73" s="29">
        <f>SUM(E22:E72,T71,L23)</f>
        <v>31.929541065754002</v>
      </c>
      <c r="F73" s="16"/>
      <c r="G73" s="16"/>
      <c r="H73" s="16"/>
      <c r="I73" s="16"/>
      <c r="J73" s="16"/>
      <c r="K73" s="16"/>
      <c r="L73" s="16"/>
      <c r="M73" s="16"/>
      <c r="N73" s="16"/>
    </row>
    <row r="74" spans="1:22" x14ac:dyDescent="0.25">
      <c r="A74" s="16"/>
      <c r="B74" s="16"/>
      <c r="C74" s="16"/>
      <c r="D74" s="16"/>
      <c r="E74" s="29"/>
      <c r="F74" s="16"/>
      <c r="G74" s="16"/>
      <c r="H74" s="16"/>
      <c r="I74" s="16"/>
      <c r="J74" s="16"/>
      <c r="K74" s="16"/>
      <c r="L74" s="16"/>
      <c r="M74" s="16"/>
      <c r="N74" s="16"/>
    </row>
    <row r="75" spans="1:22" x14ac:dyDescent="0.25">
      <c r="A75" s="54" t="s">
        <v>214</v>
      </c>
      <c r="B75" s="54">
        <f>SUM(E73+T71+L22+L23)</f>
        <v>37.772531202004004</v>
      </c>
      <c r="C75" s="16"/>
      <c r="D75" s="16"/>
      <c r="E75" s="29"/>
      <c r="F75" s="16"/>
      <c r="G75" s="16"/>
      <c r="H75" s="16"/>
      <c r="I75" s="16"/>
      <c r="J75" s="16"/>
      <c r="K75" s="16"/>
      <c r="L75" s="16"/>
      <c r="M75" s="16"/>
      <c r="N75" s="16"/>
    </row>
    <row r="76" spans="1:22" x14ac:dyDescent="0.25">
      <c r="A76" s="54"/>
      <c r="B76" s="54"/>
      <c r="C76" s="16"/>
      <c r="D76" s="16"/>
      <c r="E76" s="29"/>
      <c r="F76" s="16"/>
      <c r="G76" s="16"/>
      <c r="H76" s="16"/>
      <c r="I76" s="16"/>
      <c r="J76" s="16"/>
      <c r="K76" s="16"/>
      <c r="L76" s="16"/>
      <c r="M76" s="16"/>
      <c r="N76" s="16"/>
    </row>
    <row r="77" spans="1:22" x14ac:dyDescent="0.25">
      <c r="A77" s="55" t="s">
        <v>196</v>
      </c>
      <c r="B77" s="55">
        <f>SUM(E89+T88+L87)</f>
        <v>45.878124149999998</v>
      </c>
      <c r="C77" s="30"/>
      <c r="D77" s="30"/>
      <c r="E77" s="31"/>
      <c r="F77" s="30"/>
      <c r="G77" s="30"/>
      <c r="H77" s="30"/>
      <c r="I77" s="30"/>
      <c r="J77" s="30"/>
      <c r="K77" s="30"/>
      <c r="L77" s="30"/>
      <c r="M77" s="30"/>
      <c r="N77" s="30"/>
    </row>
    <row r="78" spans="1:22" x14ac:dyDescent="0.25">
      <c r="A78" s="34" t="s">
        <v>152</v>
      </c>
    </row>
    <row r="79" spans="1:22" x14ac:dyDescent="0.25">
      <c r="A79" s="32" t="s">
        <v>183</v>
      </c>
      <c r="B79" s="32"/>
      <c r="C79" s="32" t="s">
        <v>181</v>
      </c>
      <c r="D79" s="32"/>
      <c r="E79" s="32"/>
      <c r="F79" s="32"/>
      <c r="G79" s="32"/>
      <c r="H79" s="32"/>
      <c r="I79" s="32" t="s">
        <v>165</v>
      </c>
      <c r="J79" s="32" t="s">
        <v>180</v>
      </c>
      <c r="K79" s="32" t="s">
        <v>167</v>
      </c>
      <c r="L79" s="32" t="s">
        <v>226</v>
      </c>
      <c r="M79" s="32" t="s">
        <v>226</v>
      </c>
      <c r="N79" s="32" t="s">
        <v>169</v>
      </c>
      <c r="O79" s="32" t="s">
        <v>170</v>
      </c>
      <c r="P79" s="32" t="s">
        <v>171</v>
      </c>
      <c r="Q79" s="32" t="s">
        <v>172</v>
      </c>
      <c r="R79" s="32" t="s">
        <v>173</v>
      </c>
      <c r="S79" s="32" t="s">
        <v>174</v>
      </c>
      <c r="T79" s="32" t="s">
        <v>175</v>
      </c>
      <c r="U79" s="32"/>
      <c r="V79" s="32"/>
    </row>
    <row r="80" spans="1:22" x14ac:dyDescent="0.25">
      <c r="A80" s="26" t="s">
        <v>139</v>
      </c>
      <c r="B80" s="1">
        <f>VLOOKUP(A80,'feuille de base Mars 2016'!B:C,2,FALSE)</f>
        <v>1.4</v>
      </c>
      <c r="C80" s="1">
        <f>VLOOKUP(A80,'feuille de base Mars 2016'!B:I,8,FALSE)</f>
        <v>2</v>
      </c>
      <c r="D80" s="1">
        <f>(C80*G80)</f>
        <v>826</v>
      </c>
      <c r="E80" s="1">
        <f t="shared" ref="E80:E87" si="10">(D80/1000)*B80</f>
        <v>1.1563999999999999</v>
      </c>
      <c r="F80" s="1">
        <v>68.8</v>
      </c>
      <c r="G80" s="1">
        <v>413</v>
      </c>
      <c r="H80" s="1"/>
      <c r="I80" s="1"/>
      <c r="J80" s="1">
        <f>413*3</f>
        <v>1239</v>
      </c>
      <c r="K80" s="1">
        <f>(J80*3.33)/1000</f>
        <v>4.1258699999999999</v>
      </c>
      <c r="L80" s="1">
        <f>K80*0.11</f>
        <v>0.45384570000000002</v>
      </c>
      <c r="M80" s="1">
        <f>(J80/1000)*5.5</f>
        <v>6.8145000000000007</v>
      </c>
      <c r="N80" s="30"/>
      <c r="O80" s="1">
        <f>(4.18*413*(35-25))</f>
        <v>17263.399999999998</v>
      </c>
      <c r="P80" s="1">
        <f>O80/3600</f>
        <v>4.7953888888888887</v>
      </c>
      <c r="Q80" s="1">
        <f>10/60</f>
        <v>0.16666666666666666</v>
      </c>
      <c r="R80" s="1"/>
      <c r="S80" s="1"/>
      <c r="T80" s="1">
        <f>Q80*P80*0.17</f>
        <v>0.13586935185185184</v>
      </c>
      <c r="U80" s="1"/>
      <c r="V80" s="1"/>
    </row>
    <row r="81" spans="1:22" x14ac:dyDescent="0.25">
      <c r="A81" s="26" t="s">
        <v>140</v>
      </c>
      <c r="B81" s="1">
        <f>VLOOKUP(A81,'feuille de base Mars 2016'!B:C,2,FALSE)</f>
        <v>7.1070000000000002</v>
      </c>
      <c r="C81" s="1">
        <f>VLOOKUP(A81,'feuille de base Mars 2016'!B:I,8,FALSE)</f>
        <v>0.04</v>
      </c>
      <c r="D81" s="1">
        <f>(C81*F81)*1000</f>
        <v>2752</v>
      </c>
      <c r="E81" s="1">
        <f t="shared" si="10"/>
        <v>19.558464000000001</v>
      </c>
      <c r="F81" s="1">
        <v>68.8</v>
      </c>
      <c r="G81" s="1">
        <v>413</v>
      </c>
      <c r="H81" s="1"/>
      <c r="I81" s="1"/>
      <c r="J81" s="1"/>
      <c r="K81" s="1"/>
      <c r="L81" s="1"/>
      <c r="M81" s="1"/>
      <c r="N81" s="30"/>
      <c r="O81">
        <f>(413*4.18*(70-38))</f>
        <v>55242.879999999997</v>
      </c>
      <c r="P81" s="1">
        <f t="shared" ref="P81:P82" si="11">O81/3600</f>
        <v>15.345244444444443</v>
      </c>
      <c r="Q81" s="1">
        <f>40/60</f>
        <v>0.66666666666666663</v>
      </c>
      <c r="R81" s="1"/>
      <c r="S81" s="1"/>
      <c r="T81" s="1">
        <f t="shared" ref="T81:T85" si="12">Q81*P81*0.17</f>
        <v>1.7391277037037034</v>
      </c>
      <c r="U81" s="1"/>
      <c r="V81" s="1"/>
    </row>
    <row r="82" spans="1:22" x14ac:dyDescent="0.25">
      <c r="A82" s="26" t="s">
        <v>141</v>
      </c>
      <c r="B82" s="1">
        <f>VLOOKUP(A82,'feuille de base Mars 2016'!B:C,2,FALSE)</f>
        <v>0.77</v>
      </c>
      <c r="C82" s="1">
        <f>VLOOKUP(A82,'feuille de base Mars 2016'!B:I,8,FALSE)</f>
        <v>0</v>
      </c>
      <c r="D82" s="1">
        <f>C82*G82</f>
        <v>0</v>
      </c>
      <c r="E82" s="1">
        <f t="shared" si="10"/>
        <v>0</v>
      </c>
      <c r="F82" s="1">
        <v>68.8</v>
      </c>
      <c r="G82" s="1">
        <v>413</v>
      </c>
      <c r="H82" s="1"/>
      <c r="I82" s="1"/>
      <c r="J82" s="1"/>
      <c r="K82" s="1"/>
      <c r="L82" s="1">
        <f>(J80/1000)*1.19</f>
        <v>1.47441</v>
      </c>
      <c r="M82" s="1"/>
      <c r="N82" s="30"/>
      <c r="O82">
        <f>(4.18*413*(37-25))</f>
        <v>20716.079999999998</v>
      </c>
      <c r="P82" s="1">
        <f t="shared" si="11"/>
        <v>5.7544666666666657</v>
      </c>
      <c r="Q82" s="1">
        <f>10/60</f>
        <v>0.16666666666666666</v>
      </c>
      <c r="R82" s="1"/>
      <c r="S82" s="1"/>
      <c r="T82" s="1">
        <f t="shared" si="12"/>
        <v>0.1630432222222222</v>
      </c>
      <c r="U82" s="1"/>
      <c r="V82" s="1"/>
    </row>
    <row r="83" spans="1:22" x14ac:dyDescent="0.25">
      <c r="A83" s="26" t="s">
        <v>142</v>
      </c>
      <c r="B83" s="1">
        <f>VLOOKUP(A83,'feuille de base Mars 2016'!B:C,2,FALSE)</f>
        <v>10.130000000000001</v>
      </c>
      <c r="C83" s="1">
        <f>VLOOKUP(A83,'feuille de base Mars 2016'!B:I,8,FALSE)</f>
        <v>0</v>
      </c>
      <c r="D83" s="1">
        <f>(C83*F83)*1000</f>
        <v>0</v>
      </c>
      <c r="E83" s="1">
        <f t="shared" si="10"/>
        <v>0</v>
      </c>
      <c r="F83" s="1">
        <v>68.8</v>
      </c>
      <c r="G83" s="1">
        <v>413</v>
      </c>
      <c r="H83" s="1"/>
      <c r="I83" s="1"/>
      <c r="J83" s="1"/>
      <c r="K83" s="1"/>
      <c r="L83" s="1"/>
      <c r="M83" s="1"/>
      <c r="N83" s="30"/>
      <c r="O83">
        <f>(4.18*413*(40-25))</f>
        <v>25895.1</v>
      </c>
      <c r="P83" s="1">
        <f>O83/3600</f>
        <v>7.1930833333333331</v>
      </c>
      <c r="Q83" s="1">
        <f>35/60</f>
        <v>0.58333333333333337</v>
      </c>
      <c r="R83" s="1"/>
      <c r="S83" s="1"/>
      <c r="T83" s="1">
        <f t="shared" si="12"/>
        <v>0.71331409722222228</v>
      </c>
      <c r="U83" s="1"/>
      <c r="V83" s="1"/>
    </row>
    <row r="84" spans="1:22" x14ac:dyDescent="0.25">
      <c r="A84" s="26" t="s">
        <v>143</v>
      </c>
      <c r="B84" s="1">
        <f>VLOOKUP(A84,'feuille de base Mars 2016'!B:C,2,FALSE)</f>
        <v>7.35</v>
      </c>
      <c r="C84" s="1">
        <f>VLOOKUP(A84,'feuille de base Mars 2016'!B:I,8,FALSE)</f>
        <v>0</v>
      </c>
      <c r="D84" s="1">
        <f>C84*G84</f>
        <v>0</v>
      </c>
      <c r="E84" s="1">
        <f t="shared" si="10"/>
        <v>0</v>
      </c>
      <c r="F84" s="1">
        <v>68.8</v>
      </c>
      <c r="G84" s="1">
        <v>413</v>
      </c>
      <c r="H84" s="1"/>
      <c r="I84" s="1"/>
      <c r="J84" s="1"/>
      <c r="K84" s="1"/>
      <c r="L84" s="1"/>
      <c r="M84" s="1"/>
      <c r="N84" s="30"/>
      <c r="P84" s="1">
        <f>O84/3600</f>
        <v>0</v>
      </c>
      <c r="Q84" s="1"/>
      <c r="R84" s="1"/>
      <c r="S84" s="1"/>
      <c r="T84" s="1">
        <f t="shared" si="12"/>
        <v>0</v>
      </c>
      <c r="U84" s="1"/>
      <c r="V84" s="1"/>
    </row>
    <row r="85" spans="1:22" x14ac:dyDescent="0.25">
      <c r="A85" s="26" t="s">
        <v>146</v>
      </c>
      <c r="B85" s="1">
        <f>VLOOKUP(A85,'feuille de base Mars 2016'!B:C,2,FALSE)</f>
        <v>0.77</v>
      </c>
      <c r="C85" s="1">
        <f>VLOOKUP(A85,'feuille de base Mars 2016'!B:I,8,FALSE)</f>
        <v>0</v>
      </c>
      <c r="D85" s="1">
        <f>C85*G85</f>
        <v>0</v>
      </c>
      <c r="E85" s="1">
        <f t="shared" si="10"/>
        <v>0</v>
      </c>
      <c r="F85" s="1">
        <v>68.8</v>
      </c>
      <c r="G85" s="1">
        <v>413</v>
      </c>
      <c r="H85" s="1"/>
      <c r="I85" s="1"/>
      <c r="J85" s="1"/>
      <c r="K85" s="1"/>
      <c r="L85" s="1"/>
      <c r="M85" s="1"/>
      <c r="N85" s="30"/>
      <c r="P85" s="1"/>
      <c r="R85" s="1"/>
      <c r="S85" s="1"/>
      <c r="T85" s="1">
        <f t="shared" si="12"/>
        <v>0</v>
      </c>
      <c r="U85" s="1"/>
      <c r="V85" s="1"/>
    </row>
    <row r="86" spans="1:22" x14ac:dyDescent="0.25">
      <c r="A86" s="26" t="s">
        <v>147</v>
      </c>
      <c r="B86" s="1">
        <f>VLOOKUP(A86,'feuille de base Mars 2016'!B:C,2,FALSE)</f>
        <v>1.45</v>
      </c>
      <c r="C86" s="1">
        <f>VLOOKUP(A86,'feuille de base Mars 2016'!B:I,8,FALSE)</f>
        <v>0.2</v>
      </c>
      <c r="D86" s="1">
        <f>(C86*G86)</f>
        <v>82.600000000000009</v>
      </c>
      <c r="E86" s="1">
        <f t="shared" si="10"/>
        <v>0.11977</v>
      </c>
      <c r="F86" s="1">
        <v>68.8</v>
      </c>
      <c r="G86" s="1">
        <v>413</v>
      </c>
      <c r="H86" s="1"/>
      <c r="I86" s="1"/>
      <c r="J86" s="1"/>
      <c r="K86" s="1"/>
      <c r="L86" s="1"/>
      <c r="M86" s="1"/>
      <c r="N86" s="30"/>
      <c r="P86" s="1"/>
      <c r="R86" s="1"/>
      <c r="S86" s="1"/>
      <c r="T86" s="1"/>
      <c r="U86" s="1"/>
      <c r="V86" s="1"/>
    </row>
    <row r="87" spans="1:22" x14ac:dyDescent="0.25">
      <c r="A87" s="26" t="s">
        <v>229</v>
      </c>
      <c r="B87" s="1">
        <f>VLOOKUP(A87,'feuille de base Mars 2016'!B:C,2,FALSE)</f>
        <v>4.2</v>
      </c>
      <c r="C87" s="1">
        <f>VLOOKUP(A87,'feuille de base Mars 2016'!B:I,8,FALSE)</f>
        <v>0.04</v>
      </c>
      <c r="D87" s="1">
        <f>C87*F87*1000</f>
        <v>2752</v>
      </c>
      <c r="E87" s="1">
        <f t="shared" si="10"/>
        <v>11.558399999999999</v>
      </c>
      <c r="F87" s="1">
        <v>68.8</v>
      </c>
      <c r="G87" s="1">
        <v>413</v>
      </c>
      <c r="H87" s="1"/>
      <c r="I87" s="1"/>
      <c r="J87" s="1"/>
      <c r="K87" s="1"/>
      <c r="L87" s="1">
        <f>SUM(L80:L82)</f>
        <v>1.9282557</v>
      </c>
      <c r="M87" s="1"/>
      <c r="N87" s="30"/>
      <c r="P87" s="1"/>
      <c r="R87" s="1"/>
      <c r="S87" s="1"/>
      <c r="T87" s="1"/>
      <c r="U87" s="1"/>
      <c r="V87" s="1"/>
    </row>
    <row r="88" spans="1:22" x14ac:dyDescent="0.25">
      <c r="A88" s="26" t="s">
        <v>149</v>
      </c>
      <c r="B88" s="1">
        <f>VLOOKUP(A88,'feuille de base Mars 2016'!B:C,2,FALSE)</f>
        <v>1.335</v>
      </c>
      <c r="C88" s="1">
        <f>VLOOKUP(A88,'feuille de base Mars 2016'!B:I,8,FALSE)</f>
        <v>0</v>
      </c>
      <c r="D88" s="26">
        <f>C88*G88</f>
        <v>0</v>
      </c>
      <c r="E88" s="26">
        <f t="shared" ref="E88" si="13">(D88/1000)*B88</f>
        <v>0</v>
      </c>
      <c r="F88" s="1">
        <v>68.8</v>
      </c>
      <c r="G88" s="1">
        <v>413</v>
      </c>
      <c r="H88" s="26"/>
      <c r="I88" s="26"/>
      <c r="J88" s="26"/>
      <c r="K88" s="26"/>
      <c r="L88" s="26"/>
      <c r="M88" s="26"/>
      <c r="N88" s="26"/>
      <c r="O88" s="26">
        <f>SUM(O80:O87)</f>
        <v>119117.45999999999</v>
      </c>
      <c r="P88" s="26">
        <f>O88/3600</f>
        <v>33.088183333333333</v>
      </c>
      <c r="Q88" s="26">
        <f>SUM(Q80:Q87)</f>
        <v>1.5833333333333333</v>
      </c>
      <c r="R88" s="26"/>
      <c r="S88" s="26"/>
      <c r="T88" s="26">
        <f>SUM(T80:T85)</f>
        <v>2.7513543749999996</v>
      </c>
      <c r="U88" s="26"/>
      <c r="V88" s="26"/>
    </row>
    <row r="89" spans="1:22" x14ac:dyDescent="0.25">
      <c r="A89" s="17"/>
      <c r="B89" s="17"/>
      <c r="C89" s="33"/>
      <c r="D89" s="17"/>
      <c r="E89" s="34">
        <f>SUM(E80:E88,K80,T88,L87)</f>
        <v>41.198514074999999</v>
      </c>
      <c r="F89" s="17"/>
      <c r="G89" s="17"/>
      <c r="H89" s="17"/>
      <c r="I89" s="17"/>
      <c r="J89" s="17"/>
      <c r="K89" s="17"/>
      <c r="L89" s="17"/>
      <c r="M89" s="17"/>
      <c r="N89" s="17"/>
    </row>
  </sheetData>
  <conditionalFormatting sqref="Q42:Q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7">
    <dataValidation type="list" allowBlank="1" showInputMessage="1" showErrorMessage="1" sqref="A22:A60">
      <formula1>colorant</formula1>
    </dataValidation>
    <dataValidation type="list" allowBlank="1" showInputMessage="1" showErrorMessage="1" sqref="A7:A13">
      <formula1>preparation</formula1>
    </dataValidation>
    <dataValidation type="list" allowBlank="1" showInputMessage="1" showErrorMessage="1" sqref="A73:A74">
      <formula1>listeprodteint</formula1>
    </dataValidation>
    <dataValidation type="list" allowBlank="1" showInputMessage="1" showErrorMessage="1" sqref="A61:A72">
      <formula1>prodteinture</formula1>
    </dataValidation>
    <dataValidation type="list" allowBlank="1" showInputMessage="1" showErrorMessage="1" sqref="C15:C20">
      <formula1>listepourprodprep</formula1>
    </dataValidation>
    <dataValidation type="list" allowBlank="1" showInputMessage="1" showErrorMessage="1" sqref="B16:B19">
      <formula1>listeprixprodprepa</formula1>
    </dataValidation>
    <dataValidation type="list" allowBlank="1" showInputMessage="1" showErrorMessage="1" sqref="B20 B79">
      <formula1>INDIRECT("listeprixcolorants[prix colorants]")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de base Mars 2016'!$B$74:$B$85</xm:f>
          </x14:formula1>
          <xm:sqref>A80:A89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89"/>
  <sheetViews>
    <sheetView topLeftCell="B1" workbookViewId="0">
      <selection activeCell="J2" sqref="J2"/>
    </sheetView>
  </sheetViews>
  <sheetFormatPr baseColWidth="10" defaultColWidth="11.42578125" defaultRowHeight="15" x14ac:dyDescent="0.25"/>
  <cols>
    <col min="5" max="5" width="23.28515625" customWidth="1"/>
    <col min="10" max="10" width="26.42578125" customWidth="1"/>
    <col min="15" max="15" width="22.140625" customWidth="1"/>
    <col min="17" max="17" width="22.28515625" customWidth="1"/>
  </cols>
  <sheetData>
    <row r="1" spans="1:22" x14ac:dyDescent="0.25">
      <c r="E1" s="1" t="s">
        <v>154</v>
      </c>
      <c r="F1" s="1">
        <v>25.2</v>
      </c>
      <c r="I1" s="24" t="s">
        <v>155</v>
      </c>
      <c r="J1" s="24">
        <f>B3+B75+B77</f>
        <v>95.044275152144451</v>
      </c>
    </row>
    <row r="2" spans="1:22" x14ac:dyDescent="0.25">
      <c r="E2" s="1" t="s">
        <v>156</v>
      </c>
      <c r="F2">
        <f>9*504</f>
        <v>4536</v>
      </c>
    </row>
    <row r="3" spans="1:22" x14ac:dyDescent="0.25">
      <c r="A3" s="53" t="s">
        <v>213</v>
      </c>
      <c r="B3" s="55">
        <f>E14+M7+T13</f>
        <v>26.426312266666667</v>
      </c>
      <c r="E3" s="1" t="s">
        <v>233</v>
      </c>
      <c r="F3" s="25"/>
    </row>
    <row r="4" spans="1:22" x14ac:dyDescent="0.25">
      <c r="B4" s="30"/>
    </row>
    <row r="5" spans="1:22" x14ac:dyDescent="0.25">
      <c r="A5" s="26" t="s">
        <v>150</v>
      </c>
    </row>
    <row r="6" spans="1:22" x14ac:dyDescent="0.25">
      <c r="A6" s="26" t="s">
        <v>182</v>
      </c>
      <c r="B6" s="26" t="s">
        <v>158</v>
      </c>
      <c r="C6" s="26" t="s">
        <v>159</v>
      </c>
      <c r="D6" s="26" t="s">
        <v>160</v>
      </c>
      <c r="E6" s="26" t="s">
        <v>161</v>
      </c>
      <c r="F6" s="26" t="s">
        <v>162</v>
      </c>
      <c r="G6" s="27" t="s">
        <v>163</v>
      </c>
      <c r="H6" s="27" t="s">
        <v>164</v>
      </c>
      <c r="I6" s="26" t="s">
        <v>165</v>
      </c>
      <c r="J6" s="26" t="s">
        <v>166</v>
      </c>
      <c r="K6" s="26" t="s">
        <v>167</v>
      </c>
      <c r="L6" s="26" t="s">
        <v>226</v>
      </c>
      <c r="M6" s="26" t="s">
        <v>226</v>
      </c>
      <c r="N6" s="26" t="s">
        <v>169</v>
      </c>
      <c r="O6" s="26" t="s">
        <v>170</v>
      </c>
      <c r="P6" s="26" t="s">
        <v>171</v>
      </c>
      <c r="Q6" s="26" t="s">
        <v>172</v>
      </c>
      <c r="R6" s="26" t="s">
        <v>173</v>
      </c>
      <c r="S6" s="26" t="s">
        <v>174</v>
      </c>
      <c r="T6" s="26" t="s">
        <v>175</v>
      </c>
      <c r="U6" s="1"/>
      <c r="V6" s="1"/>
    </row>
    <row r="7" spans="1:22" x14ac:dyDescent="0.25">
      <c r="A7" s="26" t="s">
        <v>69</v>
      </c>
      <c r="B7" s="1">
        <f>VLOOKUP(A7,'feuille de base Mars 2016'!B:C,2,FALSE)</f>
        <v>1.45</v>
      </c>
      <c r="C7" s="1">
        <f>VLOOKUP(A7,'feuille de base Mars 2016'!B:J,9,FALSE)</f>
        <v>2</v>
      </c>
      <c r="D7" s="1">
        <f>(C7*G7)</f>
        <v>1008</v>
      </c>
      <c r="E7" s="1">
        <f>(D7/1000)*B7</f>
        <v>1.4616</v>
      </c>
      <c r="F7" s="1">
        <v>25.2</v>
      </c>
      <c r="G7" s="1">
        <v>504</v>
      </c>
      <c r="H7" s="1">
        <f>SUM(212+306+306)</f>
        <v>824</v>
      </c>
      <c r="I7" s="1">
        <v>1.35</v>
      </c>
      <c r="J7" s="1">
        <f>3*504</f>
        <v>1512</v>
      </c>
      <c r="K7" s="1">
        <f>(J7*3.33)/1000</f>
        <v>5.0349599999999999</v>
      </c>
      <c r="L7" s="1">
        <f>K7*0.11</f>
        <v>0.55384559999999994</v>
      </c>
      <c r="M7" s="1">
        <f>(J7/1000)*5.5</f>
        <v>8.3160000000000007</v>
      </c>
      <c r="O7" s="1">
        <f>(((4.18*504*(35-22))))</f>
        <v>27387.359999999997</v>
      </c>
      <c r="P7" s="1">
        <f>O7/3600</f>
        <v>7.6075999999999988</v>
      </c>
      <c r="Q7" s="1">
        <f>10/60</f>
        <v>0.16666666666666666</v>
      </c>
      <c r="R7" s="1"/>
      <c r="S7" s="1"/>
      <c r="T7" s="1">
        <f>P7*Q7*0.17</f>
        <v>0.21554866666666664</v>
      </c>
      <c r="U7" s="1"/>
      <c r="V7" s="1"/>
    </row>
    <row r="8" spans="1:22" x14ac:dyDescent="0.25">
      <c r="A8" s="26" t="s">
        <v>70</v>
      </c>
      <c r="B8" s="1">
        <f>VLOOKUP(A8,'feuille de base Mars 2016'!B:C,2,FALSE)</f>
        <v>7.3529999999999998</v>
      </c>
      <c r="C8" s="1">
        <f>VLOOKUP(A8,'feuille de base Mars 2016'!B:J,9,FALSE)</f>
        <v>0</v>
      </c>
      <c r="D8" s="1">
        <f>(C8*F8)*1000</f>
        <v>0</v>
      </c>
      <c r="E8" s="1">
        <f>(D8/1000)*B8</f>
        <v>0</v>
      </c>
      <c r="F8" s="1">
        <v>25.2</v>
      </c>
      <c r="G8" s="1">
        <v>504</v>
      </c>
      <c r="I8" s="1"/>
      <c r="J8" s="1"/>
      <c r="K8" s="1"/>
      <c r="L8" s="1"/>
      <c r="M8" s="1"/>
      <c r="O8" s="1">
        <f>(4.18*504*(90-30))</f>
        <v>126403.19999999998</v>
      </c>
      <c r="P8" s="1">
        <f t="shared" ref="P8:P10" si="0">O8/3600</f>
        <v>35.111999999999995</v>
      </c>
      <c r="Q8" s="1">
        <f>(45/60)</f>
        <v>0.75</v>
      </c>
      <c r="R8" s="1"/>
      <c r="S8" s="1"/>
      <c r="T8" s="1">
        <f t="shared" ref="T8:T10" si="1">P8*Q8*0.17</f>
        <v>4.4767799999999998</v>
      </c>
      <c r="U8" s="1"/>
      <c r="V8" s="1"/>
    </row>
    <row r="9" spans="1:22" x14ac:dyDescent="0.25">
      <c r="A9" s="26" t="s">
        <v>71</v>
      </c>
      <c r="B9" s="1">
        <f>VLOOKUP(A9,'feuille de base Mars 2016'!B:C,2,FALSE)</f>
        <v>7.9089999999999998</v>
      </c>
      <c r="C9" s="1">
        <f>VLOOKUP(A9,'feuille de base Mars 2016'!B:J,9,FALSE)</f>
        <v>0.02</v>
      </c>
      <c r="D9" s="1">
        <f>(C9*F9)*1000</f>
        <v>504</v>
      </c>
      <c r="E9" s="1">
        <f>(D9/1000)*B9</f>
        <v>3.9861360000000001</v>
      </c>
      <c r="F9" s="1">
        <v>25.2</v>
      </c>
      <c r="G9" s="1">
        <v>504</v>
      </c>
      <c r="I9" s="1"/>
      <c r="J9" s="1"/>
      <c r="K9" s="1"/>
      <c r="L9" s="1"/>
      <c r="M9" s="1"/>
      <c r="O9" s="1">
        <f>(4.18*504*(50-25))</f>
        <v>52667.999999999993</v>
      </c>
      <c r="P9" s="1">
        <f t="shared" si="0"/>
        <v>14.629999999999997</v>
      </c>
      <c r="Q9" s="1">
        <f>10/60</f>
        <v>0.16666666666666666</v>
      </c>
      <c r="R9" s="1"/>
      <c r="S9" s="1"/>
      <c r="T9" s="1">
        <f t="shared" si="1"/>
        <v>0.41451666666666659</v>
      </c>
      <c r="U9" s="1"/>
      <c r="V9" s="1"/>
    </row>
    <row r="10" spans="1:22" x14ac:dyDescent="0.25">
      <c r="A10" s="26" t="s">
        <v>72</v>
      </c>
      <c r="B10" s="1">
        <f>VLOOKUP(A10,'feuille de base Mars 2016'!B:C,2,FALSE)</f>
        <v>0.77</v>
      </c>
      <c r="C10" s="1">
        <f>VLOOKUP(A10,'feuille de base Mars 2016'!B:J,9,FALSE)</f>
        <v>3</v>
      </c>
      <c r="D10" s="1">
        <f>(C10*G10)</f>
        <v>1512</v>
      </c>
      <c r="E10" s="1">
        <f>(D10/1000)*B10</f>
        <v>1.1642399999999999</v>
      </c>
      <c r="F10" s="1">
        <v>25.2</v>
      </c>
      <c r="G10" s="1">
        <v>504</v>
      </c>
      <c r="I10" s="1"/>
      <c r="J10" s="1"/>
      <c r="K10" s="1"/>
      <c r="L10" s="1"/>
      <c r="M10" s="1"/>
      <c r="O10" s="1">
        <f>(4.18*504*(38-25))</f>
        <v>27387.359999999997</v>
      </c>
      <c r="P10" s="1">
        <f t="shared" si="0"/>
        <v>7.6075999999999988</v>
      </c>
      <c r="Q10" s="1">
        <f>10/60</f>
        <v>0.16666666666666666</v>
      </c>
      <c r="R10" s="1"/>
      <c r="S10" s="1"/>
      <c r="T10" s="1">
        <f t="shared" si="1"/>
        <v>0.21554866666666664</v>
      </c>
      <c r="U10" s="1"/>
      <c r="V10" s="1"/>
    </row>
    <row r="11" spans="1:22" x14ac:dyDescent="0.25">
      <c r="A11" s="26" t="s">
        <v>73</v>
      </c>
      <c r="B11" s="1">
        <f>VLOOKUP(A11,'feuille de base Mars 2016'!B:C,2,FALSE)</f>
        <v>1.45</v>
      </c>
      <c r="C11" s="1">
        <f>VLOOKUP(A11,'feuille de base Mars 2016'!B:J,9,FALSE)</f>
        <v>1</v>
      </c>
      <c r="D11" s="1">
        <f>(C11*G11)</f>
        <v>504</v>
      </c>
      <c r="E11" s="1">
        <f>(D11/1000)*B11</f>
        <v>0.73080000000000001</v>
      </c>
      <c r="F11" s="1">
        <v>25.2</v>
      </c>
      <c r="G11" s="1">
        <v>504</v>
      </c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26" t="s">
        <v>74</v>
      </c>
      <c r="B12" s="1">
        <f>VLOOKUP(A12,'feuille de base Mars 2016'!B:C,2,FALSE)</f>
        <v>8.02</v>
      </c>
      <c r="C12" s="1">
        <f>VLOOKUP(A12,'feuille de base Mars 2016'!B:J,9,FALSE)</f>
        <v>0</v>
      </c>
      <c r="D12" s="1">
        <f>(C12*G12)</f>
        <v>0</v>
      </c>
      <c r="E12" s="1">
        <f t="shared" ref="E12:E13" si="2">(D12/1000)*B12</f>
        <v>0</v>
      </c>
      <c r="F12" s="1">
        <v>25.2</v>
      </c>
      <c r="G12" s="1">
        <v>504</v>
      </c>
      <c r="I12" s="1"/>
      <c r="J12" s="1"/>
      <c r="K12" s="1"/>
      <c r="L12" s="1"/>
      <c r="M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26" t="s">
        <v>76</v>
      </c>
      <c r="B13" s="1">
        <f>VLOOKUP(A13,'feuille de base Mars 2016'!B:C,2,FALSE)</f>
        <v>6.4610000000000003</v>
      </c>
      <c r="C13" s="1">
        <f>VLOOKUP(A13,'feuille de base Mars 2016'!B:J,9,FALSE)</f>
        <v>0</v>
      </c>
      <c r="D13" s="1">
        <f>(C13*G13)</f>
        <v>0</v>
      </c>
      <c r="E13" s="1">
        <f t="shared" si="2"/>
        <v>0</v>
      </c>
      <c r="F13" s="1">
        <v>25.2</v>
      </c>
      <c r="G13" s="1">
        <v>504</v>
      </c>
      <c r="I13" s="1"/>
      <c r="J13" s="1"/>
      <c r="K13" s="1"/>
      <c r="L13" s="1">
        <f>SUM(L7:L12,M7)</f>
        <v>8.8698456000000014</v>
      </c>
      <c r="M13" s="1"/>
      <c r="O13" s="1">
        <f>SUM(O7:O9)</f>
        <v>206458.55999999997</v>
      </c>
      <c r="P13" s="1">
        <f>SUM(P7:P9)</f>
        <v>57.349599999999988</v>
      </c>
      <c r="Q13" s="1">
        <f>SUM(Q7:Q11)</f>
        <v>1.25</v>
      </c>
      <c r="R13" s="1"/>
      <c r="S13" s="1"/>
      <c r="T13" s="1">
        <f>SUM(T7:T9)</f>
        <v>5.1068453333333332</v>
      </c>
      <c r="U13" s="1"/>
      <c r="V13" s="1"/>
    </row>
    <row r="14" spans="1:22" x14ac:dyDescent="0.25">
      <c r="A14" s="17"/>
      <c r="E14" s="17">
        <f>SUM(E7:E11,L22,T13)</f>
        <v>13.003466933333334</v>
      </c>
      <c r="L14" s="17"/>
      <c r="M14" s="17"/>
    </row>
    <row r="20" spans="1:22" x14ac:dyDescent="0.25">
      <c r="A20" s="16" t="s">
        <v>151</v>
      </c>
    </row>
    <row r="21" spans="1:22" x14ac:dyDescent="0.25">
      <c r="A21" s="35" t="s">
        <v>13</v>
      </c>
      <c r="B21" s="28" t="s">
        <v>176</v>
      </c>
      <c r="C21" s="28" t="s">
        <v>177</v>
      </c>
      <c r="D21" s="28" t="s">
        <v>178</v>
      </c>
      <c r="E21" s="28" t="s">
        <v>176</v>
      </c>
      <c r="F21" s="28" t="s">
        <v>162</v>
      </c>
      <c r="G21" s="28" t="s">
        <v>179</v>
      </c>
      <c r="H21" s="28"/>
      <c r="I21" s="28" t="s">
        <v>165</v>
      </c>
      <c r="J21" s="28" t="s">
        <v>180</v>
      </c>
      <c r="K21" s="28" t="s">
        <v>167</v>
      </c>
      <c r="L21" s="28" t="s">
        <v>226</v>
      </c>
      <c r="M21" s="28" t="s">
        <v>226</v>
      </c>
      <c r="N21" s="28" t="s">
        <v>169</v>
      </c>
      <c r="O21" s="28" t="s">
        <v>170</v>
      </c>
      <c r="P21" s="28" t="s">
        <v>171</v>
      </c>
      <c r="Q21" s="28" t="s">
        <v>172</v>
      </c>
      <c r="R21" s="28" t="s">
        <v>173</v>
      </c>
      <c r="S21" s="28" t="s">
        <v>174</v>
      </c>
      <c r="T21" s="28" t="s">
        <v>175</v>
      </c>
      <c r="U21" s="28"/>
      <c r="V21" s="28"/>
    </row>
    <row r="22" spans="1:22" x14ac:dyDescent="0.25">
      <c r="A22" s="1" t="s">
        <v>80</v>
      </c>
      <c r="B22" s="1">
        <f>VLOOKUP(A22,'feuille de base Mars 2016'!B:C,2,FALSE)</f>
        <v>194.78</v>
      </c>
      <c r="C22" s="1">
        <f>VLOOKUP(A22,'feuille de base Mars 2016'!B:J,9,FALSE)</f>
        <v>0</v>
      </c>
      <c r="D22" s="1">
        <f>(C22*F22)*1000</f>
        <v>0</v>
      </c>
      <c r="E22" s="1">
        <f t="shared" ref="E22:E36" si="3">(D22*F22)/1000</f>
        <v>0</v>
      </c>
      <c r="F22" s="1">
        <v>25.2</v>
      </c>
      <c r="G22" s="1">
        <v>504</v>
      </c>
      <c r="H22" s="1"/>
      <c r="I22" s="1">
        <v>0.33</v>
      </c>
      <c r="J22" s="1">
        <f>504*3</f>
        <v>1512</v>
      </c>
      <c r="K22" s="1">
        <f>(J22*3.33)/1000</f>
        <v>5.0349599999999999</v>
      </c>
      <c r="L22" s="1">
        <f>K22*0.11</f>
        <v>0.55384559999999994</v>
      </c>
      <c r="M22" s="1">
        <f>(J22/1000)*5.5</f>
        <v>8.3160000000000007</v>
      </c>
      <c r="N22" s="1"/>
      <c r="O22" s="1">
        <f>(504*4.18*(35-25))</f>
        <v>21067.199999999997</v>
      </c>
      <c r="P22" s="1">
        <f>O22/3600</f>
        <v>5.8519999999999994</v>
      </c>
      <c r="Q22" s="1">
        <f>15/60</f>
        <v>0.25</v>
      </c>
      <c r="R22" s="1"/>
      <c r="S22" s="1"/>
      <c r="T22" s="1">
        <f>P22*Q22*0.17</f>
        <v>0.24870999999999999</v>
      </c>
      <c r="U22" s="1"/>
      <c r="V22" s="1"/>
    </row>
    <row r="23" spans="1:22" x14ac:dyDescent="0.25">
      <c r="A23" s="1" t="s">
        <v>81</v>
      </c>
      <c r="B23" s="1">
        <f>VLOOKUP(A23,'feuille de base Mars 2016'!B:C,2,FALSE)</f>
        <v>76.37</v>
      </c>
      <c r="C23" s="1">
        <f>VLOOKUP(A23,'feuille de base Mars 2016'!B:J,9,FALSE)</f>
        <v>7.2000000000000002E-5</v>
      </c>
      <c r="D23" s="1">
        <f t="shared" ref="D23:D60" si="4">(C23*F23)*1000</f>
        <v>1.8144</v>
      </c>
      <c r="E23" s="1">
        <f t="shared" si="3"/>
        <v>4.5722879999999994E-2</v>
      </c>
      <c r="F23" s="1">
        <v>25.2</v>
      </c>
      <c r="G23" s="1">
        <v>504</v>
      </c>
      <c r="H23" s="1"/>
      <c r="I23" s="1">
        <v>1.83</v>
      </c>
      <c r="J23" s="1"/>
      <c r="K23" s="1"/>
      <c r="L23" s="36">
        <f>(964/1000)*1.19</f>
        <v>1.14716</v>
      </c>
      <c r="M23" s="1"/>
      <c r="N23" s="1"/>
      <c r="O23" s="1">
        <f>(0.193*4.18)*(80-30)</f>
        <v>40.337000000000003</v>
      </c>
      <c r="P23" s="1">
        <f t="shared" ref="P23:P26" si="5">O23/3600</f>
        <v>1.1204722222222224E-2</v>
      </c>
      <c r="Q23" s="1">
        <f>15/60</f>
        <v>0.25</v>
      </c>
      <c r="R23" s="1"/>
      <c r="S23" s="1"/>
      <c r="T23" s="1">
        <f t="shared" ref="T23:T26" si="6">P23*Q23*0.17</f>
        <v>4.7620069444444452E-4</v>
      </c>
      <c r="U23" s="1"/>
      <c r="V23" s="1"/>
    </row>
    <row r="24" spans="1:22" x14ac:dyDescent="0.25">
      <c r="A24" s="1" t="s">
        <v>82</v>
      </c>
      <c r="B24" s="1">
        <f>VLOOKUP(A24,'feuille de base Mars 2016'!B:C,2,FALSE)</f>
        <v>50.86524</v>
      </c>
      <c r="C24" s="1">
        <f>VLOOKUP(A24,'feuille de base Mars 2016'!B:J,9,FALSE)</f>
        <v>0</v>
      </c>
      <c r="D24" s="1">
        <f t="shared" si="4"/>
        <v>0</v>
      </c>
      <c r="E24" s="1">
        <f t="shared" si="3"/>
        <v>0</v>
      </c>
      <c r="F24" s="1">
        <v>25.2</v>
      </c>
      <c r="G24" s="1">
        <v>504</v>
      </c>
      <c r="H24" s="1"/>
      <c r="I24" s="1">
        <v>0.16</v>
      </c>
      <c r="J24" s="1"/>
      <c r="K24" s="1"/>
      <c r="L24" s="1"/>
      <c r="M24" s="1"/>
      <c r="N24" s="1"/>
      <c r="O24" s="1">
        <f>(504*4.18*(98-30))</f>
        <v>143256.95999999999</v>
      </c>
      <c r="P24" s="1">
        <f t="shared" si="5"/>
        <v>39.793599999999998</v>
      </c>
      <c r="Q24" s="1">
        <f>15/60</f>
        <v>0.25</v>
      </c>
      <c r="R24" s="1"/>
      <c r="S24" s="1"/>
      <c r="T24" s="1">
        <f t="shared" si="6"/>
        <v>1.691228</v>
      </c>
      <c r="U24" s="1"/>
      <c r="V24" s="1"/>
    </row>
    <row r="25" spans="1:22" x14ac:dyDescent="0.25">
      <c r="A25" s="1" t="s">
        <v>83</v>
      </c>
      <c r="B25" s="1">
        <f>VLOOKUP(A25,'feuille de base Mars 2016'!B:C,2,FALSE)</f>
        <v>56.493000000000002</v>
      </c>
      <c r="C25" s="1">
        <f>VLOOKUP(A25,'feuille de base Mars 2016'!B:J,9,FALSE)</f>
        <v>0</v>
      </c>
      <c r="D25" s="1">
        <f t="shared" si="4"/>
        <v>0</v>
      </c>
      <c r="E25" s="1">
        <f t="shared" si="3"/>
        <v>0</v>
      </c>
      <c r="F25" s="1">
        <v>25.2</v>
      </c>
      <c r="G25" s="1">
        <v>504</v>
      </c>
      <c r="H25" s="1"/>
      <c r="I25" s="1"/>
      <c r="J25" s="1"/>
      <c r="K25" s="1"/>
      <c r="L25" s="1"/>
      <c r="M25" s="1"/>
      <c r="N25" s="1"/>
      <c r="O25" s="28">
        <f>(4.18*504*(98-80))</f>
        <v>37920.959999999999</v>
      </c>
      <c r="P25" s="1">
        <f t="shared" si="5"/>
        <v>10.5336</v>
      </c>
      <c r="Q25" s="1">
        <f>75/60</f>
        <v>1.25</v>
      </c>
      <c r="R25" s="1"/>
      <c r="S25" s="1"/>
      <c r="T25" s="1">
        <f t="shared" si="6"/>
        <v>2.2383900000000003</v>
      </c>
      <c r="U25" s="1"/>
      <c r="V25" s="1"/>
    </row>
    <row r="26" spans="1:22" x14ac:dyDescent="0.25">
      <c r="A26" s="1" t="s">
        <v>84</v>
      </c>
      <c r="B26" s="1">
        <f>VLOOKUP(A26,'feuille de base Mars 2016'!B:C,2,FALSE)</f>
        <v>56.83</v>
      </c>
      <c r="C26" s="1">
        <f>VLOOKUP(A26,'feuille de base Mars 2016'!B:J,9,FALSE)</f>
        <v>0</v>
      </c>
      <c r="D26" s="1">
        <f t="shared" si="4"/>
        <v>0</v>
      </c>
      <c r="E26" s="1">
        <f t="shared" si="3"/>
        <v>0</v>
      </c>
      <c r="F26" s="1">
        <v>25.2</v>
      </c>
      <c r="G26" s="1">
        <v>504</v>
      </c>
      <c r="H26" s="1"/>
      <c r="I26" s="1"/>
      <c r="J26" s="1"/>
      <c r="K26" s="1"/>
      <c r="L26" s="1"/>
      <c r="M26" s="1"/>
      <c r="N26" s="1"/>
      <c r="O26" s="1">
        <f>(504*4.18*(35-20)*2)</f>
        <v>63201.599999999991</v>
      </c>
      <c r="P26" s="1">
        <f t="shared" si="5"/>
        <v>17.555999999999997</v>
      </c>
      <c r="Q26" s="1">
        <f>20/60</f>
        <v>0.33333333333333331</v>
      </c>
      <c r="R26" s="1"/>
      <c r="S26" s="1"/>
      <c r="T26" s="1">
        <f t="shared" si="6"/>
        <v>0.99483999999999984</v>
      </c>
      <c r="U26" s="1"/>
      <c r="V26" s="1"/>
    </row>
    <row r="27" spans="1:22" x14ac:dyDescent="0.25">
      <c r="A27" s="1" t="s">
        <v>85</v>
      </c>
      <c r="B27" s="1">
        <f>VLOOKUP(A27,'feuille de base Mars 2016'!B:C,2,FALSE)</f>
        <v>33.15</v>
      </c>
      <c r="C27" s="1">
        <f>VLOOKUP(A27,'feuille de base Mars 2016'!B:J,9,FALSE)</f>
        <v>0</v>
      </c>
      <c r="D27" s="1">
        <f t="shared" si="4"/>
        <v>0</v>
      </c>
      <c r="E27" s="1">
        <f t="shared" si="3"/>
        <v>0</v>
      </c>
      <c r="F27" s="1">
        <v>25.2</v>
      </c>
      <c r="G27" s="1">
        <v>504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" t="s">
        <v>86</v>
      </c>
      <c r="B28" s="1">
        <f>VLOOKUP(A28,'feuille de base Mars 2016'!B:C,2,FALSE)</f>
        <v>42.26</v>
      </c>
      <c r="C28" s="1">
        <f>VLOOKUP(A28,'feuille de base Mars 2016'!B:J,9,FALSE)</f>
        <v>0</v>
      </c>
      <c r="D28" s="1">
        <f t="shared" si="4"/>
        <v>0</v>
      </c>
      <c r="E28" s="1">
        <f t="shared" si="3"/>
        <v>0</v>
      </c>
      <c r="F28" s="1">
        <v>25.2</v>
      </c>
      <c r="G28" s="1">
        <v>504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 t="s">
        <v>87</v>
      </c>
      <c r="B29" s="1">
        <f>VLOOKUP(A29,'feuille de base Mars 2016'!B:C,2,FALSE)</f>
        <v>51.12</v>
      </c>
      <c r="C29" s="1">
        <f>VLOOKUP(A29,'feuille de base Mars 2016'!B:J,9,FALSE)</f>
        <v>0</v>
      </c>
      <c r="D29" s="1">
        <f t="shared" si="4"/>
        <v>0</v>
      </c>
      <c r="E29" s="1">
        <f t="shared" si="3"/>
        <v>0</v>
      </c>
      <c r="F29" s="1">
        <v>25.2</v>
      </c>
      <c r="G29" s="1">
        <v>504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 t="s">
        <v>88</v>
      </c>
      <c r="B30" s="1">
        <f>VLOOKUP(A30,'feuille de base Mars 2016'!B:C,2,FALSE)</f>
        <v>0</v>
      </c>
      <c r="C30" s="1">
        <f>VLOOKUP(A30,'feuille de base Mars 2016'!B:J,9,FALSE)</f>
        <v>0</v>
      </c>
      <c r="D30" s="1">
        <f t="shared" si="4"/>
        <v>0</v>
      </c>
      <c r="E30" s="1">
        <f t="shared" si="3"/>
        <v>0</v>
      </c>
      <c r="F30" s="1">
        <v>25.2</v>
      </c>
      <c r="G30" s="1">
        <v>504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 t="s">
        <v>89</v>
      </c>
      <c r="B31" s="1">
        <f>VLOOKUP(A31,'feuille de base Mars 2016'!B:C,2,FALSE)</f>
        <v>39.799999999999997</v>
      </c>
      <c r="C31" s="1">
        <f>VLOOKUP(A31,'feuille de base Mars 2016'!B:J,9,FALSE)</f>
        <v>0</v>
      </c>
      <c r="D31" s="1">
        <f t="shared" si="4"/>
        <v>0</v>
      </c>
      <c r="E31" s="1">
        <f t="shared" si="3"/>
        <v>0</v>
      </c>
      <c r="F31" s="1">
        <v>25.2</v>
      </c>
      <c r="G31" s="1">
        <v>504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 t="s">
        <v>90</v>
      </c>
      <c r="B32" s="1">
        <f>VLOOKUP(A32,'feuille de base Mars 2016'!B:C,2,FALSE)</f>
        <v>37.43</v>
      </c>
      <c r="C32" s="1">
        <f>VLOOKUP(A32,'feuille de base Mars 2016'!B:J,9,FALSE)</f>
        <v>0</v>
      </c>
      <c r="D32" s="1">
        <f t="shared" si="4"/>
        <v>0</v>
      </c>
      <c r="E32" s="1">
        <f t="shared" si="3"/>
        <v>0</v>
      </c>
      <c r="F32" s="1">
        <v>25.2</v>
      </c>
      <c r="G32" s="1">
        <v>504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 t="s">
        <v>91</v>
      </c>
      <c r="B33" s="1">
        <f>VLOOKUP(A33,'feuille de base Mars 2016'!B:C,2,FALSE)</f>
        <v>43.412580000000005</v>
      </c>
      <c r="C33" s="1">
        <f>VLOOKUP(A33,'feuille de base Mars 2016'!B:J,9,FALSE)</f>
        <v>0</v>
      </c>
      <c r="D33" s="1">
        <f t="shared" si="4"/>
        <v>0</v>
      </c>
      <c r="E33" s="1">
        <f t="shared" si="3"/>
        <v>0</v>
      </c>
      <c r="F33" s="1">
        <v>25.2</v>
      </c>
      <c r="G33" s="1">
        <v>504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 t="s">
        <v>92</v>
      </c>
      <c r="B34" s="1">
        <f>VLOOKUP(A34,'feuille de base Mars 2016'!B:C,2,FALSE)</f>
        <v>60.57</v>
      </c>
      <c r="C34" s="1">
        <f>VLOOKUP(A34,'feuille de base Mars 2016'!B:J,9,FALSE)</f>
        <v>0</v>
      </c>
      <c r="D34" s="1">
        <f t="shared" si="4"/>
        <v>0</v>
      </c>
      <c r="E34" s="1">
        <f t="shared" si="3"/>
        <v>0</v>
      </c>
      <c r="F34" s="1">
        <v>25.2</v>
      </c>
      <c r="G34" s="1">
        <v>504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 t="s">
        <v>93</v>
      </c>
      <c r="B35" s="1">
        <f>VLOOKUP(A35,'feuille de base Mars 2016'!B:C,2,FALSE)</f>
        <v>63.36</v>
      </c>
      <c r="C35" s="1">
        <f>VLOOKUP(A35,'feuille de base Mars 2016'!B:J,9,FALSE)</f>
        <v>9.2299999999999999E-4</v>
      </c>
      <c r="D35" s="1">
        <f t="shared" si="4"/>
        <v>23.259599999999999</v>
      </c>
      <c r="E35" s="1">
        <f t="shared" si="3"/>
        <v>0.58614191999999987</v>
      </c>
      <c r="F35" s="1">
        <v>25.2</v>
      </c>
      <c r="G35" s="1">
        <v>504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 t="s">
        <v>94</v>
      </c>
      <c r="B36" s="1">
        <f>VLOOKUP(A36,'feuille de base Mars 2016'!B:C,2,FALSE)</f>
        <v>31.45</v>
      </c>
      <c r="C36" s="1">
        <f>VLOOKUP(A36,'feuille de base Mars 2016'!B:J,9,FALSE)</f>
        <v>0</v>
      </c>
      <c r="D36" s="1">
        <f t="shared" si="4"/>
        <v>0</v>
      </c>
      <c r="E36" s="1">
        <f t="shared" si="3"/>
        <v>0</v>
      </c>
      <c r="F36" s="1">
        <v>25.2</v>
      </c>
      <c r="G36" s="1">
        <v>504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 t="s">
        <v>95</v>
      </c>
      <c r="B37" s="1">
        <f>VLOOKUP(A37,'feuille de base Mars 2016'!B:C,2,FALSE)</f>
        <v>66.45</v>
      </c>
      <c r="C37" s="1">
        <f>VLOOKUP(A37,'feuille de base Mars 2016'!B:J,9,FALSE)</f>
        <v>0</v>
      </c>
      <c r="D37" s="1">
        <f>(C37*F37)*1000</f>
        <v>0</v>
      </c>
      <c r="E37" s="1">
        <f>(D37/1000)*B37</f>
        <v>0</v>
      </c>
      <c r="F37" s="1">
        <v>25.2</v>
      </c>
      <c r="G37" s="1">
        <v>504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 t="s">
        <v>96</v>
      </c>
      <c r="B38" s="1">
        <f>VLOOKUP(A38,'feuille de base Mars 2016'!B:C,2,FALSE)</f>
        <v>40.816960000000002</v>
      </c>
      <c r="C38" s="1">
        <f>VLOOKUP(A38,'feuille de base Mars 2016'!B:J,9,FALSE)</f>
        <v>0</v>
      </c>
      <c r="D38" s="1">
        <f t="shared" si="4"/>
        <v>0</v>
      </c>
      <c r="E38" s="1">
        <f t="shared" ref="E38:E48" si="7">(D38/1000)*B38</f>
        <v>0</v>
      </c>
      <c r="F38" s="1">
        <v>25.2</v>
      </c>
      <c r="G38" s="1">
        <v>504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 t="s">
        <v>97</v>
      </c>
      <c r="B39" s="1">
        <f>VLOOKUP(A39,'feuille de base Mars 2016'!B:C,2,FALSE)</f>
        <v>12.81</v>
      </c>
      <c r="C39" s="1">
        <f>VLOOKUP(A39,'feuille de base Mars 2016'!B:J,9,FALSE)</f>
        <v>0</v>
      </c>
      <c r="D39" s="1">
        <f t="shared" si="4"/>
        <v>0</v>
      </c>
      <c r="E39" s="1">
        <f t="shared" si="7"/>
        <v>0</v>
      </c>
      <c r="F39" s="1">
        <v>25.2</v>
      </c>
      <c r="G39" s="1">
        <v>504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 t="s">
        <v>98</v>
      </c>
      <c r="B40" s="1">
        <f>VLOOKUP(A40,'feuille de base Mars 2016'!B:C,2,FALSE)</f>
        <v>17.68</v>
      </c>
      <c r="C40" s="1">
        <f>VLOOKUP(A40,'feuille de base Mars 2016'!B:J,9,FALSE)</f>
        <v>0</v>
      </c>
      <c r="D40" s="1">
        <f t="shared" si="4"/>
        <v>0</v>
      </c>
      <c r="E40" s="1">
        <f t="shared" si="7"/>
        <v>0</v>
      </c>
      <c r="F40" s="1">
        <v>25.2</v>
      </c>
      <c r="G40" s="1">
        <v>504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 t="s">
        <v>99</v>
      </c>
      <c r="B41" s="1">
        <f>VLOOKUP(A41,'feuille de base Mars 2016'!B:C,2,FALSE)</f>
        <v>23.4</v>
      </c>
      <c r="C41" s="1">
        <f>VLOOKUP(A41,'feuille de base Mars 2016'!B:J,9,FALSE)</f>
        <v>0</v>
      </c>
      <c r="D41" s="1">
        <f t="shared" si="4"/>
        <v>0</v>
      </c>
      <c r="E41" s="1">
        <f t="shared" si="7"/>
        <v>0</v>
      </c>
      <c r="F41" s="1">
        <v>25.2</v>
      </c>
      <c r="G41" s="1">
        <v>504</v>
      </c>
      <c r="H41" s="1"/>
      <c r="I41" s="1"/>
      <c r="J41" s="1"/>
      <c r="K41" s="1"/>
      <c r="L41" s="1"/>
      <c r="M41" s="1"/>
      <c r="N41" s="1"/>
      <c r="O41" s="1">
        <v>0</v>
      </c>
      <c r="P41" s="1"/>
      <c r="Q41" s="1"/>
      <c r="R41" s="1"/>
      <c r="S41" s="1"/>
      <c r="T41" s="1"/>
      <c r="U41" s="1"/>
      <c r="V41" s="1"/>
    </row>
    <row r="42" spans="1:22" x14ac:dyDescent="0.25">
      <c r="A42" s="1" t="s">
        <v>100</v>
      </c>
      <c r="B42" s="1">
        <f>VLOOKUP(A42,'feuille de base Mars 2016'!B:C,2,FALSE)</f>
        <v>44.8</v>
      </c>
      <c r="C42" s="1">
        <f>VLOOKUP(A42,'feuille de base Mars 2016'!B:J,9,FALSE)</f>
        <v>0</v>
      </c>
      <c r="D42" s="1">
        <f t="shared" si="4"/>
        <v>0</v>
      </c>
      <c r="E42" s="1">
        <f t="shared" si="7"/>
        <v>0</v>
      </c>
      <c r="F42" s="1">
        <v>25.2</v>
      </c>
      <c r="G42" s="1">
        <v>504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" t="s">
        <v>101</v>
      </c>
      <c r="B43" s="1">
        <f>VLOOKUP(A43,'feuille de base Mars 2016'!B:C,2,FALSE)</f>
        <v>21.65</v>
      </c>
      <c r="C43" s="1">
        <f>VLOOKUP(A43,'feuille de base Mars 2016'!B:J,9,FALSE)</f>
        <v>0</v>
      </c>
      <c r="D43" s="1">
        <f t="shared" si="4"/>
        <v>0</v>
      </c>
      <c r="E43" s="1">
        <f t="shared" si="7"/>
        <v>0</v>
      </c>
      <c r="F43" s="1">
        <v>25.2</v>
      </c>
      <c r="G43" s="1">
        <v>504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 t="s">
        <v>102</v>
      </c>
      <c r="B44" s="1">
        <f>VLOOKUP(A44,'feuille de base Mars 2016'!B:C,2,FALSE)</f>
        <v>13.87</v>
      </c>
      <c r="C44" s="1">
        <f>VLOOKUP(A44,'feuille de base Mars 2016'!B:J,9,FALSE)</f>
        <v>0</v>
      </c>
      <c r="D44" s="1">
        <f t="shared" si="4"/>
        <v>0</v>
      </c>
      <c r="E44" s="1">
        <f t="shared" si="7"/>
        <v>0</v>
      </c>
      <c r="F44" s="1">
        <v>25.2</v>
      </c>
      <c r="G44" s="1">
        <v>504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 t="s">
        <v>103</v>
      </c>
      <c r="B45" s="1">
        <f>VLOOKUP(A45,'feuille de base Mars 2016'!B:C,2,FALSE)</f>
        <v>37.229880000000009</v>
      </c>
      <c r="C45" s="1">
        <f>VLOOKUP(A45,'feuille de base Mars 2016'!B:J,9,FALSE)</f>
        <v>2.0000000000000001E-4</v>
      </c>
      <c r="D45" s="1">
        <f t="shared" si="4"/>
        <v>5.04</v>
      </c>
      <c r="E45" s="1">
        <f t="shared" si="7"/>
        <v>0.18763859520000006</v>
      </c>
      <c r="F45" s="1">
        <v>25.2</v>
      </c>
      <c r="G45" s="1">
        <v>504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 t="s">
        <v>104</v>
      </c>
      <c r="B46" s="1">
        <f>VLOOKUP(A46,'feuille de base Mars 2016'!B:C,2,FALSE)</f>
        <v>36.799999999999997</v>
      </c>
      <c r="C46" s="1">
        <f>VLOOKUP(A46,'feuille de base Mars 2016'!B:J,9,FALSE)</f>
        <v>0</v>
      </c>
      <c r="D46" s="1">
        <f t="shared" si="4"/>
        <v>0</v>
      </c>
      <c r="E46" s="1">
        <f t="shared" si="7"/>
        <v>0</v>
      </c>
      <c r="F46" s="1">
        <v>25.2</v>
      </c>
      <c r="G46" s="1">
        <v>504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 t="s">
        <v>105</v>
      </c>
      <c r="B47" s="1">
        <f>VLOOKUP(A47,'feuille de base Mars 2016'!B:C,2,FALSE)</f>
        <v>12.922400000000001</v>
      </c>
      <c r="C47" s="1">
        <f>VLOOKUP(A47,'feuille de base Mars 2016'!B:J,9,FALSE)</f>
        <v>0</v>
      </c>
      <c r="D47" s="1">
        <f t="shared" si="4"/>
        <v>0</v>
      </c>
      <c r="E47" s="1">
        <f t="shared" si="7"/>
        <v>0</v>
      </c>
      <c r="F47" s="1">
        <v>25.2</v>
      </c>
      <c r="G47" s="1">
        <v>504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 t="s">
        <v>106</v>
      </c>
      <c r="B48" s="1">
        <f>VLOOKUP(A48,'feuille de base Mars 2016'!B:C,2,FALSE)</f>
        <v>13.5</v>
      </c>
      <c r="C48" s="1">
        <f>VLOOKUP(A48,'feuille de base Mars 2016'!B:J,9,FALSE)</f>
        <v>0</v>
      </c>
      <c r="D48" s="1">
        <f t="shared" si="4"/>
        <v>0</v>
      </c>
      <c r="E48" s="1">
        <f t="shared" si="7"/>
        <v>0</v>
      </c>
      <c r="F48" s="1">
        <v>25.2</v>
      </c>
      <c r="G48" s="1">
        <v>504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 t="s">
        <v>107</v>
      </c>
      <c r="B49" s="1">
        <f>VLOOKUP(A49,'feuille de base Mars 2016'!B:C,2,FALSE)</f>
        <v>36.650600000000004</v>
      </c>
      <c r="C49" s="1">
        <f>VLOOKUP(A49,'feuille de base Mars 2016'!B:J,9,FALSE)</f>
        <v>0</v>
      </c>
      <c r="D49" s="1">
        <f>(C49*F49)*1000</f>
        <v>0</v>
      </c>
      <c r="E49" s="1">
        <f>(D49/1000)*B49</f>
        <v>0</v>
      </c>
      <c r="F49" s="1">
        <v>25.2</v>
      </c>
      <c r="G49" s="1">
        <v>504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" t="s">
        <v>108</v>
      </c>
      <c r="B50" s="1">
        <f>VLOOKUP(A50,'feuille de base Mars 2016'!B:C,2,FALSE)</f>
        <v>13.145200000000003</v>
      </c>
      <c r="C50" s="1">
        <f>VLOOKUP(A50,'feuille de base Mars 2016'!B:J,9,FALSE)</f>
        <v>0</v>
      </c>
      <c r="D50" s="1">
        <f t="shared" si="4"/>
        <v>0</v>
      </c>
      <c r="E50" s="1">
        <f t="shared" ref="E50:E72" si="8">(D50/1000)*B50</f>
        <v>0</v>
      </c>
      <c r="F50" s="1">
        <v>25.2</v>
      </c>
      <c r="G50" s="1">
        <v>504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 t="s">
        <v>109</v>
      </c>
      <c r="B51" s="1">
        <f>VLOOKUP(A51,'feuille de base Mars 2016'!B:C,2,FALSE)</f>
        <v>88.006000000000014</v>
      </c>
      <c r="C51" s="1">
        <f>VLOOKUP(A51,'feuille de base Mars 2016'!B:J,9,FALSE)</f>
        <v>0</v>
      </c>
      <c r="D51" s="1">
        <f t="shared" si="4"/>
        <v>0</v>
      </c>
      <c r="E51" s="1">
        <f t="shared" si="8"/>
        <v>0</v>
      </c>
      <c r="F51" s="1">
        <v>25.2</v>
      </c>
      <c r="G51" s="1">
        <v>504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 t="s">
        <v>110</v>
      </c>
      <c r="B52" s="1">
        <f>VLOOKUP(A52,'feuille de base Mars 2016'!B:C,2,FALSE)</f>
        <v>64.849999999999994</v>
      </c>
      <c r="C52" s="1">
        <f>VLOOKUP(A52,'feuille de base Mars 2016'!B:J,9,FALSE)</f>
        <v>1.4999999999999999E-4</v>
      </c>
      <c r="D52" s="1">
        <f t="shared" si="4"/>
        <v>3.7799999999999994</v>
      </c>
      <c r="E52" s="1">
        <f t="shared" si="8"/>
        <v>0.24513299999999993</v>
      </c>
      <c r="F52" s="1">
        <v>25.2</v>
      </c>
      <c r="G52" s="1">
        <v>504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 t="s">
        <v>111</v>
      </c>
      <c r="B53" s="1">
        <f>VLOOKUP(A53,'feuille de base Mars 2016'!B:C,2,FALSE)</f>
        <v>37.096200000000003</v>
      </c>
      <c r="C53" s="1">
        <f>VLOOKUP(A53,'feuille de base Mars 2016'!B:J,9,FALSE)</f>
        <v>0</v>
      </c>
      <c r="D53" s="1">
        <f>(C53*F53)*1000</f>
        <v>0</v>
      </c>
      <c r="E53" s="1">
        <f t="shared" si="8"/>
        <v>0</v>
      </c>
      <c r="F53" s="1">
        <v>25.2</v>
      </c>
      <c r="G53" s="1">
        <v>504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 t="s">
        <v>112</v>
      </c>
      <c r="B54" s="1">
        <f>VLOOKUP(A54,'feuille de base Mars 2016'!B:C,2,FALSE)</f>
        <v>80.631320000000002</v>
      </c>
      <c r="C54" s="1">
        <f>VLOOKUP(A54,'feuille de base Mars 2016'!B:J,9,FALSE)</f>
        <v>0</v>
      </c>
      <c r="D54" s="1">
        <f t="shared" si="4"/>
        <v>0</v>
      </c>
      <c r="E54" s="1">
        <f t="shared" si="8"/>
        <v>0</v>
      </c>
      <c r="F54" s="1">
        <v>25.2</v>
      </c>
      <c r="G54" s="1">
        <v>504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 t="s">
        <v>113</v>
      </c>
      <c r="B55" s="1">
        <f>VLOOKUP(A55,'feuille de base Mars 2016'!B:C,2,FALSE)</f>
        <v>48.3476</v>
      </c>
      <c r="C55" s="1">
        <f>VLOOKUP(A55,'feuille de base Mars 2016'!B:J,9,FALSE)</f>
        <v>0</v>
      </c>
      <c r="D55" s="1">
        <f t="shared" si="4"/>
        <v>0</v>
      </c>
      <c r="E55" s="1">
        <f t="shared" si="8"/>
        <v>0</v>
      </c>
      <c r="F55" s="1">
        <v>25.2</v>
      </c>
      <c r="G55" s="1">
        <v>504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" t="s">
        <v>114</v>
      </c>
      <c r="B56" s="1">
        <f>VLOOKUP(A56,'feuille de base Mars 2016'!B:C,2,FALSE)</f>
        <v>29.98</v>
      </c>
      <c r="C56" s="1">
        <f>VLOOKUP(A56,'feuille de base Mars 2016'!B:J,9,FALSE)</f>
        <v>0</v>
      </c>
      <c r="D56" s="1">
        <f t="shared" si="4"/>
        <v>0</v>
      </c>
      <c r="E56" s="1">
        <f t="shared" si="8"/>
        <v>0</v>
      </c>
      <c r="F56" s="1">
        <v>25.2</v>
      </c>
      <c r="G56" s="1">
        <v>504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 t="s">
        <v>115</v>
      </c>
      <c r="B57" s="1">
        <f>VLOOKUP(A57,'feuille de base Mars 2016'!B:C,2,FALSE)</f>
        <v>40.200000000000003</v>
      </c>
      <c r="C57" s="1">
        <f>VLOOKUP(A57,'feuille de base Mars 2016'!B:J,9,FALSE)</f>
        <v>0</v>
      </c>
      <c r="D57" s="1">
        <f t="shared" si="4"/>
        <v>0</v>
      </c>
      <c r="E57" s="1">
        <f t="shared" si="8"/>
        <v>0</v>
      </c>
      <c r="F57" s="1">
        <v>25.2</v>
      </c>
      <c r="G57" s="1">
        <v>504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 t="s">
        <v>116</v>
      </c>
      <c r="B58" s="1">
        <f>VLOOKUP(A58,'feuille de base Mars 2016'!B:C,2,FALSE)</f>
        <v>10.026000000000002</v>
      </c>
      <c r="C58" s="1">
        <f>VLOOKUP(A58,'feuille de base Mars 2016'!B:J,9,FALSE)</f>
        <v>0</v>
      </c>
      <c r="D58" s="1">
        <f t="shared" si="4"/>
        <v>0</v>
      </c>
      <c r="E58" s="1">
        <f t="shared" si="8"/>
        <v>0</v>
      </c>
      <c r="F58" s="1">
        <v>25.2</v>
      </c>
      <c r="G58" s="1">
        <v>504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 t="s">
        <v>117</v>
      </c>
      <c r="B59" s="1">
        <f>VLOOKUP(A59,'feuille de base Mars 2016'!B:C,2,FALSE)</f>
        <v>19.66</v>
      </c>
      <c r="C59" s="1">
        <f>VLOOKUP(A59,'feuille de base Mars 2016'!B:J,9,FALSE)</f>
        <v>0</v>
      </c>
      <c r="D59" s="1">
        <f t="shared" si="4"/>
        <v>0</v>
      </c>
      <c r="E59" s="1">
        <f t="shared" si="8"/>
        <v>0</v>
      </c>
      <c r="F59" s="1">
        <v>25.2</v>
      </c>
      <c r="G59" s="1">
        <v>504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 t="s">
        <v>118</v>
      </c>
      <c r="B60" s="1">
        <f>VLOOKUP(A60,'feuille de base Mars 2016'!B:C,2,FALSE)</f>
        <v>35.22</v>
      </c>
      <c r="C60" s="1">
        <f>VLOOKUP(A60,'feuille de base Mars 2016'!B:J,9,FALSE)</f>
        <v>0</v>
      </c>
      <c r="D60" s="1">
        <f t="shared" si="4"/>
        <v>0</v>
      </c>
      <c r="E60" s="1">
        <f t="shared" si="8"/>
        <v>0</v>
      </c>
      <c r="F60" s="1">
        <v>25.2</v>
      </c>
      <c r="G60" s="1">
        <v>504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28" t="s">
        <v>119</v>
      </c>
      <c r="B61" s="1">
        <f>VLOOKUP(A61,'feuille de base Mars 2016'!B:C,2,FALSE)</f>
        <v>1.45</v>
      </c>
      <c r="C61" s="1">
        <f>VLOOKUP(A61,'feuille de base Mars 2016'!B:J,9,FALSE)</f>
        <v>2</v>
      </c>
      <c r="D61" s="1">
        <f>(C61*G61)</f>
        <v>1008</v>
      </c>
      <c r="E61" s="1">
        <f>(D61/1000)*B61</f>
        <v>1.4616</v>
      </c>
      <c r="F61" s="1">
        <v>25.2</v>
      </c>
      <c r="G61" s="1">
        <v>504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28" t="s">
        <v>120</v>
      </c>
      <c r="B62" s="1">
        <f>VLOOKUP(A62,'feuille de base Mars 2016'!B:C,2,FALSE)</f>
        <v>7.798</v>
      </c>
      <c r="C62" s="1">
        <f>VLOOKUP(A62,'feuille de base Mars 2016'!B:J,9,FALSE)</f>
        <v>1.4999999999999999E-2</v>
      </c>
      <c r="D62" s="1">
        <f>(C62*F62)*1000</f>
        <v>378</v>
      </c>
      <c r="E62" s="1">
        <f t="shared" si="8"/>
        <v>2.9476439999999999</v>
      </c>
      <c r="F62" s="1">
        <v>25.2</v>
      </c>
      <c r="G62" s="1">
        <v>504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28" t="s">
        <v>121</v>
      </c>
      <c r="B63" s="1">
        <f>VLOOKUP(A63,'feuille de base Mars 2016'!B:C,2,FALSE)</f>
        <v>8.3550000000000004</v>
      </c>
      <c r="C63" s="1">
        <f>VLOOKUP(A63,'feuille de base Mars 2016'!B:J,9,FALSE)</f>
        <v>1.4999999999999999E-2</v>
      </c>
      <c r="D63" s="1">
        <f>(C63*F63)*1000</f>
        <v>378</v>
      </c>
      <c r="E63" s="1">
        <f t="shared" si="8"/>
        <v>3.1581900000000003</v>
      </c>
      <c r="F63" s="1">
        <v>25.2</v>
      </c>
      <c r="G63" s="1">
        <v>504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28" t="s">
        <v>122</v>
      </c>
      <c r="B64" s="1">
        <f>VLOOKUP(A64,'feuille de base Mars 2016'!B:C,2,FALSE)</f>
        <v>13.613799999999999</v>
      </c>
      <c r="C64" s="1">
        <f>VLOOKUP(A64,'feuille de base Mars 2016'!B:J,9,FALSE)</f>
        <v>0</v>
      </c>
      <c r="D64" s="1">
        <f t="shared" ref="D64:D72" si="9">(C64*G64)</f>
        <v>0</v>
      </c>
      <c r="E64" s="1">
        <f t="shared" si="8"/>
        <v>0</v>
      </c>
      <c r="F64" s="1">
        <v>25.2</v>
      </c>
      <c r="G64" s="1">
        <v>504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28" t="s">
        <v>123</v>
      </c>
      <c r="B65" s="1">
        <f>VLOOKUP(A65,'feuille de base Mars 2016'!B:C,2,FALSE)</f>
        <v>8.02</v>
      </c>
      <c r="C65" s="1">
        <f>VLOOKUP(A65,'feuille de base Mars 2016'!B:J,9,FALSE)</f>
        <v>0.5</v>
      </c>
      <c r="D65" s="1">
        <f>(C65*G65)</f>
        <v>252</v>
      </c>
      <c r="E65" s="1">
        <f t="shared" si="8"/>
        <v>2.0210399999999997</v>
      </c>
      <c r="F65" s="1">
        <v>25.2</v>
      </c>
      <c r="G65" s="1">
        <v>504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28" t="s">
        <v>126</v>
      </c>
      <c r="B66" s="1">
        <f>VLOOKUP(A66,'feuille de base Mars 2016'!B:C,2,FALSE)</f>
        <v>0.77</v>
      </c>
      <c r="C66" s="1">
        <f>VLOOKUP(A66,'feuille de base Mars 2016'!B:J,9,FALSE)</f>
        <v>0</v>
      </c>
      <c r="D66" s="1"/>
      <c r="E66" s="1"/>
      <c r="F66" s="1">
        <v>25.2</v>
      </c>
      <c r="G66" s="1">
        <v>504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28" t="s">
        <v>124</v>
      </c>
      <c r="B67" s="1">
        <f>VLOOKUP(A67,'feuille de base Mars 2016'!B:C,2,FALSE)</f>
        <v>1.45</v>
      </c>
      <c r="C67" s="1">
        <f>VLOOKUP(A67,'feuille de base Mars 2016'!B:J,9,FALSE)</f>
        <v>0</v>
      </c>
      <c r="D67" s="1">
        <f t="shared" si="9"/>
        <v>0</v>
      </c>
      <c r="E67" s="1">
        <f t="shared" si="8"/>
        <v>0</v>
      </c>
      <c r="F67" s="1">
        <v>25.2</v>
      </c>
      <c r="G67" s="1">
        <v>504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28" t="s">
        <v>125</v>
      </c>
      <c r="B68" s="1">
        <f>VLOOKUP(A68,'feuille de base Mars 2016'!B:C,2,FALSE)</f>
        <v>3.2519999999999998</v>
      </c>
      <c r="C68" s="1">
        <f>VLOOKUP(A68,'feuille de base Mars 2016'!B:J,9,FALSE)</f>
        <v>0</v>
      </c>
      <c r="D68" s="1">
        <f>(C68*F68)*1000</f>
        <v>0</v>
      </c>
      <c r="E68" s="1">
        <f>(D68/1000)*B68</f>
        <v>0</v>
      </c>
      <c r="F68" s="1">
        <v>25.2</v>
      </c>
      <c r="G68" s="1">
        <v>504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28" t="s">
        <v>127</v>
      </c>
      <c r="B69" s="1">
        <f>VLOOKUP(A69,'feuille de base Mars 2016'!B:C,2,FALSE)</f>
        <v>1.4</v>
      </c>
      <c r="C69" s="1">
        <f>VLOOKUP(A69,'feuille de base Mars 2016'!B:J,9,FALSE)</f>
        <v>0</v>
      </c>
      <c r="D69" s="1">
        <f t="shared" si="9"/>
        <v>0</v>
      </c>
      <c r="E69" s="1">
        <f t="shared" si="8"/>
        <v>0</v>
      </c>
      <c r="F69" s="1">
        <v>25.2</v>
      </c>
      <c r="G69" s="1">
        <v>504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28" t="s">
        <v>134</v>
      </c>
      <c r="B70" s="1">
        <f>VLOOKUP(A70,'feuille de base Mars 2016'!B:C,2,FALSE)</f>
        <v>7.35</v>
      </c>
      <c r="C70" s="1">
        <f>VLOOKUP(A70,'feuille de base Mars 2016'!B:J,9,FALSE)</f>
        <v>0</v>
      </c>
      <c r="D70" s="1">
        <f t="shared" si="9"/>
        <v>0</v>
      </c>
      <c r="E70" s="1">
        <f t="shared" si="8"/>
        <v>0</v>
      </c>
      <c r="F70" s="1">
        <v>25.2</v>
      </c>
      <c r="G70" s="1">
        <v>504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28" t="s">
        <v>135</v>
      </c>
      <c r="B71" s="1">
        <f>VLOOKUP(A71,'feuille de base Mars 2016'!B:C,2,FALSE)</f>
        <v>4.2332000000000001</v>
      </c>
      <c r="C71" s="1">
        <f>VLOOKUP(A71,'feuille de base Mars 2016'!B:J,9,FALSE)</f>
        <v>2</v>
      </c>
      <c r="D71" s="1">
        <f t="shared" si="9"/>
        <v>1008</v>
      </c>
      <c r="E71" s="1">
        <f t="shared" si="8"/>
        <v>4.2670656000000005</v>
      </c>
      <c r="F71" s="1">
        <v>25.2</v>
      </c>
      <c r="G71" s="1">
        <v>504</v>
      </c>
      <c r="H71" s="1"/>
      <c r="I71" s="1"/>
      <c r="J71" s="1"/>
      <c r="K71" s="1"/>
      <c r="L71" s="1"/>
      <c r="M71" s="1"/>
      <c r="N71" s="1"/>
      <c r="O71" s="28">
        <f>SUM(O22:O70)</f>
        <v>265487.05699999997</v>
      </c>
      <c r="P71" s="28">
        <f>O71/3600</f>
        <v>73.746404722222209</v>
      </c>
      <c r="Q71" s="28">
        <f>SUM(Q22:Q24)</f>
        <v>0.75</v>
      </c>
      <c r="R71" s="28"/>
      <c r="S71" s="28"/>
      <c r="T71" s="28">
        <f>SUM(T22:T70)</f>
        <v>5.1736442006944445</v>
      </c>
      <c r="U71" s="1"/>
      <c r="V71" s="1"/>
    </row>
    <row r="72" spans="1:22" x14ac:dyDescent="0.25">
      <c r="A72" s="28" t="s">
        <v>138</v>
      </c>
      <c r="B72" s="1">
        <f>VLOOKUP(A72,'feuille de base Mars 2016'!B:C,2,FALSE)</f>
        <v>6.6412000000000004</v>
      </c>
      <c r="C72" s="1">
        <f>VLOOKUP(A72,'feuille de base Mars 2016'!B:J,9,FALSE)</f>
        <v>0</v>
      </c>
      <c r="D72" s="1">
        <f t="shared" si="9"/>
        <v>0</v>
      </c>
      <c r="E72" s="1">
        <f t="shared" si="8"/>
        <v>0</v>
      </c>
      <c r="F72" s="1">
        <v>25.2</v>
      </c>
      <c r="G72" s="1">
        <v>504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6"/>
      <c r="B73" s="16"/>
      <c r="C73" s="16"/>
      <c r="D73" s="16"/>
      <c r="E73" s="29">
        <f>SUM(E22:E72,T71,L23)</f>
        <v>21.240980195894444</v>
      </c>
      <c r="F73" s="16"/>
      <c r="G73" s="16"/>
      <c r="H73" s="16"/>
      <c r="I73" s="16"/>
      <c r="J73" s="16"/>
      <c r="K73" s="16"/>
      <c r="L73" s="16"/>
      <c r="M73" s="16"/>
      <c r="N73" s="16"/>
    </row>
    <row r="74" spans="1:22" x14ac:dyDescent="0.25">
      <c r="A74" s="16"/>
      <c r="B74" s="16"/>
      <c r="C74" s="16"/>
      <c r="D74" s="16"/>
      <c r="E74" s="29"/>
      <c r="F74" s="16"/>
      <c r="G74" s="16"/>
      <c r="H74" s="16"/>
      <c r="I74" s="16"/>
      <c r="J74" s="16"/>
      <c r="K74" s="16"/>
      <c r="L74" s="16"/>
      <c r="M74" s="16"/>
      <c r="N74" s="16"/>
    </row>
    <row r="75" spans="1:22" x14ac:dyDescent="0.25">
      <c r="A75" s="54" t="s">
        <v>214</v>
      </c>
      <c r="B75" s="54">
        <f>SUM(E73+M22+T71)</f>
        <v>34.730624396588894</v>
      </c>
      <c r="C75" s="16"/>
      <c r="D75" s="16"/>
      <c r="E75" s="29"/>
      <c r="F75" s="16"/>
      <c r="G75" s="16"/>
      <c r="H75" s="16"/>
      <c r="I75" s="16"/>
      <c r="J75" s="16"/>
      <c r="K75" s="16"/>
      <c r="L75" s="16"/>
      <c r="M75" s="16"/>
      <c r="N75" s="16"/>
    </row>
    <row r="76" spans="1:22" x14ac:dyDescent="0.25">
      <c r="A76" s="54"/>
      <c r="B76" s="54"/>
      <c r="C76" s="16"/>
      <c r="D76" s="16"/>
      <c r="E76" s="29"/>
      <c r="F76" s="16"/>
      <c r="G76" s="16"/>
      <c r="H76" s="16"/>
      <c r="I76" s="16"/>
      <c r="J76" s="16"/>
      <c r="K76" s="16"/>
      <c r="L76" s="16"/>
      <c r="M76" s="16"/>
      <c r="N76" s="16"/>
    </row>
    <row r="77" spans="1:22" x14ac:dyDescent="0.25">
      <c r="A77" s="55" t="s">
        <v>196</v>
      </c>
      <c r="B77" s="55">
        <f>SUM(E89+M80+T88)</f>
        <v>33.887338488888886</v>
      </c>
      <c r="C77" s="30"/>
      <c r="D77" s="30"/>
      <c r="E77" s="31"/>
      <c r="F77" s="30"/>
      <c r="G77" s="30"/>
      <c r="H77" s="30"/>
      <c r="I77" s="30"/>
      <c r="J77" s="30"/>
      <c r="K77" s="30"/>
      <c r="L77" s="30"/>
      <c r="M77" s="30"/>
      <c r="N77" s="30"/>
    </row>
    <row r="78" spans="1:22" x14ac:dyDescent="0.25">
      <c r="A78" s="34" t="s">
        <v>152</v>
      </c>
    </row>
    <row r="79" spans="1:22" x14ac:dyDescent="0.25">
      <c r="A79" s="32" t="s">
        <v>183</v>
      </c>
      <c r="B79" s="32"/>
      <c r="C79" s="32" t="s">
        <v>181</v>
      </c>
      <c r="D79" s="32"/>
      <c r="E79" s="32"/>
      <c r="F79" s="32"/>
      <c r="G79" s="32"/>
      <c r="H79" s="32"/>
      <c r="I79" s="32" t="s">
        <v>165</v>
      </c>
      <c r="J79" s="32" t="s">
        <v>180</v>
      </c>
      <c r="K79" s="32" t="s">
        <v>167</v>
      </c>
      <c r="L79" s="32" t="s">
        <v>226</v>
      </c>
      <c r="M79" s="32" t="s">
        <v>226</v>
      </c>
      <c r="N79" s="32" t="s">
        <v>169</v>
      </c>
      <c r="O79" s="32" t="s">
        <v>170</v>
      </c>
      <c r="P79" s="32" t="s">
        <v>171</v>
      </c>
      <c r="Q79" s="32" t="s">
        <v>172</v>
      </c>
      <c r="R79" s="32" t="s">
        <v>173</v>
      </c>
      <c r="S79" s="32" t="s">
        <v>174</v>
      </c>
      <c r="T79" s="32" t="s">
        <v>175</v>
      </c>
      <c r="U79" s="32"/>
      <c r="V79" s="32"/>
    </row>
    <row r="80" spans="1:22" x14ac:dyDescent="0.25">
      <c r="A80" s="26" t="s">
        <v>139</v>
      </c>
      <c r="B80" s="1">
        <f>VLOOKUP(A80,'feuille de base Mars 2016'!B:C,2,FALSE)</f>
        <v>1.4</v>
      </c>
      <c r="C80" s="1">
        <f>VLOOKUP(A80,'feuille de base Mars 2016'!B:I,8,FALSE)</f>
        <v>2</v>
      </c>
      <c r="D80" s="1">
        <f>(C80*G80)</f>
        <v>1008</v>
      </c>
      <c r="E80" s="1">
        <f t="shared" ref="E80:E87" si="10">(D80/1000)*B80</f>
        <v>1.4112</v>
      </c>
      <c r="F80" s="1">
        <v>25.2</v>
      </c>
      <c r="G80" s="1">
        <v>504</v>
      </c>
      <c r="H80" s="1"/>
      <c r="I80" s="1"/>
      <c r="J80" s="1">
        <f>504*3</f>
        <v>1512</v>
      </c>
      <c r="K80" s="1">
        <f>(J80*3.33)/1000</f>
        <v>5.0349599999999999</v>
      </c>
      <c r="L80" s="1">
        <f>K80*0.11</f>
        <v>0.55384559999999994</v>
      </c>
      <c r="M80" s="1">
        <f>(J80/1000)*5.5</f>
        <v>8.3160000000000007</v>
      </c>
      <c r="N80" s="30"/>
      <c r="O80" s="1">
        <f>(4.18*504*(35-25))</f>
        <v>21067.199999999997</v>
      </c>
      <c r="P80" s="1">
        <f>O80/3600</f>
        <v>5.8519999999999994</v>
      </c>
      <c r="Q80" s="1">
        <f>10/60</f>
        <v>0.16666666666666666</v>
      </c>
      <c r="R80" s="1"/>
      <c r="S80" s="1"/>
      <c r="T80" s="1">
        <f>Q80*P80*0.17</f>
        <v>0.16580666666666666</v>
      </c>
      <c r="U80" s="1"/>
      <c r="V80" s="1"/>
    </row>
    <row r="81" spans="1:22" x14ac:dyDescent="0.25">
      <c r="A81" s="26" t="s">
        <v>140</v>
      </c>
      <c r="B81" s="1">
        <f>VLOOKUP(A81,'feuille de base Mars 2016'!B:C,2,FALSE)</f>
        <v>7.1070000000000002</v>
      </c>
      <c r="C81" s="1">
        <f>VLOOKUP(A81,'feuille de base Mars 2016'!B:I,8,FALSE)</f>
        <v>0.04</v>
      </c>
      <c r="D81" s="1">
        <f>(C81*F81)*1000</f>
        <v>1008</v>
      </c>
      <c r="E81" s="1">
        <f t="shared" si="10"/>
        <v>7.163856</v>
      </c>
      <c r="F81" s="1">
        <v>25.2</v>
      </c>
      <c r="G81" s="1">
        <v>504</v>
      </c>
      <c r="H81" s="1"/>
      <c r="I81" s="1"/>
      <c r="J81" s="1"/>
      <c r="K81" s="1"/>
      <c r="L81" s="1"/>
      <c r="M81" s="1"/>
      <c r="N81" s="30"/>
      <c r="O81">
        <f>(504*4.18*(70-38))</f>
        <v>67415.039999999994</v>
      </c>
      <c r="P81" s="1">
        <f t="shared" ref="P81:P82" si="11">O81/3600</f>
        <v>18.726399999999998</v>
      </c>
      <c r="Q81" s="1">
        <f>40/60</f>
        <v>0.66666666666666663</v>
      </c>
      <c r="R81" s="1"/>
      <c r="S81" s="1"/>
      <c r="T81" s="1">
        <f t="shared" ref="T81:T85" si="12">Q81*P81*0.17</f>
        <v>2.1223253333333334</v>
      </c>
      <c r="U81" s="1"/>
      <c r="V81" s="1"/>
    </row>
    <row r="82" spans="1:22" x14ac:dyDescent="0.25">
      <c r="A82" s="26" t="s">
        <v>141</v>
      </c>
      <c r="B82" s="1">
        <f>VLOOKUP(A82,'feuille de base Mars 2016'!B:C,2,FALSE)</f>
        <v>0.77</v>
      </c>
      <c r="C82" s="1">
        <f>VLOOKUP(A82,'feuille de base Mars 2016'!B:I,8,FALSE)</f>
        <v>0</v>
      </c>
      <c r="D82" s="1">
        <f>C82*G82</f>
        <v>0</v>
      </c>
      <c r="E82" s="1">
        <f t="shared" si="10"/>
        <v>0</v>
      </c>
      <c r="F82" s="1">
        <v>25.2</v>
      </c>
      <c r="G82" s="1">
        <v>504</v>
      </c>
      <c r="H82" s="1"/>
      <c r="I82" s="1"/>
      <c r="J82" s="1"/>
      <c r="K82" s="1"/>
      <c r="L82" s="1">
        <f>(J80/1000)*1.19</f>
        <v>1.79928</v>
      </c>
      <c r="M82" s="1"/>
      <c r="N82" s="30"/>
      <c r="O82">
        <f>(4.18*413*(37-25))*2</f>
        <v>41432.159999999996</v>
      </c>
      <c r="P82" s="1">
        <f t="shared" si="11"/>
        <v>11.508933333333331</v>
      </c>
      <c r="Q82" s="1">
        <f>10/60</f>
        <v>0.16666666666666666</v>
      </c>
      <c r="R82" s="1"/>
      <c r="S82" s="1"/>
      <c r="T82" s="1">
        <f t="shared" si="12"/>
        <v>0.3260864444444444</v>
      </c>
      <c r="U82" s="1"/>
      <c r="V82" s="1"/>
    </row>
    <row r="83" spans="1:22" x14ac:dyDescent="0.25">
      <c r="A83" s="26" t="s">
        <v>142</v>
      </c>
      <c r="B83" s="1">
        <f>VLOOKUP(A83,'feuille de base Mars 2016'!B:C,2,FALSE)</f>
        <v>10.130000000000001</v>
      </c>
      <c r="C83" s="1">
        <f>VLOOKUP(A83,'feuille de base Mars 2016'!B:I,8,FALSE)</f>
        <v>0</v>
      </c>
      <c r="D83" s="1">
        <f>(C83*F83)*1000</f>
        <v>0</v>
      </c>
      <c r="E83" s="1">
        <f t="shared" si="10"/>
        <v>0</v>
      </c>
      <c r="F83" s="1">
        <v>25.2</v>
      </c>
      <c r="G83" s="1">
        <v>504</v>
      </c>
      <c r="H83" s="1"/>
      <c r="I83" s="1"/>
      <c r="J83" s="1"/>
      <c r="K83" s="1"/>
      <c r="L83" s="1"/>
      <c r="M83" s="1"/>
      <c r="N83" s="30"/>
      <c r="P83" s="1">
        <f>O83/3600</f>
        <v>0</v>
      </c>
      <c r="Q83" s="1"/>
      <c r="R83" s="1"/>
      <c r="S83" s="1"/>
      <c r="T83" s="1">
        <f t="shared" si="12"/>
        <v>0</v>
      </c>
      <c r="U83" s="1"/>
      <c r="V83" s="1"/>
    </row>
    <row r="84" spans="1:22" x14ac:dyDescent="0.25">
      <c r="A84" s="26" t="s">
        <v>143</v>
      </c>
      <c r="B84" s="1">
        <f>VLOOKUP(A84,'feuille de base Mars 2016'!B:C,2,FALSE)</f>
        <v>7.35</v>
      </c>
      <c r="C84" s="1">
        <f>VLOOKUP(A84,'feuille de base Mars 2016'!B:I,8,FALSE)</f>
        <v>0</v>
      </c>
      <c r="D84" s="1">
        <f>C84*G84</f>
        <v>0</v>
      </c>
      <c r="E84" s="1">
        <f t="shared" si="10"/>
        <v>0</v>
      </c>
      <c r="F84" s="1">
        <v>25.2</v>
      </c>
      <c r="G84" s="1">
        <v>504</v>
      </c>
      <c r="H84" s="1"/>
      <c r="I84" s="1"/>
      <c r="J84" s="1"/>
      <c r="K84" s="1"/>
      <c r="L84" s="1"/>
      <c r="M84" s="1"/>
      <c r="N84" s="30"/>
      <c r="P84" s="1">
        <f>O84/3600</f>
        <v>0</v>
      </c>
      <c r="Q84" s="1"/>
      <c r="R84" s="1"/>
      <c r="S84" s="1"/>
      <c r="T84" s="1">
        <f t="shared" si="12"/>
        <v>0</v>
      </c>
      <c r="U84" s="1"/>
      <c r="V84" s="1"/>
    </row>
    <row r="85" spans="1:22" x14ac:dyDescent="0.25">
      <c r="A85" s="26" t="s">
        <v>146</v>
      </c>
      <c r="B85" s="1">
        <f>VLOOKUP(A85,'feuille de base Mars 2016'!B:C,2,FALSE)</f>
        <v>0.77</v>
      </c>
      <c r="C85" s="1">
        <f>VLOOKUP(A85,'feuille de base Mars 2016'!B:I,8,FALSE)</f>
        <v>0</v>
      </c>
      <c r="D85" s="1">
        <f>C85*G85</f>
        <v>0</v>
      </c>
      <c r="E85" s="1">
        <f t="shared" si="10"/>
        <v>0</v>
      </c>
      <c r="F85" s="1">
        <v>25.2</v>
      </c>
      <c r="G85" s="1">
        <v>504</v>
      </c>
      <c r="H85" s="1"/>
      <c r="I85" s="1"/>
      <c r="J85" s="1"/>
      <c r="K85" s="1"/>
      <c r="L85" s="1"/>
      <c r="M85" s="1"/>
      <c r="N85" s="30"/>
      <c r="P85" s="1"/>
      <c r="R85" s="1"/>
      <c r="S85" s="1"/>
      <c r="T85" s="1">
        <f t="shared" si="12"/>
        <v>0</v>
      </c>
      <c r="U85" s="1"/>
      <c r="V85" s="1"/>
    </row>
    <row r="86" spans="1:22" x14ac:dyDescent="0.25">
      <c r="A86" s="26" t="s">
        <v>147</v>
      </c>
      <c r="B86" s="1">
        <f>VLOOKUP(A86,'feuille de base Mars 2016'!B:C,2,FALSE)</f>
        <v>1.45</v>
      </c>
      <c r="C86" s="1">
        <f>VLOOKUP(A86,'feuille de base Mars 2016'!B:I,8,FALSE)</f>
        <v>0.2</v>
      </c>
      <c r="D86" s="1">
        <f>(C86*G86)</f>
        <v>100.80000000000001</v>
      </c>
      <c r="E86" s="1">
        <f t="shared" si="10"/>
        <v>0.14616000000000001</v>
      </c>
      <c r="F86" s="1">
        <v>25.2</v>
      </c>
      <c r="G86" s="1">
        <v>504</v>
      </c>
      <c r="H86" s="1"/>
      <c r="I86" s="1"/>
      <c r="J86" s="1"/>
      <c r="K86" s="1"/>
      <c r="L86" s="1"/>
      <c r="M86" s="1"/>
      <c r="N86" s="30"/>
      <c r="P86" s="1"/>
      <c r="R86" s="1"/>
      <c r="S86" s="1"/>
      <c r="T86" s="1"/>
      <c r="U86" s="1"/>
      <c r="V86" s="1"/>
    </row>
    <row r="87" spans="1:22" x14ac:dyDescent="0.25">
      <c r="A87" s="26" t="s">
        <v>229</v>
      </c>
      <c r="B87" s="1">
        <f>VLOOKUP(A87,'feuille de base Mars 2016'!B:C,2,FALSE)</f>
        <v>4.2</v>
      </c>
      <c r="C87" s="1">
        <f>VLOOKUP(A87,'feuille de base Mars 2016'!B:I,8,FALSE)</f>
        <v>0.04</v>
      </c>
      <c r="D87" s="1">
        <f>C87*F87*1000</f>
        <v>1008</v>
      </c>
      <c r="E87" s="1">
        <f t="shared" si="10"/>
        <v>4.2336</v>
      </c>
      <c r="F87" s="1">
        <v>25.2</v>
      </c>
      <c r="G87" s="1">
        <v>504</v>
      </c>
      <c r="H87" s="1"/>
      <c r="I87" s="1"/>
      <c r="J87" s="1"/>
      <c r="K87" s="1"/>
      <c r="L87" s="1">
        <f>SUM(L80:L82)</f>
        <v>2.3531255999999998</v>
      </c>
      <c r="M87" s="1"/>
      <c r="N87" s="30"/>
      <c r="P87" s="1"/>
      <c r="R87" s="1"/>
      <c r="S87" s="1"/>
      <c r="T87" s="1"/>
      <c r="U87" s="1"/>
      <c r="V87" s="1"/>
    </row>
    <row r="88" spans="1:22" x14ac:dyDescent="0.25">
      <c r="A88" s="26" t="s">
        <v>149</v>
      </c>
      <c r="B88" s="1">
        <f>VLOOKUP(A88,'feuille de base Mars 2016'!B:C,2,FALSE)</f>
        <v>1.335</v>
      </c>
      <c r="C88" s="1">
        <f>VLOOKUP(A88,'feuille de base Mars 2016'!B:I,8,FALSE)</f>
        <v>0</v>
      </c>
      <c r="D88" s="26">
        <f>C88*G88</f>
        <v>0</v>
      </c>
      <c r="E88" s="26">
        <f t="shared" ref="E88" si="13">(D88/1000)*B88</f>
        <v>0</v>
      </c>
      <c r="F88" s="1">
        <v>25.2</v>
      </c>
      <c r="G88" s="1">
        <v>504</v>
      </c>
      <c r="H88" s="26"/>
      <c r="I88" s="26"/>
      <c r="J88" s="26"/>
      <c r="K88" s="26"/>
      <c r="L88" s="26"/>
      <c r="M88" s="26"/>
      <c r="N88" s="26"/>
      <c r="O88" s="26">
        <f>SUM(O80:O87)</f>
        <v>129914.4</v>
      </c>
      <c r="P88" s="26">
        <f>O88/3600</f>
        <v>36.087333333333333</v>
      </c>
      <c r="Q88" s="26">
        <f>SUM(Q80:Q87)</f>
        <v>0.99999999999999989</v>
      </c>
      <c r="R88" s="26"/>
      <c r="S88" s="26"/>
      <c r="T88" s="26">
        <f>SUM(T80:T85)</f>
        <v>2.6142184444444445</v>
      </c>
      <c r="U88" s="26"/>
      <c r="V88" s="26"/>
    </row>
    <row r="89" spans="1:22" x14ac:dyDescent="0.25">
      <c r="A89" s="17"/>
      <c r="B89" s="17"/>
      <c r="C89" s="33"/>
      <c r="D89" s="17"/>
      <c r="E89" s="34">
        <f>SUM(E80:E88,K80,T88,L87)</f>
        <v>22.957120044444441</v>
      </c>
      <c r="F89" s="17"/>
      <c r="G89" s="17"/>
      <c r="H89" s="17"/>
      <c r="I89" s="17"/>
      <c r="J89" s="17"/>
      <c r="K89" s="17"/>
      <c r="L89" s="17"/>
      <c r="M89" s="17"/>
      <c r="N89" s="17"/>
    </row>
  </sheetData>
  <conditionalFormatting sqref="Q42:Q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7">
    <dataValidation type="list" allowBlank="1" showInputMessage="1" showErrorMessage="1" sqref="B20 B79">
      <formula1>INDIRECT("listeprixcolorants[prix colorants]")</formula1>
    </dataValidation>
    <dataValidation type="list" allowBlank="1" showInputMessage="1" showErrorMessage="1" sqref="B16:B19">
      <formula1>listeprixprodprepa</formula1>
    </dataValidation>
    <dataValidation type="list" allowBlank="1" showInputMessage="1" showErrorMessage="1" sqref="C15:C20">
      <formula1>listepourprodprep</formula1>
    </dataValidation>
    <dataValidation type="list" allowBlank="1" showInputMessage="1" showErrorMessage="1" sqref="A61:A72">
      <formula1>prodteinture</formula1>
    </dataValidation>
    <dataValidation type="list" allowBlank="1" showInputMessage="1" showErrorMessage="1" sqref="A73:A74">
      <formula1>listeprodteint</formula1>
    </dataValidation>
    <dataValidation type="list" allowBlank="1" showInputMessage="1" showErrorMessage="1" sqref="A7:A13">
      <formula1>preparation</formula1>
    </dataValidation>
    <dataValidation type="list" allowBlank="1" showInputMessage="1" showErrorMessage="1" sqref="A22:A60">
      <formula1>colorant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de base Mars 2016'!$B$74:$B$85</xm:f>
          </x14:formula1>
          <xm:sqref>A80:A89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W89"/>
  <sheetViews>
    <sheetView workbookViewId="0">
      <selection activeCell="A13" sqref="A13"/>
    </sheetView>
  </sheetViews>
  <sheetFormatPr baseColWidth="10" defaultColWidth="11.42578125" defaultRowHeight="15" x14ac:dyDescent="0.25"/>
  <cols>
    <col min="2" max="2" width="19.5703125" customWidth="1"/>
    <col min="5" max="5" width="27.140625" customWidth="1"/>
    <col min="6" max="6" width="26.85546875" customWidth="1"/>
    <col min="8" max="8" width="24.5703125" customWidth="1"/>
    <col min="9" max="9" width="19" customWidth="1"/>
    <col min="11" max="11" width="27" customWidth="1"/>
    <col min="12" max="12" width="27.7109375" customWidth="1"/>
    <col min="13" max="13" width="36.42578125" customWidth="1"/>
    <col min="14" max="14" width="22.42578125" customWidth="1"/>
    <col min="15" max="15" width="26.5703125" customWidth="1"/>
    <col min="16" max="16" width="26.140625" customWidth="1"/>
    <col min="17" max="17" width="33.42578125" customWidth="1"/>
    <col min="18" max="18" width="29.5703125" customWidth="1"/>
    <col min="19" max="19" width="25.140625" customWidth="1"/>
    <col min="20" max="20" width="24.42578125" customWidth="1"/>
    <col min="21" max="21" width="28.140625" customWidth="1"/>
  </cols>
  <sheetData>
    <row r="1" spans="2:23" x14ac:dyDescent="0.25">
      <c r="F1" s="1" t="s">
        <v>154</v>
      </c>
      <c r="G1" s="1">
        <v>47</v>
      </c>
      <c r="J1" s="24" t="s">
        <v>155</v>
      </c>
      <c r="K1" s="24">
        <f>F14+F73+F89+M13+U13+U71+M22+M23+M87+U88</f>
        <v>216.74327096296298</v>
      </c>
    </row>
    <row r="2" spans="2:23" x14ac:dyDescent="0.25">
      <c r="F2" s="1" t="s">
        <v>156</v>
      </c>
      <c r="G2" s="1">
        <f>212+306+306+212+376+376+212+376+306+306+306</f>
        <v>3294</v>
      </c>
    </row>
    <row r="3" spans="2:23" x14ac:dyDescent="0.25">
      <c r="B3" s="53" t="s">
        <v>213</v>
      </c>
      <c r="C3" s="55">
        <f>F14+U13+M13</f>
        <v>23.172861214814816</v>
      </c>
      <c r="F3" s="1" t="s">
        <v>157</v>
      </c>
      <c r="G3" s="25"/>
    </row>
    <row r="4" spans="2:23" x14ac:dyDescent="0.25">
      <c r="C4" s="30"/>
    </row>
    <row r="5" spans="2:23" x14ac:dyDescent="0.25">
      <c r="B5" s="26" t="s">
        <v>150</v>
      </c>
    </row>
    <row r="6" spans="2:23" x14ac:dyDescent="0.25">
      <c r="B6" s="26" t="s">
        <v>182</v>
      </c>
      <c r="C6" s="26" t="s">
        <v>158</v>
      </c>
      <c r="D6" s="26" t="s">
        <v>159</v>
      </c>
      <c r="E6" s="26" t="s">
        <v>160</v>
      </c>
      <c r="F6" s="26" t="s">
        <v>161</v>
      </c>
      <c r="G6" s="26" t="s">
        <v>162</v>
      </c>
      <c r="H6" s="27" t="s">
        <v>163</v>
      </c>
      <c r="I6" s="27" t="s">
        <v>164</v>
      </c>
      <c r="J6" s="26" t="s">
        <v>165</v>
      </c>
      <c r="K6" s="26" t="s">
        <v>166</v>
      </c>
      <c r="L6" s="26" t="s">
        <v>167</v>
      </c>
      <c r="M6" s="26" t="s">
        <v>226</v>
      </c>
      <c r="N6" s="26" t="s">
        <v>226</v>
      </c>
      <c r="O6" s="26" t="s">
        <v>169</v>
      </c>
      <c r="P6" s="26" t="s">
        <v>170</v>
      </c>
      <c r="Q6" s="26" t="s">
        <v>171</v>
      </c>
      <c r="R6" s="26" t="s">
        <v>172</v>
      </c>
      <c r="S6" s="26" t="s">
        <v>173</v>
      </c>
      <c r="T6" s="26" t="s">
        <v>174</v>
      </c>
      <c r="U6" s="26" t="s">
        <v>175</v>
      </c>
      <c r="V6" s="1"/>
      <c r="W6" s="1"/>
    </row>
    <row r="7" spans="2:23" x14ac:dyDescent="0.25">
      <c r="B7" s="26" t="s">
        <v>69</v>
      </c>
      <c r="C7" s="1">
        <f>VLOOKUP(B7,'[1]feuille de base'!B:C,2,FALSE)</f>
        <v>1.45</v>
      </c>
      <c r="D7" s="1">
        <f>VLOOKUP(B7,'feuille de base Mars 2016'!B:D,3,FALSE)</f>
        <v>2</v>
      </c>
      <c r="E7" s="1">
        <f>(D7*H7)</f>
        <v>424</v>
      </c>
      <c r="F7" s="1">
        <f>(E7/1000)*C7</f>
        <v>0.61480000000000001</v>
      </c>
      <c r="G7" s="1">
        <v>47</v>
      </c>
      <c r="H7" s="1">
        <v>212</v>
      </c>
      <c r="I7" s="1">
        <f>SUM(212+306+306)</f>
        <v>824</v>
      </c>
      <c r="J7" s="1">
        <v>1.35</v>
      </c>
      <c r="K7" s="1">
        <f>SUM(212+306+306)</f>
        <v>824</v>
      </c>
      <c r="L7" s="1">
        <f>(K7*3.33)/1000</f>
        <v>2.7439200000000001</v>
      </c>
      <c r="M7" s="1">
        <f>L7*0.11</f>
        <v>0.30183120000000002</v>
      </c>
      <c r="N7" s="1">
        <f>(K7/1000)*5.5</f>
        <v>4.532</v>
      </c>
      <c r="P7" s="1">
        <f>(((4.18*212*(80-22))))</f>
        <v>51397.279999999999</v>
      </c>
      <c r="Q7" s="1">
        <f>P7/3600</f>
        <v>14.277022222222222</v>
      </c>
      <c r="R7" s="1">
        <f>70/60</f>
        <v>1.1666666666666667</v>
      </c>
      <c r="S7" s="1"/>
      <c r="T7" s="1"/>
      <c r="U7" s="1">
        <f>Q7*R7*0.17</f>
        <v>2.8316094074074076</v>
      </c>
      <c r="V7" s="1"/>
      <c r="W7" s="1"/>
    </row>
    <row r="8" spans="2:23" x14ac:dyDescent="0.25">
      <c r="B8" s="26" t="s">
        <v>70</v>
      </c>
      <c r="C8" s="1">
        <f>VLOOKUP(B8,'[1]feuille de base'!B:C,2,FALSE)</f>
        <v>7.3529999999999998</v>
      </c>
      <c r="D8">
        <v>0</v>
      </c>
      <c r="E8" s="1">
        <f>(D8*G8)*1000</f>
        <v>0</v>
      </c>
      <c r="F8" s="1">
        <f>(E8/1000)*C8</f>
        <v>0</v>
      </c>
      <c r="G8" s="1">
        <v>47</v>
      </c>
      <c r="H8" s="1">
        <v>212</v>
      </c>
      <c r="J8" s="1"/>
      <c r="K8" s="1"/>
      <c r="L8" s="1"/>
      <c r="M8" s="1"/>
      <c r="N8" s="1"/>
      <c r="P8" s="1">
        <f>(4.18*306*(50-26))*2</f>
        <v>61395.839999999997</v>
      </c>
      <c r="Q8" s="1">
        <f>P8/3600</f>
        <v>17.054399999999998</v>
      </c>
      <c r="R8" s="1">
        <f>(15/60)*2</f>
        <v>0.5</v>
      </c>
      <c r="S8" s="1"/>
      <c r="T8" s="1"/>
      <c r="U8" s="1">
        <f t="shared" ref="U8:U9" si="0">Q8*R8*0.17</f>
        <v>1.4496239999999998</v>
      </c>
      <c r="V8" s="1"/>
      <c r="W8" s="1"/>
    </row>
    <row r="9" spans="2:23" x14ac:dyDescent="0.25">
      <c r="B9" s="26" t="s">
        <v>71</v>
      </c>
      <c r="C9" s="1">
        <f>VLOOKUP(B9,'[1]feuille de base'!B:C,2,FALSE)</f>
        <v>7.9089999999999998</v>
      </c>
      <c r="D9" s="1">
        <f>VLOOKUP(B8,'feuille de base Mars 2016'!B:D,3,FALSE)</f>
        <v>0.02</v>
      </c>
      <c r="E9" s="1">
        <f>(D9*G9)*1000</f>
        <v>940.00000000000011</v>
      </c>
      <c r="F9" s="1">
        <f>(E9/1000)*C9</f>
        <v>7.4344600000000014</v>
      </c>
      <c r="G9" s="1">
        <v>47</v>
      </c>
      <c r="H9" s="1">
        <v>212</v>
      </c>
      <c r="J9" s="1"/>
      <c r="K9" s="1"/>
      <c r="L9" s="1"/>
      <c r="M9" s="1"/>
      <c r="N9" s="1"/>
      <c r="P9" s="1">
        <f>(4.18*306*(40-25))</f>
        <v>19186.199999999997</v>
      </c>
      <c r="Q9" s="1">
        <f>P9/3600</f>
        <v>5.3294999999999995</v>
      </c>
      <c r="R9" s="1">
        <f>20/60</f>
        <v>0.33333333333333331</v>
      </c>
      <c r="S9" s="1"/>
      <c r="T9" s="1"/>
      <c r="U9" s="1">
        <f t="shared" si="0"/>
        <v>0.30200499999999997</v>
      </c>
      <c r="V9" s="1"/>
      <c r="W9" s="1"/>
    </row>
    <row r="10" spans="2:23" x14ac:dyDescent="0.25">
      <c r="B10" s="26" t="s">
        <v>72</v>
      </c>
      <c r="C10" s="1">
        <f>VLOOKUP(B10,'[1]feuille de base'!B:C,2,FALSE)</f>
        <v>0.77</v>
      </c>
      <c r="D10" s="1">
        <f>VLOOKUP(B10,'feuille de base Mars 2016'!B:D,3,FALSE)</f>
        <v>2</v>
      </c>
      <c r="E10" s="1">
        <f>(D10*H10)</f>
        <v>424</v>
      </c>
      <c r="F10" s="1">
        <f>(E10/1000)*C10</f>
        <v>0.32647999999999999</v>
      </c>
      <c r="G10" s="1">
        <v>47</v>
      </c>
      <c r="H10" s="1">
        <v>212</v>
      </c>
      <c r="J10" s="1"/>
      <c r="K10" s="1"/>
      <c r="L10" s="1"/>
      <c r="M10" s="1"/>
      <c r="N10" s="1"/>
      <c r="P10" s="1"/>
      <c r="Q10" s="1"/>
      <c r="R10" s="1"/>
      <c r="S10" s="1"/>
      <c r="T10" s="1"/>
      <c r="U10" s="1"/>
      <c r="V10" s="1"/>
      <c r="W10" s="1"/>
    </row>
    <row r="11" spans="2:23" x14ac:dyDescent="0.25">
      <c r="B11" s="26" t="s">
        <v>73</v>
      </c>
      <c r="C11" s="1">
        <f>VLOOKUP(B11,'[1]feuille de base'!B:C,2,FALSE)</f>
        <v>1.45</v>
      </c>
      <c r="D11" s="1">
        <f>VLOOKUP(B11,'feuille de base Mars 2016'!B:D,3,FALSE)</f>
        <v>1</v>
      </c>
      <c r="E11" s="1">
        <f>(D11*H11)</f>
        <v>306</v>
      </c>
      <c r="F11" s="1">
        <f>(E11/1000)*C11</f>
        <v>0.44369999999999998</v>
      </c>
      <c r="G11" s="1">
        <v>47</v>
      </c>
      <c r="H11" s="1">
        <v>306</v>
      </c>
      <c r="J11" s="1"/>
      <c r="K11" s="1"/>
      <c r="L11" s="1"/>
      <c r="M11" s="1"/>
      <c r="N11" s="1"/>
      <c r="P11" s="1"/>
      <c r="Q11" s="1"/>
      <c r="R11" s="1"/>
      <c r="S11" s="1"/>
      <c r="T11" s="1"/>
      <c r="U11" s="1"/>
      <c r="V11" s="1"/>
      <c r="W11" s="1"/>
    </row>
    <row r="12" spans="2:23" x14ac:dyDescent="0.25">
      <c r="B12" s="26" t="s">
        <v>74</v>
      </c>
      <c r="C12" s="1">
        <f>VLOOKUP(B12,'[1]feuille de base'!B:C,2,FALSE)</f>
        <v>8.02</v>
      </c>
      <c r="D12" s="1">
        <f>VLOOKUP(B12,'feuille de base Mars 2016'!B:D,3,FALSE)</f>
        <v>0</v>
      </c>
      <c r="E12" s="1">
        <f>(D12*H12)</f>
        <v>0</v>
      </c>
      <c r="F12" s="1">
        <f t="shared" ref="F12:F13" si="1">(E12/1000)*C12</f>
        <v>0</v>
      </c>
      <c r="G12" s="1">
        <v>47</v>
      </c>
      <c r="H12" s="1">
        <v>306</v>
      </c>
      <c r="J12" s="1"/>
      <c r="K12" s="1"/>
      <c r="L12" s="1"/>
      <c r="M12" s="1"/>
      <c r="N12" s="1"/>
      <c r="P12" s="1"/>
      <c r="Q12" s="1"/>
      <c r="R12" s="1"/>
      <c r="S12" s="1"/>
      <c r="T12" s="1"/>
      <c r="U12" s="1"/>
      <c r="V12" s="1"/>
      <c r="W12" s="1"/>
    </row>
    <row r="13" spans="2:23" x14ac:dyDescent="0.25">
      <c r="B13" s="26" t="s">
        <v>76</v>
      </c>
      <c r="C13" s="1">
        <f>VLOOKUP(B13,'[1]feuille de base'!B:C,2,FALSE)</f>
        <v>6.4610000000000003</v>
      </c>
      <c r="D13" s="1">
        <f>VLOOKUP(B13,'feuille de base Mars 2016'!B:D,3,FALSE)</f>
        <v>0</v>
      </c>
      <c r="E13" s="1">
        <f>(D13*H13)</f>
        <v>0</v>
      </c>
      <c r="F13" s="1">
        <f t="shared" si="1"/>
        <v>0</v>
      </c>
      <c r="G13" s="1">
        <v>47</v>
      </c>
      <c r="H13" s="1">
        <v>306</v>
      </c>
      <c r="J13" s="1"/>
      <c r="K13" s="1"/>
      <c r="L13" s="1"/>
      <c r="M13" s="1">
        <f>SUM(M7:M12,N7)</f>
        <v>4.8338311999999997</v>
      </c>
      <c r="N13" s="1"/>
      <c r="P13" s="1">
        <f>SUM(P7:P9)</f>
        <v>131979.32</v>
      </c>
      <c r="Q13" s="1">
        <f>SUM(Q7:Q9)</f>
        <v>36.660922222222219</v>
      </c>
      <c r="R13" s="1">
        <f>SUM(R7:R11)</f>
        <v>2</v>
      </c>
      <c r="S13" s="1"/>
      <c r="T13" s="1"/>
      <c r="U13" s="1">
        <f>SUM(U7:U9)</f>
        <v>4.583238407407408</v>
      </c>
      <c r="V13" s="1"/>
      <c r="W13" s="1"/>
    </row>
    <row r="14" spans="2:23" x14ac:dyDescent="0.25">
      <c r="B14" s="17"/>
      <c r="F14" s="17">
        <f>SUM(F7:F11,M22,U13)</f>
        <v>13.75579160740741</v>
      </c>
      <c r="M14" s="17"/>
      <c r="N14" s="17"/>
    </row>
    <row r="20" spans="2:23" x14ac:dyDescent="0.25">
      <c r="B20" s="16" t="s">
        <v>151</v>
      </c>
    </row>
    <row r="21" spans="2:23" x14ac:dyDescent="0.25">
      <c r="B21" s="35" t="s">
        <v>13</v>
      </c>
      <c r="C21" s="28" t="s">
        <v>176</v>
      </c>
      <c r="D21" s="28" t="s">
        <v>177</v>
      </c>
      <c r="E21" s="28" t="s">
        <v>178</v>
      </c>
      <c r="F21" s="28" t="s">
        <v>176</v>
      </c>
      <c r="G21" s="28" t="s">
        <v>162</v>
      </c>
      <c r="H21" s="28" t="s">
        <v>179</v>
      </c>
      <c r="I21" s="28"/>
      <c r="J21" s="28" t="s">
        <v>165</v>
      </c>
      <c r="K21" s="28" t="s">
        <v>180</v>
      </c>
      <c r="L21" s="28" t="s">
        <v>167</v>
      </c>
      <c r="M21" s="28" t="s">
        <v>226</v>
      </c>
      <c r="N21" s="28" t="s">
        <v>226</v>
      </c>
      <c r="O21" s="28" t="s">
        <v>169</v>
      </c>
      <c r="P21" s="28" t="s">
        <v>170</v>
      </c>
      <c r="Q21" s="28" t="s">
        <v>171</v>
      </c>
      <c r="R21" s="28" t="s">
        <v>172</v>
      </c>
      <c r="S21" s="28" t="s">
        <v>173</v>
      </c>
      <c r="T21" s="28" t="s">
        <v>174</v>
      </c>
      <c r="U21" s="28" t="s">
        <v>175</v>
      </c>
      <c r="V21" s="28"/>
      <c r="W21" s="28"/>
    </row>
    <row r="22" spans="2:23" x14ac:dyDescent="0.25">
      <c r="B22" s="1" t="s">
        <v>80</v>
      </c>
      <c r="C22" s="1">
        <f>VLOOKUP(B22,'[1]feuille de base'!B:C,2,FALSE)</f>
        <v>194.78</v>
      </c>
      <c r="D22" s="1">
        <f>VLOOKUP(B22,'feuille de base Mars 2016'!B:D,3,FALSE)</f>
        <v>0</v>
      </c>
      <c r="E22" s="1">
        <f>(D22*G22)*1000</f>
        <v>0</v>
      </c>
      <c r="F22" s="1">
        <f t="shared" ref="F22:F36" si="2">(E22*G22)/1000</f>
        <v>0</v>
      </c>
      <c r="G22" s="1">
        <v>47</v>
      </c>
      <c r="H22" s="1">
        <v>212</v>
      </c>
      <c r="I22" s="1"/>
      <c r="J22" s="1">
        <v>0.33</v>
      </c>
      <c r="K22" s="1">
        <f>212+376+376</f>
        <v>964</v>
      </c>
      <c r="L22" s="1">
        <f>(K22*3.33)/1000</f>
        <v>3.2101199999999999</v>
      </c>
      <c r="M22" s="1">
        <f>L22*0.11</f>
        <v>0.35311319999999996</v>
      </c>
      <c r="N22" s="1">
        <f>(K22/1000)*5.5</f>
        <v>5.3019999999999996</v>
      </c>
      <c r="O22" s="1"/>
      <c r="P22" s="1">
        <f>(212*4.18*(40-25))</f>
        <v>13292.4</v>
      </c>
      <c r="Q22" s="1">
        <f>P22/3600</f>
        <v>3.692333333333333</v>
      </c>
      <c r="R22" s="1">
        <f>43/60</f>
        <v>0.71666666666666667</v>
      </c>
      <c r="S22" s="1"/>
      <c r="T22" s="1"/>
      <c r="U22" s="1">
        <f>Q22*R22*0.17</f>
        <v>0.44984927777777778</v>
      </c>
      <c r="V22" s="1"/>
      <c r="W22" s="1"/>
    </row>
    <row r="23" spans="2:23" x14ac:dyDescent="0.25">
      <c r="B23" s="1" t="s">
        <v>81</v>
      </c>
      <c r="C23" s="1">
        <f>VLOOKUP(B23,'[1]feuille de base'!B:C,2,FALSE)</f>
        <v>76.37</v>
      </c>
      <c r="D23" s="1">
        <f>VLOOKUP(B23,'feuille de base Mars 2016'!B:D,3,FALSE)</f>
        <v>0</v>
      </c>
      <c r="E23" s="1">
        <f t="shared" ref="E23:E60" si="3">(D23*G23)*1000</f>
        <v>0</v>
      </c>
      <c r="F23" s="1">
        <f t="shared" si="2"/>
        <v>0</v>
      </c>
      <c r="G23" s="1">
        <v>47</v>
      </c>
      <c r="H23" s="1">
        <v>212</v>
      </c>
      <c r="I23" s="1"/>
      <c r="J23" s="1">
        <v>1.83</v>
      </c>
      <c r="K23" s="1"/>
      <c r="L23" s="1"/>
      <c r="M23" s="36">
        <f>(964/1000)*1.19</f>
        <v>1.14716</v>
      </c>
      <c r="N23" s="1"/>
      <c r="O23" s="1"/>
      <c r="P23" s="1">
        <f>(4.18*215)*(98-38)</f>
        <v>53921.999999999993</v>
      </c>
      <c r="Q23" s="1">
        <f t="shared" ref="Q23:Q25" si="4">P23/3600</f>
        <v>14.978333333333332</v>
      </c>
      <c r="R23" s="1">
        <f>145/60</f>
        <v>2.4166666666666665</v>
      </c>
      <c r="S23" s="1"/>
      <c r="T23" s="1"/>
      <c r="U23" s="1">
        <f t="shared" ref="U23:U25" si="5">Q23*R23*0.17</f>
        <v>6.1535986111111107</v>
      </c>
      <c r="V23" s="1"/>
      <c r="W23" s="1"/>
    </row>
    <row r="24" spans="2:23" x14ac:dyDescent="0.25">
      <c r="B24" s="1" t="s">
        <v>82</v>
      </c>
      <c r="C24" s="1">
        <f>VLOOKUP(B24,'[1]feuille de base'!B:C,2,FALSE)</f>
        <v>50.86524</v>
      </c>
      <c r="D24" s="1">
        <f>VLOOKUP(B24,'feuille de base Mars 2016'!B:D,3,FALSE)</f>
        <v>0</v>
      </c>
      <c r="E24" s="1">
        <f t="shared" si="3"/>
        <v>0</v>
      </c>
      <c r="F24" s="1">
        <f t="shared" si="2"/>
        <v>0</v>
      </c>
      <c r="G24" s="1">
        <v>47</v>
      </c>
      <c r="H24" s="1">
        <v>212</v>
      </c>
      <c r="I24" s="1"/>
      <c r="J24" s="1">
        <v>0.16</v>
      </c>
      <c r="K24" s="1"/>
      <c r="L24" s="1"/>
      <c r="M24" s="1"/>
      <c r="N24" s="1"/>
      <c r="O24" s="1"/>
      <c r="P24" s="1">
        <f>(215*4.18*(98-70))</f>
        <v>25163.599999999999</v>
      </c>
      <c r="Q24" s="1">
        <f t="shared" si="4"/>
        <v>6.9898888888888884</v>
      </c>
      <c r="R24" s="1">
        <f>15/60</f>
        <v>0.25</v>
      </c>
      <c r="S24" s="1"/>
      <c r="T24" s="1"/>
      <c r="U24" s="1">
        <f t="shared" si="5"/>
        <v>0.29707027777777778</v>
      </c>
      <c r="V24" s="1"/>
      <c r="W24" s="1"/>
    </row>
    <row r="25" spans="2:23" x14ac:dyDescent="0.25">
      <c r="B25" s="1" t="s">
        <v>83</v>
      </c>
      <c r="C25" s="1">
        <f>VLOOKUP(B25,'[1]feuille de base'!B:C,2,FALSE)</f>
        <v>56.493000000000002</v>
      </c>
      <c r="D25" s="1">
        <f>VLOOKUP(B25,'feuille de base Mars 2016'!B:D,3,FALSE)</f>
        <v>0</v>
      </c>
      <c r="E25" s="1">
        <f t="shared" si="3"/>
        <v>0</v>
      </c>
      <c r="F25" s="1">
        <f t="shared" si="2"/>
        <v>0</v>
      </c>
      <c r="G25" s="1">
        <v>47</v>
      </c>
      <c r="H25" s="1">
        <v>212</v>
      </c>
      <c r="I25" s="1"/>
      <c r="J25" s="1"/>
      <c r="K25" s="1"/>
      <c r="L25" s="1"/>
      <c r="M25" s="1"/>
      <c r="N25" s="1"/>
      <c r="O25" s="1"/>
      <c r="P25" s="28">
        <f>(4.18*376*(35-25))*2</f>
        <v>31433.599999999999</v>
      </c>
      <c r="Q25" s="1">
        <f t="shared" si="4"/>
        <v>8.7315555555555555</v>
      </c>
      <c r="R25" s="1">
        <f>15/60</f>
        <v>0.25</v>
      </c>
      <c r="S25" s="1"/>
      <c r="T25" s="1"/>
      <c r="U25" s="1">
        <f t="shared" si="5"/>
        <v>0.37109111111111115</v>
      </c>
      <c r="V25" s="1"/>
      <c r="W25" s="1"/>
    </row>
    <row r="26" spans="2:23" x14ac:dyDescent="0.25">
      <c r="B26" s="1" t="s">
        <v>84</v>
      </c>
      <c r="C26" s="1">
        <f>VLOOKUP(B26,'[1]feuille de base'!B:C,2,FALSE)</f>
        <v>56.83</v>
      </c>
      <c r="D26" s="1">
        <f>VLOOKUP(B26,'feuille de base Mars 2016'!B:D,3,FALSE)</f>
        <v>0</v>
      </c>
      <c r="E26" s="1">
        <f t="shared" si="3"/>
        <v>0</v>
      </c>
      <c r="F26" s="1">
        <f t="shared" si="2"/>
        <v>0</v>
      </c>
      <c r="G26" s="1">
        <v>47</v>
      </c>
      <c r="H26" s="1">
        <v>212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25">
      <c r="B27" s="1" t="s">
        <v>85</v>
      </c>
      <c r="C27" s="1">
        <f>VLOOKUP(B27,'[1]feuille de base'!B:C,2,FALSE)</f>
        <v>33.15</v>
      </c>
      <c r="D27" s="1">
        <f>VLOOKUP(B27,'feuille de base Mars 2016'!B:D,3,FALSE)</f>
        <v>0</v>
      </c>
      <c r="E27" s="1">
        <f t="shared" si="3"/>
        <v>0</v>
      </c>
      <c r="F27" s="1">
        <f t="shared" si="2"/>
        <v>0</v>
      </c>
      <c r="G27" s="1">
        <v>47</v>
      </c>
      <c r="H27" s="1">
        <v>212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x14ac:dyDescent="0.25">
      <c r="B28" s="1" t="s">
        <v>86</v>
      </c>
      <c r="C28" s="1">
        <f>VLOOKUP(B28,'[1]feuille de base'!B:C,2,FALSE)</f>
        <v>42.26</v>
      </c>
      <c r="D28" s="1">
        <f>VLOOKUP(B28,'feuille de base Mars 2016'!B:D,3,FALSE)</f>
        <v>0</v>
      </c>
      <c r="E28" s="1">
        <f t="shared" si="3"/>
        <v>0</v>
      </c>
      <c r="F28" s="1">
        <f t="shared" si="2"/>
        <v>0</v>
      </c>
      <c r="G28" s="1">
        <v>47</v>
      </c>
      <c r="H28" s="1">
        <v>212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x14ac:dyDescent="0.25">
      <c r="B29" s="1" t="s">
        <v>87</v>
      </c>
      <c r="C29" s="1">
        <f>VLOOKUP(B29,'[1]feuille de base'!B:C,2,FALSE)</f>
        <v>51.12</v>
      </c>
      <c r="D29" s="1">
        <f>VLOOKUP(B29,'feuille de base Mars 2016'!B:D,3,FALSE)</f>
        <v>0</v>
      </c>
      <c r="E29" s="1">
        <f t="shared" si="3"/>
        <v>0</v>
      </c>
      <c r="F29" s="1">
        <f t="shared" si="2"/>
        <v>0</v>
      </c>
      <c r="G29" s="1">
        <v>47</v>
      </c>
      <c r="H29" s="1">
        <v>212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x14ac:dyDescent="0.25">
      <c r="B30" s="1" t="s">
        <v>88</v>
      </c>
      <c r="C30" s="1">
        <f>VLOOKUP(B30,'[1]feuille de base'!B:C,2,FALSE)</f>
        <v>0</v>
      </c>
      <c r="D30" s="1">
        <f>VLOOKUP(B30,'feuille de base Mars 2016'!B:D,3,FALSE)</f>
        <v>0</v>
      </c>
      <c r="E30" s="1">
        <f t="shared" si="3"/>
        <v>0</v>
      </c>
      <c r="F30" s="1">
        <f t="shared" si="2"/>
        <v>0</v>
      </c>
      <c r="G30" s="1">
        <v>47</v>
      </c>
      <c r="H30" s="1">
        <v>212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x14ac:dyDescent="0.25">
      <c r="B31" s="1" t="s">
        <v>89</v>
      </c>
      <c r="C31" s="1">
        <f>VLOOKUP(B31,'[1]feuille de base'!B:C,2,FALSE)</f>
        <v>39.799999999999997</v>
      </c>
      <c r="D31" s="1">
        <f>VLOOKUP(B31,'feuille de base Mars 2016'!B:D,3,FALSE)</f>
        <v>0</v>
      </c>
      <c r="E31" s="1">
        <f t="shared" si="3"/>
        <v>0</v>
      </c>
      <c r="F31" s="1">
        <f t="shared" si="2"/>
        <v>0</v>
      </c>
      <c r="G31" s="1">
        <v>47</v>
      </c>
      <c r="H31" s="1">
        <v>212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2:23" x14ac:dyDescent="0.25">
      <c r="B32" s="1" t="s">
        <v>90</v>
      </c>
      <c r="C32" s="1">
        <f>VLOOKUP(B32,'[1]feuille de base'!B:C,2,FALSE)</f>
        <v>37.43</v>
      </c>
      <c r="D32" s="1">
        <f>VLOOKUP(B32,'feuille de base Mars 2016'!B:D,3,FALSE)</f>
        <v>0</v>
      </c>
      <c r="E32" s="1">
        <f t="shared" si="3"/>
        <v>0</v>
      </c>
      <c r="F32" s="1">
        <f t="shared" si="2"/>
        <v>0</v>
      </c>
      <c r="G32" s="1">
        <v>47</v>
      </c>
      <c r="H32" s="1">
        <v>212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x14ac:dyDescent="0.25">
      <c r="B33" s="1" t="s">
        <v>91</v>
      </c>
      <c r="C33" s="1">
        <f>VLOOKUP(B33,'[1]feuille de base'!B:C,2,FALSE)</f>
        <v>43.412580000000005</v>
      </c>
      <c r="D33" s="1">
        <f>VLOOKUP(B33,'feuille de base Mars 2016'!B:D,3,FALSE)</f>
        <v>0</v>
      </c>
      <c r="E33" s="1">
        <f t="shared" si="3"/>
        <v>0</v>
      </c>
      <c r="F33" s="1">
        <f t="shared" si="2"/>
        <v>0</v>
      </c>
      <c r="G33" s="1">
        <v>47</v>
      </c>
      <c r="H33" s="1">
        <v>212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1" t="s">
        <v>92</v>
      </c>
      <c r="C34" s="1">
        <f>VLOOKUP(B34,'[1]feuille de base'!B:C,2,FALSE)</f>
        <v>60.57</v>
      </c>
      <c r="D34" s="1">
        <f>VLOOKUP(B34,'feuille de base Mars 2016'!B:D,3,FALSE)</f>
        <v>0</v>
      </c>
      <c r="E34" s="1">
        <f t="shared" si="3"/>
        <v>0</v>
      </c>
      <c r="F34" s="1">
        <f t="shared" si="2"/>
        <v>0</v>
      </c>
      <c r="G34" s="1">
        <v>47</v>
      </c>
      <c r="H34" s="1">
        <v>212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2:23" x14ac:dyDescent="0.25">
      <c r="B35" s="1" t="s">
        <v>93</v>
      </c>
      <c r="C35" s="1">
        <f>VLOOKUP(B35,'[1]feuille de base'!B:C,2,FALSE)</f>
        <v>63.36</v>
      </c>
      <c r="D35" s="1">
        <f>VLOOKUP(B35,'feuille de base Mars 2016'!B:D,3,FALSE)</f>
        <v>0</v>
      </c>
      <c r="E35" s="1">
        <f t="shared" si="3"/>
        <v>0</v>
      </c>
      <c r="F35" s="1">
        <f t="shared" si="2"/>
        <v>0</v>
      </c>
      <c r="G35" s="1">
        <v>47</v>
      </c>
      <c r="H35" s="1">
        <v>212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23" x14ac:dyDescent="0.25">
      <c r="B36" s="1" t="s">
        <v>94</v>
      </c>
      <c r="C36" s="1">
        <f>VLOOKUP(B36,'[1]feuille de base'!B:C,2,FALSE)</f>
        <v>31.45</v>
      </c>
      <c r="D36" s="1">
        <f>VLOOKUP(B36,'feuille de base Mars 2016'!B:D,3,FALSE)</f>
        <v>0</v>
      </c>
      <c r="E36" s="1">
        <f t="shared" si="3"/>
        <v>0</v>
      </c>
      <c r="F36" s="1">
        <f t="shared" si="2"/>
        <v>0</v>
      </c>
      <c r="G36" s="1">
        <v>47</v>
      </c>
      <c r="H36" s="1">
        <v>212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2:23" x14ac:dyDescent="0.25">
      <c r="B37" s="1" t="s">
        <v>95</v>
      </c>
      <c r="C37" s="1">
        <f>VLOOKUP(B37,'[1]feuille de base'!B:C,2,FALSE)</f>
        <v>66.45</v>
      </c>
      <c r="D37" s="1">
        <f>VLOOKUP(B37,'feuille de base Mars 2016'!B:D,3,FALSE)</f>
        <v>0</v>
      </c>
      <c r="E37" s="1">
        <f>(D37*G37)*1000</f>
        <v>0</v>
      </c>
      <c r="F37" s="1">
        <f>(E37/1000)*C37</f>
        <v>0</v>
      </c>
      <c r="G37" s="1">
        <v>47</v>
      </c>
      <c r="H37" s="1">
        <v>212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2:23" x14ac:dyDescent="0.25">
      <c r="B38" s="1" t="s">
        <v>96</v>
      </c>
      <c r="C38" s="1">
        <f>VLOOKUP(B38,'[1]feuille de base'!B:C,2,FALSE)</f>
        <v>40.816960000000002</v>
      </c>
      <c r="D38" s="1">
        <f>VLOOKUP(B38,'feuille de base Mars 2016'!B:D,3,FALSE)</f>
        <v>0</v>
      </c>
      <c r="E38" s="1">
        <f t="shared" si="3"/>
        <v>0</v>
      </c>
      <c r="F38" s="1">
        <f t="shared" ref="F38:F48" si="6">(E38/1000)*C38</f>
        <v>0</v>
      </c>
      <c r="G38" s="1">
        <v>47</v>
      </c>
      <c r="H38" s="1">
        <v>212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25">
      <c r="B39" s="1" t="s">
        <v>97</v>
      </c>
      <c r="C39" s="1">
        <f>VLOOKUP(B39,'[1]feuille de base'!B:C,2,FALSE)</f>
        <v>12.81</v>
      </c>
      <c r="D39" s="1">
        <f>VLOOKUP(B39,'feuille de base Mars 2016'!B:D,3,FALSE)</f>
        <v>0</v>
      </c>
      <c r="E39" s="1">
        <f t="shared" si="3"/>
        <v>0</v>
      </c>
      <c r="F39" s="1">
        <f t="shared" si="6"/>
        <v>0</v>
      </c>
      <c r="G39" s="1">
        <v>47</v>
      </c>
      <c r="H39" s="1">
        <v>212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25">
      <c r="B40" s="1" t="s">
        <v>98</v>
      </c>
      <c r="C40" s="1">
        <f>VLOOKUP(B40,'[1]feuille de base'!B:C,2,FALSE)</f>
        <v>17.68</v>
      </c>
      <c r="D40" s="1">
        <f>VLOOKUP(B40,'feuille de base Mars 2016'!B:D,3,FALSE)</f>
        <v>0</v>
      </c>
      <c r="E40" s="1">
        <f t="shared" si="3"/>
        <v>0</v>
      </c>
      <c r="F40" s="1">
        <f t="shared" si="6"/>
        <v>0</v>
      </c>
      <c r="G40" s="1">
        <v>47</v>
      </c>
      <c r="H40" s="1">
        <v>212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x14ac:dyDescent="0.25">
      <c r="B41" s="1" t="s">
        <v>99</v>
      </c>
      <c r="C41" s="1">
        <f>VLOOKUP(B41,'[1]feuille de base'!B:C,2,FALSE)</f>
        <v>23.4</v>
      </c>
      <c r="D41" s="1">
        <f>VLOOKUP(B41,'feuille de base Mars 2016'!B:D,3,FALSE)</f>
        <v>0</v>
      </c>
      <c r="E41" s="1">
        <f t="shared" si="3"/>
        <v>0</v>
      </c>
      <c r="F41" s="1">
        <f t="shared" si="6"/>
        <v>0</v>
      </c>
      <c r="G41" s="1">
        <v>47</v>
      </c>
      <c r="H41" s="1">
        <v>212</v>
      </c>
      <c r="I41" s="1"/>
      <c r="J41" s="1"/>
      <c r="K41" s="1"/>
      <c r="L41" s="1"/>
      <c r="M41" s="1"/>
      <c r="N41" s="1"/>
      <c r="O41" s="1"/>
      <c r="P41" s="1">
        <v>0</v>
      </c>
      <c r="Q41" s="1"/>
      <c r="R41" s="1"/>
      <c r="S41" s="1"/>
      <c r="T41" s="1"/>
      <c r="U41" s="1"/>
      <c r="V41" s="1"/>
      <c r="W41" s="1"/>
    </row>
    <row r="42" spans="2:23" x14ac:dyDescent="0.25">
      <c r="B42" s="1" t="s">
        <v>100</v>
      </c>
      <c r="C42" s="1">
        <f>VLOOKUP(B42,'[1]feuille de base'!B:C,2,FALSE)</f>
        <v>44.8</v>
      </c>
      <c r="D42" s="1">
        <f>VLOOKUP(B42,'feuille de base Mars 2016'!B:D,3,FALSE)</f>
        <v>0</v>
      </c>
      <c r="E42" s="1">
        <f t="shared" si="3"/>
        <v>0</v>
      </c>
      <c r="F42" s="1">
        <f t="shared" si="6"/>
        <v>0</v>
      </c>
      <c r="G42" s="1">
        <v>47</v>
      </c>
      <c r="H42" s="1">
        <v>212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25">
      <c r="B43" s="1" t="s">
        <v>101</v>
      </c>
      <c r="C43" s="1">
        <f>VLOOKUP(B43,'[1]feuille de base'!B:C,2,FALSE)</f>
        <v>21.65</v>
      </c>
      <c r="D43" s="1">
        <f>VLOOKUP(B43,'feuille de base Mars 2016'!B:D,3,FALSE)</f>
        <v>0</v>
      </c>
      <c r="E43" s="1">
        <f t="shared" si="3"/>
        <v>0</v>
      </c>
      <c r="F43" s="1">
        <f t="shared" si="6"/>
        <v>0</v>
      </c>
      <c r="G43" s="1">
        <v>47</v>
      </c>
      <c r="H43" s="1">
        <v>212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x14ac:dyDescent="0.25">
      <c r="B44" s="1" t="s">
        <v>102</v>
      </c>
      <c r="C44" s="1">
        <f>VLOOKUP(B44,'[1]feuille de base'!B:C,2,FALSE)</f>
        <v>13.87</v>
      </c>
      <c r="D44" s="1">
        <f>VLOOKUP(B44,'feuille de base Mars 2016'!B:D,3,FALSE)</f>
        <v>0</v>
      </c>
      <c r="E44" s="1">
        <f t="shared" si="3"/>
        <v>0</v>
      </c>
      <c r="F44" s="1">
        <f t="shared" si="6"/>
        <v>0</v>
      </c>
      <c r="G44" s="1">
        <v>47</v>
      </c>
      <c r="H44" s="1">
        <v>212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x14ac:dyDescent="0.25">
      <c r="B45" s="1" t="s">
        <v>103</v>
      </c>
      <c r="C45" s="1">
        <f>VLOOKUP(B45,'[1]feuille de base'!B:C,2,FALSE)</f>
        <v>37.229880000000009</v>
      </c>
      <c r="D45" s="1">
        <f>VLOOKUP(B45,'feuille de base Mars 2016'!B:D,3,FALSE)</f>
        <v>0</v>
      </c>
      <c r="E45" s="1">
        <f t="shared" si="3"/>
        <v>0</v>
      </c>
      <c r="F45" s="1">
        <f t="shared" si="6"/>
        <v>0</v>
      </c>
      <c r="G45" s="1">
        <v>47</v>
      </c>
      <c r="H45" s="1">
        <v>212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25">
      <c r="B46" s="1" t="s">
        <v>104</v>
      </c>
      <c r="C46" s="1">
        <f>VLOOKUP(B46,'[1]feuille de base'!B:C,2,FALSE)</f>
        <v>36.799999999999997</v>
      </c>
      <c r="D46" s="1">
        <f>VLOOKUP(B46,'feuille de base Mars 2016'!B:D,3,FALSE)</f>
        <v>0</v>
      </c>
      <c r="E46" s="1">
        <f t="shared" si="3"/>
        <v>0</v>
      </c>
      <c r="F46" s="1">
        <f t="shared" si="6"/>
        <v>0</v>
      </c>
      <c r="G46" s="1">
        <v>47</v>
      </c>
      <c r="H46" s="1">
        <v>212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x14ac:dyDescent="0.25">
      <c r="B47" s="1" t="s">
        <v>105</v>
      </c>
      <c r="C47" s="1">
        <f>VLOOKUP(B47,'[1]feuille de base'!B:C,2,FALSE)</f>
        <v>12.922400000000001</v>
      </c>
      <c r="D47" s="1">
        <f>VLOOKUP(B47,'feuille de base Mars 2016'!B:D,3,FALSE)</f>
        <v>0</v>
      </c>
      <c r="E47" s="1">
        <f t="shared" si="3"/>
        <v>0</v>
      </c>
      <c r="F47" s="1">
        <f t="shared" si="6"/>
        <v>0</v>
      </c>
      <c r="G47" s="1">
        <v>47</v>
      </c>
      <c r="H47" s="1">
        <v>212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 x14ac:dyDescent="0.25">
      <c r="B48" s="1" t="s">
        <v>106</v>
      </c>
      <c r="C48" s="1">
        <f>VLOOKUP(B48,'[1]feuille de base'!B:C,2,FALSE)</f>
        <v>13.5</v>
      </c>
      <c r="D48" s="1">
        <f>VLOOKUP(B48,'feuille de base Mars 2016'!B:D,3,FALSE)</f>
        <v>0</v>
      </c>
      <c r="E48" s="1">
        <f t="shared" si="3"/>
        <v>0</v>
      </c>
      <c r="F48" s="1">
        <f t="shared" si="6"/>
        <v>0</v>
      </c>
      <c r="G48" s="1">
        <v>47</v>
      </c>
      <c r="H48" s="1">
        <v>212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 x14ac:dyDescent="0.25">
      <c r="B49" s="1" t="s">
        <v>107</v>
      </c>
      <c r="C49" s="1">
        <f>VLOOKUP(B49,'[1]feuille de base'!B:C,2,FALSE)</f>
        <v>36.650600000000004</v>
      </c>
      <c r="D49" s="1">
        <f>VLOOKUP(B49,'feuille de base Mars 2016'!B:D,3,FALSE)</f>
        <v>7.4999999999999997E-2</v>
      </c>
      <c r="E49" s="1">
        <f>(D49*G49)*1000</f>
        <v>3525</v>
      </c>
      <c r="F49" s="1">
        <f>(E49/1000)*C49</f>
        <v>129.193365</v>
      </c>
      <c r="G49" s="1">
        <v>47</v>
      </c>
      <c r="H49" s="1">
        <v>212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x14ac:dyDescent="0.25">
      <c r="B50" s="1" t="s">
        <v>108</v>
      </c>
      <c r="C50" s="1">
        <f>VLOOKUP(B50,'[1]feuille de base'!B:C,2,FALSE)</f>
        <v>13.145200000000003</v>
      </c>
      <c r="D50" s="1">
        <f>VLOOKUP(B50,'feuille de base Mars 2016'!B:D,3,FALSE)</f>
        <v>0</v>
      </c>
      <c r="E50" s="1">
        <f t="shared" si="3"/>
        <v>0</v>
      </c>
      <c r="F50" s="1">
        <f t="shared" ref="F50:F72" si="7">(E50/1000)*C50</f>
        <v>0</v>
      </c>
      <c r="G50" s="1">
        <v>47</v>
      </c>
      <c r="H50" s="1">
        <v>212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x14ac:dyDescent="0.25">
      <c r="B51" s="1" t="s">
        <v>109</v>
      </c>
      <c r="C51" s="1">
        <f>VLOOKUP(B51,'[1]feuille de base'!B:C,2,FALSE)</f>
        <v>88.006000000000014</v>
      </c>
      <c r="D51" s="1">
        <f>VLOOKUP(B51,'feuille de base Mars 2016'!B:D,3,FALSE)</f>
        <v>0</v>
      </c>
      <c r="E51" s="1">
        <f t="shared" si="3"/>
        <v>0</v>
      </c>
      <c r="F51" s="1">
        <f t="shared" si="7"/>
        <v>0</v>
      </c>
      <c r="G51" s="1">
        <v>47</v>
      </c>
      <c r="H51" s="1">
        <v>212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25">
      <c r="B52" s="1" t="s">
        <v>110</v>
      </c>
      <c r="C52" s="1">
        <f>VLOOKUP(B52,'[1]feuille de base'!B:C,2,FALSE)</f>
        <v>64.849999999999994</v>
      </c>
      <c r="D52" s="1">
        <f>VLOOKUP(B52,'feuille de base Mars 2016'!B:D,3,FALSE)</f>
        <v>0</v>
      </c>
      <c r="E52" s="1">
        <f t="shared" si="3"/>
        <v>0</v>
      </c>
      <c r="F52" s="1">
        <f t="shared" si="7"/>
        <v>0</v>
      </c>
      <c r="G52" s="1">
        <v>47</v>
      </c>
      <c r="H52" s="1">
        <v>212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x14ac:dyDescent="0.25">
      <c r="B53" s="1" t="s">
        <v>111</v>
      </c>
      <c r="C53" s="1">
        <f>VLOOKUP(B53,'[1]feuille de base'!B:C,2,FALSE)</f>
        <v>37.096200000000003</v>
      </c>
      <c r="D53" s="1">
        <f>VLOOKUP(B53,'feuille de base Mars 2016'!B:D,3,FALSE)</f>
        <v>0</v>
      </c>
      <c r="E53" s="1">
        <f>(D53*G53)*1000</f>
        <v>0</v>
      </c>
      <c r="F53" s="1">
        <f t="shared" si="7"/>
        <v>0</v>
      </c>
      <c r="G53" s="1">
        <v>47</v>
      </c>
      <c r="H53" s="1">
        <v>212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2:23" x14ac:dyDescent="0.25">
      <c r="B54" s="1" t="s">
        <v>112</v>
      </c>
      <c r="C54" s="1">
        <f>VLOOKUP(B54,'[1]feuille de base'!B:C,2,FALSE)</f>
        <v>80.631320000000002</v>
      </c>
      <c r="D54" s="1">
        <f>VLOOKUP(B54,'feuille de base Mars 2016'!B:D,3,FALSE)</f>
        <v>0</v>
      </c>
      <c r="E54" s="1">
        <f t="shared" si="3"/>
        <v>0</v>
      </c>
      <c r="F54" s="1">
        <f t="shared" si="7"/>
        <v>0</v>
      </c>
      <c r="G54" s="1">
        <v>47</v>
      </c>
      <c r="H54" s="1">
        <v>212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x14ac:dyDescent="0.25">
      <c r="B55" s="1" t="s">
        <v>113</v>
      </c>
      <c r="C55" s="1">
        <f>VLOOKUP(B55,'[1]feuille de base'!B:C,2,FALSE)</f>
        <v>48.3476</v>
      </c>
      <c r="D55" s="1">
        <f>VLOOKUP(B55,'feuille de base Mars 2016'!B:D,3,FALSE)</f>
        <v>0</v>
      </c>
      <c r="E55" s="1">
        <f t="shared" si="3"/>
        <v>0</v>
      </c>
      <c r="F55" s="1">
        <f t="shared" si="7"/>
        <v>0</v>
      </c>
      <c r="G55" s="1">
        <v>47</v>
      </c>
      <c r="H55" s="1">
        <v>212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x14ac:dyDescent="0.25">
      <c r="B56" s="1" t="s">
        <v>114</v>
      </c>
      <c r="C56" s="1">
        <f>VLOOKUP(B56,'[1]feuille de base'!B:C,2,FALSE)</f>
        <v>29.98</v>
      </c>
      <c r="D56" s="1">
        <f>VLOOKUP(B56,'feuille de base Mars 2016'!B:D,3,FALSE)</f>
        <v>0</v>
      </c>
      <c r="E56" s="1">
        <f t="shared" si="3"/>
        <v>0</v>
      </c>
      <c r="F56" s="1">
        <f t="shared" si="7"/>
        <v>0</v>
      </c>
      <c r="G56" s="1">
        <v>47</v>
      </c>
      <c r="H56" s="1">
        <v>212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x14ac:dyDescent="0.25">
      <c r="B57" s="1" t="s">
        <v>115</v>
      </c>
      <c r="C57" s="1">
        <f>VLOOKUP(B57,'[1]feuille de base'!B:C,2,FALSE)</f>
        <v>40.200000000000003</v>
      </c>
      <c r="D57" s="1">
        <f>VLOOKUP(B57,'feuille de base Mars 2016'!B:D,3,FALSE)</f>
        <v>0</v>
      </c>
      <c r="E57" s="1">
        <f t="shared" si="3"/>
        <v>0</v>
      </c>
      <c r="F57" s="1">
        <f t="shared" si="7"/>
        <v>0</v>
      </c>
      <c r="G57" s="1">
        <v>47</v>
      </c>
      <c r="H57" s="1">
        <v>212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x14ac:dyDescent="0.25">
      <c r="B58" s="1" t="s">
        <v>116</v>
      </c>
      <c r="C58" s="1">
        <f>VLOOKUP(B58,'[1]feuille de base'!B:C,2,FALSE)</f>
        <v>10.026000000000002</v>
      </c>
      <c r="D58" s="1">
        <f>VLOOKUP(B58,'feuille de base Mars 2016'!B:D,3,FALSE)</f>
        <v>0</v>
      </c>
      <c r="E58" s="1">
        <f t="shared" si="3"/>
        <v>0</v>
      </c>
      <c r="F58" s="1">
        <f t="shared" si="7"/>
        <v>0</v>
      </c>
      <c r="G58" s="1">
        <v>47</v>
      </c>
      <c r="H58" s="1">
        <v>212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x14ac:dyDescent="0.25">
      <c r="B59" s="1" t="s">
        <v>117</v>
      </c>
      <c r="C59" s="1">
        <f>VLOOKUP(B59,'[1]feuille de base'!B:C,2,FALSE)</f>
        <v>19.66</v>
      </c>
      <c r="D59" s="1">
        <f>VLOOKUP(B59,'feuille de base Mars 2016'!B:D,3,FALSE)</f>
        <v>0</v>
      </c>
      <c r="E59" s="1">
        <f t="shared" si="3"/>
        <v>0</v>
      </c>
      <c r="F59" s="1">
        <f t="shared" si="7"/>
        <v>0</v>
      </c>
      <c r="G59" s="1">
        <v>47</v>
      </c>
      <c r="H59" s="1">
        <v>212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2:23" x14ac:dyDescent="0.25">
      <c r="B60" s="1" t="s">
        <v>118</v>
      </c>
      <c r="C60" s="1">
        <f>VLOOKUP(B60,'[1]feuille de base'!B:C,2,FALSE)</f>
        <v>35.22</v>
      </c>
      <c r="D60" s="1">
        <f>VLOOKUP(B60,'feuille de base Mars 2016'!B:D,3,FALSE)</f>
        <v>0</v>
      </c>
      <c r="E60" s="1">
        <f t="shared" si="3"/>
        <v>0</v>
      </c>
      <c r="F60" s="1">
        <f t="shared" si="7"/>
        <v>0</v>
      </c>
      <c r="G60" s="1">
        <v>47</v>
      </c>
      <c r="H60" s="1">
        <v>212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2:23" x14ac:dyDescent="0.25">
      <c r="B61" s="28" t="s">
        <v>119</v>
      </c>
      <c r="C61" s="1">
        <f>VLOOKUP(B61,'[1]feuille de base'!B:C,2,FALSE)</f>
        <v>1.45</v>
      </c>
      <c r="D61" s="1">
        <f>VLOOKUP(B61,'feuille de base Mars 2016'!B:D,3,FALSE)</f>
        <v>1</v>
      </c>
      <c r="E61" s="1">
        <f>(D61*H61)</f>
        <v>212</v>
      </c>
      <c r="F61" s="1">
        <f>(E61/1000)*C61</f>
        <v>0.30740000000000001</v>
      </c>
      <c r="G61" s="1">
        <v>47</v>
      </c>
      <c r="H61" s="1">
        <v>212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2:23" x14ac:dyDescent="0.25">
      <c r="B62" s="28" t="s">
        <v>120</v>
      </c>
      <c r="C62" s="1">
        <f>VLOOKUP(B62,'[1]feuille de base'!B:C,2,FALSE)</f>
        <v>7.798</v>
      </c>
      <c r="D62" s="1">
        <f>VLOOKUP(B62,'feuille de base Mars 2016'!B:D,3,FALSE)</f>
        <v>0</v>
      </c>
      <c r="E62" s="1">
        <f>(D62*G62)*1000</f>
        <v>0</v>
      </c>
      <c r="F62" s="1">
        <f t="shared" si="7"/>
        <v>0</v>
      </c>
      <c r="G62" s="1">
        <v>47</v>
      </c>
      <c r="H62" s="1">
        <v>212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x14ac:dyDescent="0.25">
      <c r="B63" s="28" t="s">
        <v>121</v>
      </c>
      <c r="C63" s="1">
        <f>VLOOKUP(B63,'[1]feuille de base'!B:C,2,FALSE)</f>
        <v>8.3550000000000004</v>
      </c>
      <c r="D63" s="1">
        <f>VLOOKUP(B63,'feuille de base Mars 2016'!B:D,3,FALSE)</f>
        <v>0</v>
      </c>
      <c r="E63" s="1">
        <f>(D63*G63)*1000</f>
        <v>0</v>
      </c>
      <c r="F63" s="1">
        <f t="shared" si="7"/>
        <v>0</v>
      </c>
      <c r="G63" s="1">
        <v>47</v>
      </c>
      <c r="H63" s="1">
        <v>212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x14ac:dyDescent="0.25">
      <c r="B64" s="28" t="s">
        <v>122</v>
      </c>
      <c r="C64" s="1">
        <f>VLOOKUP(B64,'[1]feuille de base'!B:C,2,FALSE)</f>
        <v>13.613799999999999</v>
      </c>
      <c r="D64" s="1">
        <f>VLOOKUP(B64,'feuille de base Mars 2016'!B:D,3,FALSE)</f>
        <v>0</v>
      </c>
      <c r="E64" s="1">
        <f t="shared" ref="E64:E72" si="8">(D64*H64)</f>
        <v>0</v>
      </c>
      <c r="F64" s="1">
        <f t="shared" si="7"/>
        <v>0</v>
      </c>
      <c r="G64" s="1">
        <v>47</v>
      </c>
      <c r="H64" s="1">
        <v>212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2:23" x14ac:dyDescent="0.25">
      <c r="B65" s="28" t="s">
        <v>123</v>
      </c>
      <c r="C65" s="1">
        <f>VLOOKUP(B65,'[1]feuille de base'!B:C,2,FALSE)</f>
        <v>8.02</v>
      </c>
      <c r="D65" s="1">
        <f>VLOOKUP(B65,'feuille de base Mars 2016'!B:D,3,FALSE)</f>
        <v>0.2</v>
      </c>
      <c r="E65" s="1">
        <f>(D65*H65)</f>
        <v>42.400000000000006</v>
      </c>
      <c r="F65" s="1">
        <f t="shared" si="7"/>
        <v>0.34004800000000002</v>
      </c>
      <c r="G65" s="1">
        <v>47</v>
      </c>
      <c r="H65" s="1">
        <v>212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x14ac:dyDescent="0.25">
      <c r="B66" s="28" t="s">
        <v>126</v>
      </c>
      <c r="C66" s="1">
        <f>VLOOKUP(B66,'[1]feuille de base'!B:C,2,FALSE)</f>
        <v>0.77</v>
      </c>
      <c r="D66" s="1">
        <f>VLOOKUP(B66,'feuille de base Mars 2016'!B:D,3,FALSE)</f>
        <v>0</v>
      </c>
      <c r="E66" s="1"/>
      <c r="F66" s="1"/>
      <c r="G66" s="1">
        <v>47</v>
      </c>
      <c r="H66" s="1">
        <v>212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2:23" x14ac:dyDescent="0.25">
      <c r="B67" s="28" t="s">
        <v>124</v>
      </c>
      <c r="C67" s="1">
        <f>VLOOKUP(B67,'[1]feuille de base'!B:C,2,FALSE)</f>
        <v>1.45</v>
      </c>
      <c r="D67" s="1">
        <f>VLOOKUP(B67,'feuille de base Mars 2016'!B:D,3,FALSE)</f>
        <v>2</v>
      </c>
      <c r="E67" s="1">
        <f t="shared" si="8"/>
        <v>424</v>
      </c>
      <c r="F67" s="1">
        <f t="shared" si="7"/>
        <v>0.61480000000000001</v>
      </c>
      <c r="G67" s="1">
        <v>47</v>
      </c>
      <c r="H67" s="1">
        <v>212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2:23" x14ac:dyDescent="0.25">
      <c r="B68" s="28" t="s">
        <v>125</v>
      </c>
      <c r="C68" s="1">
        <f>VLOOKUP(B68,'[1]feuille de base'!B:C,2,FALSE)</f>
        <v>3.2519999999999998</v>
      </c>
      <c r="D68" s="1">
        <f>VLOOKUP(B68,'feuille de base Mars 2016'!B:D,3,FALSE)</f>
        <v>2.5000000000000001E-2</v>
      </c>
      <c r="E68" s="1">
        <f>(D68*G68)*1000</f>
        <v>1175</v>
      </c>
      <c r="F68" s="1">
        <f>(E68/1000)*C68</f>
        <v>3.8210999999999999</v>
      </c>
      <c r="G68" s="1">
        <v>47</v>
      </c>
      <c r="H68" s="1">
        <v>212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2:23" x14ac:dyDescent="0.25">
      <c r="B69" s="28" t="s">
        <v>127</v>
      </c>
      <c r="C69" s="1">
        <f>VLOOKUP(B69,'[1]feuille de base'!B:C,2,FALSE)</f>
        <v>1.4</v>
      </c>
      <c r="D69" s="1">
        <f>VLOOKUP(B69,'feuille de base Mars 2016'!B:D,3,FALSE)</f>
        <v>0</v>
      </c>
      <c r="E69" s="1">
        <f t="shared" si="8"/>
        <v>0</v>
      </c>
      <c r="F69" s="1">
        <f t="shared" si="7"/>
        <v>0</v>
      </c>
      <c r="G69" s="1">
        <v>47</v>
      </c>
      <c r="H69" s="1">
        <v>212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2:23" x14ac:dyDescent="0.25">
      <c r="B70" s="28" t="s">
        <v>134</v>
      </c>
      <c r="C70" s="1">
        <f>VLOOKUP(B70,'[1]feuille de base'!B:C,2,FALSE)</f>
        <v>7.35</v>
      </c>
      <c r="D70" s="1">
        <f>VLOOKUP(B70,'feuille de base Mars 2016'!B:D,3,FALSE)</f>
        <v>0</v>
      </c>
      <c r="E70" s="1">
        <f t="shared" si="8"/>
        <v>0</v>
      </c>
      <c r="F70" s="1">
        <f t="shared" si="7"/>
        <v>0</v>
      </c>
      <c r="G70" s="1">
        <v>47</v>
      </c>
      <c r="H70" s="1">
        <v>212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2:23" x14ac:dyDescent="0.25">
      <c r="B71" s="28" t="s">
        <v>135</v>
      </c>
      <c r="C71" s="1">
        <f>VLOOKUP(B71,'[1]feuille de base'!B:C,2,FALSE)</f>
        <v>4.2332000000000001</v>
      </c>
      <c r="D71" s="1">
        <f>VLOOKUP(B71,'feuille de base Mars 2016'!B:D,3,FALSE)</f>
        <v>0</v>
      </c>
      <c r="E71" s="1">
        <f t="shared" si="8"/>
        <v>0</v>
      </c>
      <c r="F71" s="1">
        <f t="shared" si="7"/>
        <v>0</v>
      </c>
      <c r="G71" s="1">
        <v>47</v>
      </c>
      <c r="H71" s="1">
        <v>212</v>
      </c>
      <c r="I71" s="1"/>
      <c r="J71" s="1"/>
      <c r="K71" s="1"/>
      <c r="L71" s="1"/>
      <c r="M71" s="1"/>
      <c r="N71" s="1"/>
      <c r="O71" s="1"/>
      <c r="P71" s="28">
        <f>SUM(P22:P70)</f>
        <v>123811.6</v>
      </c>
      <c r="Q71" s="28">
        <f>P71/3600</f>
        <v>34.392111111111113</v>
      </c>
      <c r="R71" s="28">
        <f>SUM(R22:R24)</f>
        <v>3.3833333333333333</v>
      </c>
      <c r="S71" s="28"/>
      <c r="T71" s="28"/>
      <c r="U71" s="28">
        <f>SUM(U22:U70)</f>
        <v>7.2716092777777774</v>
      </c>
      <c r="V71" s="1"/>
      <c r="W71" s="1"/>
    </row>
    <row r="72" spans="2:23" x14ac:dyDescent="0.25">
      <c r="B72" s="28" t="s">
        <v>138</v>
      </c>
      <c r="C72" s="1">
        <f>VLOOKUP(B72,'[1]feuille de base'!B:C,2,FALSE)</f>
        <v>6.6412000000000004</v>
      </c>
      <c r="D72" s="1">
        <f>VLOOKUP(B72,'feuille de base Mars 2016'!B:D,3,FALSE)</f>
        <v>0</v>
      </c>
      <c r="E72" s="1">
        <f t="shared" si="8"/>
        <v>0</v>
      </c>
      <c r="F72" s="1">
        <f t="shared" si="7"/>
        <v>0</v>
      </c>
      <c r="G72" s="1">
        <v>47</v>
      </c>
      <c r="H72" s="1">
        <v>212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2:23" x14ac:dyDescent="0.25">
      <c r="B73" s="16"/>
      <c r="C73" s="16"/>
      <c r="D73" s="16"/>
      <c r="E73" s="16"/>
      <c r="F73" s="29">
        <f>SUM(F22:F72,U71,M23)</f>
        <v>142.69548227777778</v>
      </c>
      <c r="G73" s="16"/>
      <c r="H73" s="16"/>
      <c r="I73" s="16"/>
      <c r="J73" s="16"/>
      <c r="K73" s="16"/>
      <c r="L73" s="16"/>
      <c r="M73" s="16"/>
      <c r="N73" s="16"/>
      <c r="O73" s="16"/>
    </row>
    <row r="74" spans="2:23" x14ac:dyDescent="0.25">
      <c r="B74" s="16"/>
      <c r="C74" s="16"/>
      <c r="D74" s="16"/>
      <c r="E74" s="16"/>
      <c r="F74" s="29"/>
      <c r="G74" s="16"/>
      <c r="H74" s="16"/>
      <c r="I74" s="16"/>
      <c r="J74" s="16"/>
      <c r="K74" s="16"/>
      <c r="L74" s="16"/>
      <c r="M74" s="16"/>
      <c r="N74" s="16"/>
      <c r="O74" s="16"/>
    </row>
    <row r="75" spans="2:23" x14ac:dyDescent="0.25">
      <c r="B75" s="54" t="s">
        <v>214</v>
      </c>
      <c r="C75" s="54">
        <f>SUM(F73+U71+M22+M23)</f>
        <v>151.46736475555556</v>
      </c>
      <c r="D75" s="16"/>
      <c r="E75" s="16"/>
      <c r="F75" s="29"/>
      <c r="G75" s="16"/>
      <c r="H75" s="16"/>
      <c r="I75" s="16"/>
      <c r="J75" s="16"/>
      <c r="K75" s="16"/>
      <c r="L75" s="16"/>
      <c r="M75" s="16"/>
      <c r="N75" s="16"/>
      <c r="O75" s="16"/>
    </row>
    <row r="76" spans="2:23" x14ac:dyDescent="0.25">
      <c r="B76" s="54"/>
      <c r="C76" s="54"/>
      <c r="D76" s="16"/>
      <c r="E76" s="16"/>
      <c r="F76" s="29"/>
      <c r="G76" s="16"/>
      <c r="H76" s="16"/>
      <c r="I76" s="16"/>
      <c r="J76" s="16"/>
      <c r="K76" s="16"/>
      <c r="L76" s="16"/>
      <c r="M76" s="16"/>
      <c r="N76" s="16"/>
      <c r="O76" s="16"/>
    </row>
    <row r="77" spans="2:23" x14ac:dyDescent="0.25">
      <c r="B77" s="55" t="s">
        <v>196</v>
      </c>
      <c r="C77" s="55">
        <f>SUM(F89+U88+M87)</f>
        <v>42.103044992592594</v>
      </c>
      <c r="D77" s="30"/>
      <c r="E77" s="30"/>
      <c r="F77" s="31"/>
      <c r="G77" s="30"/>
      <c r="H77" s="30"/>
      <c r="I77" s="30"/>
      <c r="J77" s="30"/>
      <c r="K77" s="30"/>
      <c r="L77" s="30"/>
      <c r="M77" s="30"/>
      <c r="N77" s="30"/>
      <c r="O77" s="30"/>
    </row>
    <row r="78" spans="2:23" x14ac:dyDescent="0.25">
      <c r="B78" s="34" t="s">
        <v>152</v>
      </c>
    </row>
    <row r="79" spans="2:23" x14ac:dyDescent="0.25">
      <c r="B79" s="32" t="s">
        <v>183</v>
      </c>
      <c r="C79" s="32"/>
      <c r="D79" s="32" t="s">
        <v>181</v>
      </c>
      <c r="E79" s="32"/>
      <c r="F79" s="32"/>
      <c r="G79" s="32"/>
      <c r="H79" s="32"/>
      <c r="I79" s="32"/>
      <c r="J79" s="32" t="s">
        <v>165</v>
      </c>
      <c r="K79" s="32" t="s">
        <v>180</v>
      </c>
      <c r="L79" s="32" t="s">
        <v>167</v>
      </c>
      <c r="M79" s="32" t="s">
        <v>226</v>
      </c>
      <c r="N79" s="32" t="s">
        <v>226</v>
      </c>
      <c r="O79" s="32" t="s">
        <v>169</v>
      </c>
      <c r="P79" s="32" t="s">
        <v>170</v>
      </c>
      <c r="Q79" s="32" t="s">
        <v>171</v>
      </c>
      <c r="R79" s="32" t="s">
        <v>172</v>
      </c>
      <c r="S79" s="32" t="s">
        <v>173</v>
      </c>
      <c r="T79" s="32" t="s">
        <v>174</v>
      </c>
      <c r="U79" s="32" t="s">
        <v>175</v>
      </c>
      <c r="V79" s="32"/>
      <c r="W79" s="32"/>
    </row>
    <row r="80" spans="2:23" x14ac:dyDescent="0.25">
      <c r="B80" s="26" t="s">
        <v>139</v>
      </c>
      <c r="C80" s="1">
        <f>VLOOKUP(B80,'[1]feuille de base'!B:C,2,FALSE)</f>
        <v>1.4</v>
      </c>
      <c r="D80" s="1">
        <f>VLOOKUP(B80,'[1]feuille de base'!B:AA,19,FALSE)</f>
        <v>0</v>
      </c>
      <c r="E80" s="1">
        <f>(D80*H80)</f>
        <v>0</v>
      </c>
      <c r="F80" s="1">
        <f t="shared" ref="F80:F81" si="9">(E80/1000)*C80</f>
        <v>0</v>
      </c>
      <c r="G80" s="1">
        <v>47</v>
      </c>
      <c r="H80" s="1">
        <v>212</v>
      </c>
      <c r="I80" s="1"/>
      <c r="J80" s="1"/>
      <c r="K80" s="1">
        <f>212+376+306+306+306</f>
        <v>1506</v>
      </c>
      <c r="L80" s="1">
        <f>(K80*3.33)/1000</f>
        <v>5.0149800000000004</v>
      </c>
      <c r="M80" s="1">
        <f>L80*0.11</f>
        <v>0.55164780000000002</v>
      </c>
      <c r="N80" s="1">
        <f>(K80/1000)*5.5</f>
        <v>8.2829999999999995</v>
      </c>
      <c r="O80" s="30"/>
      <c r="P80" s="1">
        <f>(4.18*212*(90-25))</f>
        <v>57600.4</v>
      </c>
      <c r="Q80" s="1">
        <f>P80/3600</f>
        <v>16.00011111111111</v>
      </c>
      <c r="R80" s="1">
        <f>38/60</f>
        <v>0.6333333333333333</v>
      </c>
      <c r="S80" s="1"/>
      <c r="T80" s="1"/>
      <c r="U80" s="1">
        <f>R80*Q80*0.17</f>
        <v>1.7226786296296297</v>
      </c>
      <c r="V80" s="1"/>
      <c r="W80" s="1"/>
    </row>
    <row r="81" spans="2:23" x14ac:dyDescent="0.25">
      <c r="B81" s="26" t="s">
        <v>140</v>
      </c>
      <c r="C81" s="1">
        <f>VLOOKUP(B81,'[1]feuille de base'!B:C,2,FALSE)</f>
        <v>7.1070000000000002</v>
      </c>
      <c r="D81" s="1">
        <f>VLOOKUP(B81,'[1]feuille de base'!B:AA,19,FALSE)</f>
        <v>0</v>
      </c>
      <c r="E81" s="1">
        <f>(D81*G81)*1000</f>
        <v>0</v>
      </c>
      <c r="F81" s="1">
        <f t="shared" si="9"/>
        <v>0</v>
      </c>
      <c r="G81" s="1">
        <v>47</v>
      </c>
      <c r="H81" s="1">
        <v>212</v>
      </c>
      <c r="I81" s="1"/>
      <c r="J81" s="1"/>
      <c r="K81" s="1"/>
      <c r="L81" s="1"/>
      <c r="M81" s="1"/>
      <c r="N81" s="1"/>
      <c r="O81" s="30"/>
      <c r="P81">
        <f>(212*4.18*(90-70))</f>
        <v>17723.2</v>
      </c>
      <c r="Q81" s="1">
        <f t="shared" ref="Q81:Q82" si="10">P81/3600</f>
        <v>4.923111111111111</v>
      </c>
      <c r="R81" s="1">
        <f>15/60</f>
        <v>0.25</v>
      </c>
      <c r="S81" s="1"/>
      <c r="T81" s="1"/>
      <c r="U81" s="1">
        <f t="shared" ref="U81:U85" si="11">R81*Q81*0.17</f>
        <v>0.20923222222222224</v>
      </c>
      <c r="V81" s="1"/>
      <c r="W81" s="1"/>
    </row>
    <row r="82" spans="2:23" x14ac:dyDescent="0.25">
      <c r="B82" s="26" t="s">
        <v>141</v>
      </c>
      <c r="C82" s="1">
        <f>VLOOKUP(B82,'[1]feuille de base'!B:C,2,FALSE)</f>
        <v>0.77</v>
      </c>
      <c r="D82" s="1">
        <f>VLOOKUP(B82,'[1]feuille de base'!B:AA,19,FALSE)</f>
        <v>1</v>
      </c>
      <c r="E82" s="1">
        <f>D82*H82</f>
        <v>212</v>
      </c>
      <c r="F82" s="1">
        <f>(E82/1000)*C82</f>
        <v>0.16324</v>
      </c>
      <c r="G82" s="1">
        <v>47</v>
      </c>
      <c r="H82" s="1">
        <v>212</v>
      </c>
      <c r="I82" s="1"/>
      <c r="J82" s="1"/>
      <c r="K82" s="1"/>
      <c r="L82" s="1"/>
      <c r="M82" s="1">
        <f>(K80/1000)*1.19</f>
        <v>1.7921399999999998</v>
      </c>
      <c r="N82" s="1"/>
      <c r="O82" s="30"/>
      <c r="P82">
        <f>(4.18*376*(37-25))</f>
        <v>18860.159999999996</v>
      </c>
      <c r="Q82" s="1">
        <f t="shared" si="10"/>
        <v>5.2389333333333319</v>
      </c>
      <c r="R82" s="1">
        <f>7/60</f>
        <v>0.11666666666666667</v>
      </c>
      <c r="S82" s="1"/>
      <c r="T82" s="1"/>
      <c r="U82" s="1">
        <f t="shared" si="11"/>
        <v>0.10390551111111108</v>
      </c>
      <c r="V82" s="1"/>
      <c r="W82" s="1"/>
    </row>
    <row r="83" spans="2:23" x14ac:dyDescent="0.25">
      <c r="B83" s="26" t="s">
        <v>142</v>
      </c>
      <c r="C83" s="1">
        <f>VLOOKUP(B83,'[1]feuille de base'!B:C,2,FALSE)</f>
        <v>10.130000000000001</v>
      </c>
      <c r="D83" s="1">
        <f>VLOOKUP(B83,'[1]feuille de base'!B:AA,19,FALSE)</f>
        <v>3.7499999999999999E-2</v>
      </c>
      <c r="E83" s="1">
        <f>(D83*G83)*1000</f>
        <v>1762.5</v>
      </c>
      <c r="F83" s="1">
        <f>(E83/1000)*C83</f>
        <v>17.854125</v>
      </c>
      <c r="G83" s="1">
        <v>47</v>
      </c>
      <c r="H83" s="1">
        <v>212</v>
      </c>
      <c r="I83" s="1"/>
      <c r="J83" s="1"/>
      <c r="K83" s="1"/>
      <c r="L83" s="1"/>
      <c r="M83" s="1"/>
      <c r="N83" s="1"/>
      <c r="O83" s="30"/>
      <c r="P83">
        <f>(4.18*306*(90-25))</f>
        <v>83140.2</v>
      </c>
      <c r="Q83" s="1">
        <f>P83/3600</f>
        <v>23.0945</v>
      </c>
      <c r="R83" s="1">
        <f>40/60</f>
        <v>0.66666666666666663</v>
      </c>
      <c r="S83" s="1"/>
      <c r="T83" s="1"/>
      <c r="U83" s="1">
        <f t="shared" si="11"/>
        <v>2.6173766666666669</v>
      </c>
      <c r="V83" s="1"/>
      <c r="W83" s="1"/>
    </row>
    <row r="84" spans="2:23" x14ac:dyDescent="0.25">
      <c r="B84" s="26" t="s">
        <v>143</v>
      </c>
      <c r="C84" s="1">
        <f>VLOOKUP(B84,'[1]feuille de base'!B:C,2,FALSE)</f>
        <v>7.35</v>
      </c>
      <c r="D84" s="1">
        <f>VLOOKUP(B84,'[1]feuille de base'!B:AA,19,FALSE)</f>
        <v>1</v>
      </c>
      <c r="E84" s="1">
        <f>D84*H84</f>
        <v>306</v>
      </c>
      <c r="F84" s="1">
        <f>(E84/1000)*C84</f>
        <v>2.2490999999999999</v>
      </c>
      <c r="G84" s="1">
        <v>47</v>
      </c>
      <c r="H84" s="1">
        <v>306</v>
      </c>
      <c r="I84" s="1"/>
      <c r="J84" s="1"/>
      <c r="K84" s="1"/>
      <c r="L84" s="1"/>
      <c r="M84" s="1"/>
      <c r="N84" s="1"/>
      <c r="O84" s="30"/>
      <c r="P84">
        <f>4.18*306*(90-70)</f>
        <v>25581.599999999999</v>
      </c>
      <c r="Q84" s="1">
        <f>P84/3600</f>
        <v>7.1059999999999999</v>
      </c>
      <c r="R84" s="1">
        <f>10/60</f>
        <v>0.16666666666666666</v>
      </c>
      <c r="S84" s="1"/>
      <c r="T84" s="1"/>
      <c r="U84" s="1">
        <f t="shared" si="11"/>
        <v>0.20133666666666666</v>
      </c>
      <c r="V84" s="1"/>
      <c r="W84" s="1"/>
    </row>
    <row r="85" spans="2:23" x14ac:dyDescent="0.25">
      <c r="B85" s="26" t="s">
        <v>146</v>
      </c>
      <c r="C85" s="1">
        <f>VLOOKUP(B85,'[1]feuille de base'!B:C,2,FALSE)</f>
        <v>0.77</v>
      </c>
      <c r="D85" s="1">
        <f>VLOOKUP(B85,'[1]feuille de base'!B:AA,19,FALSE)</f>
        <v>2</v>
      </c>
      <c r="E85" s="1">
        <f>D85*H85</f>
        <v>612</v>
      </c>
      <c r="F85" s="1">
        <f>(E85/1000)*C85</f>
        <v>0.47123999999999999</v>
      </c>
      <c r="G85" s="1">
        <v>47</v>
      </c>
      <c r="H85" s="1">
        <v>306</v>
      </c>
      <c r="I85" s="1"/>
      <c r="J85" s="1"/>
      <c r="K85" s="1"/>
      <c r="L85" s="1"/>
      <c r="M85" s="1"/>
      <c r="N85" s="1"/>
      <c r="O85" s="30"/>
      <c r="P85">
        <f>4.18*306*(40-25)</f>
        <v>19186.199999999997</v>
      </c>
      <c r="Q85" s="1">
        <f>((4.18*306*(40-25))*2)/3600</f>
        <v>10.658999999999999</v>
      </c>
      <c r="R85">
        <f>25/60</f>
        <v>0.41666666666666669</v>
      </c>
      <c r="S85" s="1"/>
      <c r="T85" s="1"/>
      <c r="U85" s="1">
        <f t="shared" si="11"/>
        <v>0.75501250000000009</v>
      </c>
      <c r="V85" s="1"/>
      <c r="W85" s="1"/>
    </row>
    <row r="86" spans="2:23" x14ac:dyDescent="0.25">
      <c r="B86" s="26" t="s">
        <v>147</v>
      </c>
      <c r="C86" s="1">
        <f>VLOOKUP(B86,'[1]feuille de base'!B:C,2,FALSE)</f>
        <v>1.45</v>
      </c>
      <c r="D86" s="1">
        <f>VLOOKUP(B86,'[1]feuille de base'!B:AA,19,FALSE)</f>
        <v>1</v>
      </c>
      <c r="E86" s="1">
        <f>(D86*H86)</f>
        <v>306</v>
      </c>
      <c r="F86" s="1">
        <f>(E86/1000)*C86</f>
        <v>0.44369999999999998</v>
      </c>
      <c r="G86" s="1">
        <v>47</v>
      </c>
      <c r="H86" s="1">
        <v>306</v>
      </c>
      <c r="I86" s="1"/>
      <c r="J86" s="1"/>
      <c r="K86" s="1"/>
      <c r="L86" s="1"/>
      <c r="M86" s="1"/>
      <c r="N86" s="1"/>
      <c r="O86" s="30"/>
      <c r="Q86" s="1"/>
      <c r="S86" s="1"/>
      <c r="T86" s="1"/>
      <c r="U86" s="1"/>
      <c r="V86" s="1"/>
      <c r="W86" s="1"/>
    </row>
    <row r="87" spans="2:23" x14ac:dyDescent="0.25">
      <c r="B87" s="26" t="s">
        <v>148</v>
      </c>
      <c r="C87" s="1">
        <f>VLOOKUP(B87,'[1]feuille de base'!B:C,2,FALSE)</f>
        <v>4.9000000000000004</v>
      </c>
      <c r="D87" s="1">
        <f>VLOOKUP(B87,'[1]feuille de base'!B:AA,19,FALSE)</f>
        <v>0</v>
      </c>
      <c r="E87" s="1">
        <f>D87*G87</f>
        <v>0</v>
      </c>
      <c r="F87" s="1">
        <f t="shared" ref="F87:F88" si="12">(E87/1000)*C87</f>
        <v>0</v>
      </c>
      <c r="G87" s="1">
        <v>47</v>
      </c>
      <c r="H87" s="1">
        <v>306</v>
      </c>
      <c r="I87" s="1"/>
      <c r="J87" s="1"/>
      <c r="K87" s="1"/>
      <c r="L87" s="1"/>
      <c r="M87" s="1">
        <f>SUM(M80:M82)</f>
        <v>2.3437877999999999</v>
      </c>
      <c r="N87" s="1"/>
      <c r="O87" s="30"/>
      <c r="Q87" s="1"/>
      <c r="S87" s="1"/>
      <c r="T87" s="1"/>
      <c r="U87" s="1"/>
      <c r="V87" s="1"/>
      <c r="W87" s="1"/>
    </row>
    <row r="88" spans="2:23" x14ac:dyDescent="0.25">
      <c r="B88" s="26" t="s">
        <v>149</v>
      </c>
      <c r="C88" s="26">
        <f>VLOOKUP(B88,'[1]feuille de base'!B:C,2,FALSE)</f>
        <v>1.335</v>
      </c>
      <c r="D88" s="26">
        <f>VLOOKUP(B88,'[1]feuille de base'!B:AA,19,FALSE)</f>
        <v>0</v>
      </c>
      <c r="E88" s="26">
        <f>D88*H88</f>
        <v>0</v>
      </c>
      <c r="F88" s="26">
        <f t="shared" si="12"/>
        <v>0</v>
      </c>
      <c r="G88" s="1">
        <v>47</v>
      </c>
      <c r="H88" s="1">
        <v>306</v>
      </c>
      <c r="I88" s="26"/>
      <c r="J88" s="26"/>
      <c r="K88" s="26"/>
      <c r="L88" s="26"/>
      <c r="M88" s="26"/>
      <c r="N88" s="26"/>
      <c r="O88" s="26"/>
      <c r="P88" s="26">
        <f>SUM(P80:P87)</f>
        <v>222091.76</v>
      </c>
      <c r="Q88" s="26">
        <f>P88/3600</f>
        <v>61.692155555555559</v>
      </c>
      <c r="R88" s="26">
        <f>SUM(R80:R87)</f>
        <v>2.25</v>
      </c>
      <c r="S88" s="26"/>
      <c r="T88" s="26"/>
      <c r="U88" s="26">
        <f>SUM(U80:U85)</f>
        <v>5.6095421962962968</v>
      </c>
      <c r="V88" s="26"/>
      <c r="W88" s="26"/>
    </row>
    <row r="89" spans="2:23" x14ac:dyDescent="0.25">
      <c r="B89" s="17"/>
      <c r="C89" s="17"/>
      <c r="D89" s="33"/>
      <c r="E89" s="17"/>
      <c r="F89" s="34">
        <f>SUM(F80:F88,L80,U88,M87)</f>
        <v>34.149714996296296</v>
      </c>
      <c r="G89" s="17"/>
      <c r="H89" s="17"/>
      <c r="I89" s="17"/>
      <c r="J89" s="17"/>
      <c r="K89" s="17"/>
      <c r="L89" s="17"/>
      <c r="M89" s="17"/>
      <c r="N89" s="17"/>
      <c r="O89" s="17"/>
    </row>
  </sheetData>
  <conditionalFormatting sqref="R42:R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8">
    <dataValidation type="list" allowBlank="1" showInputMessage="1" showErrorMessage="1" sqref="C20 C79">
      <formula1>INDIRECT("listeprixcolorants[prix colorants]")</formula1>
    </dataValidation>
    <dataValidation type="list" allowBlank="1" showInputMessage="1" showErrorMessage="1" sqref="C16:C19">
      <formula1>listeprixprodprepa</formula1>
    </dataValidation>
    <dataValidation type="list" allowBlank="1" showInputMessage="1" showErrorMessage="1" sqref="D15:D20">
      <formula1>listepourprodprep</formula1>
    </dataValidation>
    <dataValidation type="list" allowBlank="1" showInputMessage="1" showErrorMessage="1" sqref="B61:B72">
      <formula1>prodteinture</formula1>
    </dataValidation>
    <dataValidation type="list" allowBlank="1" showInputMessage="1" showErrorMessage="1" sqref="B73:B74">
      <formula1>listeprodteint</formula1>
    </dataValidation>
    <dataValidation type="list" allowBlank="1" showInputMessage="1" showErrorMessage="1" sqref="B80:B88">
      <formula1>prodfix</formula1>
    </dataValidation>
    <dataValidation type="list" allowBlank="1" showInputMessage="1" showErrorMessage="1" sqref="B7:B13">
      <formula1>preparation</formula1>
    </dataValidation>
    <dataValidation type="list" allowBlank="1" showInputMessage="1" showErrorMessage="1" sqref="B22:B60">
      <formula1>colorant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9"/>
  <sheetViews>
    <sheetView topLeftCell="N2" workbookViewId="0">
      <selection activeCell="U81" sqref="U81"/>
    </sheetView>
  </sheetViews>
  <sheetFormatPr baseColWidth="10" defaultColWidth="11.42578125" defaultRowHeight="15" x14ac:dyDescent="0.25"/>
  <cols>
    <col min="2" max="2" width="27.42578125" customWidth="1"/>
    <col min="3" max="3" width="16.28515625" customWidth="1"/>
    <col min="4" max="4" width="20.5703125" customWidth="1"/>
    <col min="5" max="5" width="18.140625" customWidth="1"/>
    <col min="6" max="6" width="27.140625" customWidth="1"/>
    <col min="7" max="7" width="16.85546875" customWidth="1"/>
    <col min="11" max="11" width="19.28515625" customWidth="1"/>
    <col min="12" max="12" width="23.28515625" customWidth="1"/>
    <col min="13" max="13" width="21.42578125" customWidth="1"/>
    <col min="14" max="14" width="18.140625" customWidth="1"/>
    <col min="15" max="15" width="33.140625" customWidth="1"/>
    <col min="16" max="16" width="31.140625" customWidth="1"/>
    <col min="17" max="17" width="33.85546875" customWidth="1"/>
    <col min="18" max="18" width="19.5703125" customWidth="1"/>
    <col min="21" max="21" width="18.42578125" customWidth="1"/>
  </cols>
  <sheetData>
    <row r="1" spans="2:23" x14ac:dyDescent="0.25">
      <c r="F1" s="1" t="s">
        <v>154</v>
      </c>
      <c r="G1" s="1">
        <v>39</v>
      </c>
      <c r="J1" s="24" t="s">
        <v>155</v>
      </c>
      <c r="K1" s="24">
        <f>F14+F73+F89+M13+U13+U71+M23+M87+U88</f>
        <v>111.27609220000004</v>
      </c>
    </row>
    <row r="2" spans="2:23" x14ac:dyDescent="0.25">
      <c r="B2" s="53" t="s">
        <v>213</v>
      </c>
      <c r="C2" s="53">
        <f>F14+M13+U13</f>
        <v>39.064391311111109</v>
      </c>
      <c r="F2" s="1" t="s">
        <v>156</v>
      </c>
      <c r="G2" s="1">
        <f>429*7</f>
        <v>3003</v>
      </c>
    </row>
    <row r="3" spans="2:23" x14ac:dyDescent="0.25">
      <c r="F3" s="1" t="s">
        <v>204</v>
      </c>
      <c r="G3" s="25"/>
    </row>
    <row r="5" spans="2:23" x14ac:dyDescent="0.25">
      <c r="B5" s="26" t="s">
        <v>150</v>
      </c>
    </row>
    <row r="6" spans="2:23" x14ac:dyDescent="0.25">
      <c r="B6" s="26" t="s">
        <v>182</v>
      </c>
      <c r="C6" s="26" t="s">
        <v>158</v>
      </c>
      <c r="D6" s="26" t="s">
        <v>159</v>
      </c>
      <c r="E6" s="26" t="s">
        <v>160</v>
      </c>
      <c r="F6" s="26" t="s">
        <v>161</v>
      </c>
      <c r="G6" s="26" t="s">
        <v>162</v>
      </c>
      <c r="H6" s="27" t="s">
        <v>163</v>
      </c>
      <c r="I6" s="27" t="s">
        <v>164</v>
      </c>
      <c r="J6" s="26" t="s">
        <v>165</v>
      </c>
      <c r="K6" s="26" t="s">
        <v>166</v>
      </c>
      <c r="L6" s="26" t="s">
        <v>167</v>
      </c>
      <c r="M6" s="26" t="s">
        <v>168</v>
      </c>
      <c r="N6" s="26" t="s">
        <v>226</v>
      </c>
      <c r="O6" s="26" t="s">
        <v>169</v>
      </c>
      <c r="P6" s="26" t="s">
        <v>170</v>
      </c>
      <c r="Q6" s="26" t="s">
        <v>171</v>
      </c>
      <c r="R6" s="26" t="s">
        <v>172</v>
      </c>
      <c r="S6" s="26" t="s">
        <v>173</v>
      </c>
      <c r="T6" s="26" t="s">
        <v>174</v>
      </c>
      <c r="U6" s="26" t="s">
        <v>175</v>
      </c>
      <c r="V6" s="1"/>
      <c r="W6" s="1"/>
    </row>
    <row r="7" spans="2:23" x14ac:dyDescent="0.25">
      <c r="B7" s="26" t="s">
        <v>69</v>
      </c>
      <c r="C7" s="1">
        <f>VLOOKUP(B7,'[1]feuille de base'!B:C,2,FALSE)</f>
        <v>1.45</v>
      </c>
      <c r="D7" s="1">
        <f>VLOOKUP(B7,'feuille de base Mars 2016'!B:E,4,FALSE)</f>
        <v>2</v>
      </c>
      <c r="E7" s="1">
        <f>(D7*H7)</f>
        <v>858</v>
      </c>
      <c r="F7" s="1">
        <f t="shared" ref="F7:F13" si="0">(E7/1000)*C7</f>
        <v>1.2441</v>
      </c>
      <c r="G7" s="1">
        <v>39</v>
      </c>
      <c r="H7" s="1">
        <v>429</v>
      </c>
      <c r="I7" s="1">
        <f>SUM(212+306+306)</f>
        <v>824</v>
      </c>
      <c r="J7" s="1">
        <v>1.35</v>
      </c>
      <c r="K7" s="1">
        <f>429*3</f>
        <v>1287</v>
      </c>
      <c r="L7" s="1">
        <f>(K7*3.33)/1000</f>
        <v>4.2857099999999999</v>
      </c>
      <c r="M7" s="1">
        <f>L7*0.11</f>
        <v>0.47142810000000002</v>
      </c>
      <c r="N7" s="1">
        <f>(K7/1000)*5.5</f>
        <v>7.0785</v>
      </c>
      <c r="P7" s="1">
        <f>(((4.18*429*(80-22))))</f>
        <v>104006.76</v>
      </c>
      <c r="Q7" s="1">
        <f>P7/3600</f>
        <v>28.890766666666664</v>
      </c>
      <c r="R7" s="1">
        <f>70/60</f>
        <v>1.1666666666666667</v>
      </c>
      <c r="S7" s="1"/>
      <c r="T7" s="1"/>
      <c r="U7" s="1">
        <f>Q7*R7*0.17</f>
        <v>5.7300020555555564</v>
      </c>
      <c r="V7" s="1"/>
      <c r="W7" s="1"/>
    </row>
    <row r="8" spans="2:23" x14ac:dyDescent="0.25">
      <c r="B8" s="26" t="s">
        <v>70</v>
      </c>
      <c r="C8" s="1">
        <f>VLOOKUP(B8,'[1]feuille de base'!B:C,2,FALSE)</f>
        <v>7.3529999999999998</v>
      </c>
      <c r="D8" s="1">
        <f>VLOOKUP(B8,'feuille de base Mars 2016'!B:E,4,FALSE)</f>
        <v>0.02</v>
      </c>
      <c r="E8" s="1">
        <f>(D8*G8)*1000</f>
        <v>780</v>
      </c>
      <c r="F8" s="1">
        <f t="shared" si="0"/>
        <v>5.7353399999999999</v>
      </c>
      <c r="G8" s="1">
        <v>39</v>
      </c>
      <c r="H8" s="1">
        <v>429</v>
      </c>
      <c r="J8" s="1"/>
      <c r="K8" s="1"/>
      <c r="L8" s="1"/>
      <c r="M8" s="1"/>
      <c r="N8" s="1"/>
      <c r="P8" s="1">
        <f>(4.18*429*(70-26))</f>
        <v>78901.679999999993</v>
      </c>
      <c r="Q8" s="1">
        <f>P8/3600</f>
        <v>21.917133333333332</v>
      </c>
      <c r="R8" s="1">
        <f>(15/60)*2</f>
        <v>0.5</v>
      </c>
      <c r="S8" s="1"/>
      <c r="T8" s="1"/>
      <c r="U8" s="1">
        <f t="shared" ref="U8:U9" si="1">Q8*R8*0.17</f>
        <v>1.8629563333333334</v>
      </c>
      <c r="V8" s="1"/>
      <c r="W8" s="1"/>
    </row>
    <row r="9" spans="2:23" x14ac:dyDescent="0.25">
      <c r="B9" s="26" t="s">
        <v>72</v>
      </c>
      <c r="C9" s="1">
        <f>VLOOKUP(B9,'[1]feuille de base'!B:C,2,FALSE)</f>
        <v>0.77</v>
      </c>
      <c r="D9" s="1">
        <f>VLOOKUP(B9,'feuille de base Mars 2016'!B:E,4,FALSE)</f>
        <v>1</v>
      </c>
      <c r="E9" s="1">
        <f>(D9*H9)</f>
        <v>429</v>
      </c>
      <c r="F9" s="1">
        <f t="shared" si="0"/>
        <v>0.33033000000000001</v>
      </c>
      <c r="G9" s="1">
        <v>39</v>
      </c>
      <c r="H9" s="1">
        <v>429</v>
      </c>
      <c r="J9" s="1"/>
      <c r="K9" s="1"/>
      <c r="L9" s="1"/>
      <c r="M9" s="1"/>
      <c r="N9" s="1"/>
      <c r="P9" s="1">
        <f>(4.18*429*(40-25))</f>
        <v>26898.299999999996</v>
      </c>
      <c r="Q9" s="1">
        <f>P9/3600</f>
        <v>7.4717499999999992</v>
      </c>
      <c r="R9" s="1">
        <f>20/60</f>
        <v>0.33333333333333331</v>
      </c>
      <c r="S9" s="1"/>
      <c r="T9" s="1"/>
      <c r="U9" s="1">
        <f t="shared" si="1"/>
        <v>0.4233991666666666</v>
      </c>
      <c r="V9" s="1"/>
      <c r="W9" s="1"/>
    </row>
    <row r="10" spans="2:23" x14ac:dyDescent="0.25">
      <c r="B10" s="26" t="s">
        <v>73</v>
      </c>
      <c r="C10" s="1">
        <f>VLOOKUP(B10,'[1]feuille de base'!B:C,2,FALSE)</f>
        <v>1.45</v>
      </c>
      <c r="D10" s="1">
        <f>VLOOKUP(B10,'feuille de base Mars 2016'!B:E,4,FALSE)</f>
        <v>1</v>
      </c>
      <c r="E10" s="1">
        <f>(D10*H10)</f>
        <v>429</v>
      </c>
      <c r="F10" s="1">
        <f t="shared" si="0"/>
        <v>0.62204999999999999</v>
      </c>
      <c r="G10" s="1">
        <v>39</v>
      </c>
      <c r="H10" s="1">
        <v>429</v>
      </c>
      <c r="J10" s="1"/>
      <c r="K10" s="1"/>
      <c r="L10" s="1"/>
      <c r="M10" s="1"/>
      <c r="N10" s="1"/>
      <c r="P10" s="1"/>
      <c r="Q10" s="1"/>
      <c r="R10" s="1"/>
      <c r="S10" s="1"/>
      <c r="T10" s="1"/>
      <c r="U10" s="1">
        <f t="shared" ref="U10:U12" si="2">Q10*R10*0.134</f>
        <v>0</v>
      </c>
      <c r="V10" s="1"/>
      <c r="W10" s="1"/>
    </row>
    <row r="11" spans="2:23" x14ac:dyDescent="0.25">
      <c r="B11" s="26" t="s">
        <v>76</v>
      </c>
      <c r="C11" s="1">
        <f>VLOOKUP(B11,'[1]feuille de base'!B:C,2,FALSE)</f>
        <v>6.4610000000000003</v>
      </c>
      <c r="D11" s="1">
        <f>VLOOKUP(B11,'feuille de base Mars 2016'!B:E,4,FALSE)</f>
        <v>0</v>
      </c>
      <c r="E11" s="1">
        <f>(D11*H11)</f>
        <v>0</v>
      </c>
      <c r="F11" s="1">
        <f t="shared" si="0"/>
        <v>0</v>
      </c>
      <c r="G11" s="1">
        <v>39</v>
      </c>
      <c r="H11" s="1">
        <v>429</v>
      </c>
      <c r="J11" s="1"/>
      <c r="K11" s="1"/>
      <c r="L11" s="1"/>
      <c r="M11" s="1"/>
      <c r="N11" s="1"/>
      <c r="P11" s="1"/>
      <c r="Q11" s="1"/>
      <c r="R11" s="1"/>
      <c r="S11" s="1"/>
      <c r="T11" s="1"/>
      <c r="U11" s="1">
        <f t="shared" si="2"/>
        <v>0</v>
      </c>
      <c r="V11" s="1"/>
      <c r="W11" s="1"/>
    </row>
    <row r="12" spans="2:23" x14ac:dyDescent="0.25">
      <c r="B12" s="26" t="s">
        <v>74</v>
      </c>
      <c r="C12" s="1">
        <f>VLOOKUP(B12,'[1]feuille de base'!B:C,2,FALSE)</f>
        <v>8.02</v>
      </c>
      <c r="D12" s="1">
        <f>VLOOKUP(B12,'feuille de base Mars 2016'!B:E,4,FALSE)</f>
        <v>0</v>
      </c>
      <c r="E12" s="1">
        <f>(D12*H12)</f>
        <v>0</v>
      </c>
      <c r="F12" s="1">
        <f t="shared" si="0"/>
        <v>0</v>
      </c>
      <c r="G12" s="1">
        <v>39</v>
      </c>
      <c r="H12" s="1">
        <v>429</v>
      </c>
      <c r="J12" s="1"/>
      <c r="K12" s="1"/>
      <c r="L12" s="1"/>
      <c r="M12" s="1"/>
      <c r="N12" s="1"/>
      <c r="P12" s="1"/>
      <c r="Q12" s="1"/>
      <c r="R12" s="1"/>
      <c r="S12" s="1"/>
      <c r="T12" s="1"/>
      <c r="U12" s="1">
        <f t="shared" si="2"/>
        <v>0</v>
      </c>
      <c r="V12" s="1"/>
      <c r="W12" s="1"/>
    </row>
    <row r="13" spans="2:23" x14ac:dyDescent="0.25">
      <c r="B13" s="26" t="s">
        <v>76</v>
      </c>
      <c r="C13" s="1">
        <f>VLOOKUP(B13,'[1]feuille de base'!B:C,2,FALSE)</f>
        <v>6.4610000000000003</v>
      </c>
      <c r="D13" s="1">
        <f>VLOOKUP(B13,'feuille de base Mars 2016'!B:E,4,FALSE)</f>
        <v>0</v>
      </c>
      <c r="E13" s="1">
        <f>(D13*H13)</f>
        <v>0</v>
      </c>
      <c r="F13" s="1">
        <f t="shared" si="0"/>
        <v>0</v>
      </c>
      <c r="G13" s="1">
        <v>39</v>
      </c>
      <c r="H13" s="1">
        <v>429</v>
      </c>
      <c r="J13" s="1"/>
      <c r="K13" s="1"/>
      <c r="L13" s="1"/>
      <c r="M13" s="1">
        <f>SUM(M7:M12,N7)</f>
        <v>7.5499280999999998</v>
      </c>
      <c r="N13" s="1"/>
      <c r="P13" s="1">
        <f>SUM(P7:P9)</f>
        <v>209806.74</v>
      </c>
      <c r="Q13" s="1">
        <f>SUM(Q7:Q9)</f>
        <v>58.279649999999997</v>
      </c>
      <c r="R13" s="1">
        <f>SUM(R7:R11)</f>
        <v>2</v>
      </c>
      <c r="S13" s="1"/>
      <c r="T13" s="1"/>
      <c r="U13" s="1">
        <f>SUM(U7:U9)</f>
        <v>8.0163575555555564</v>
      </c>
      <c r="V13" s="1"/>
      <c r="W13" s="1"/>
    </row>
    <row r="14" spans="2:23" x14ac:dyDescent="0.25">
      <c r="B14" s="17"/>
      <c r="F14" s="17">
        <f>SUM(F7:F13,M13,U13)</f>
        <v>23.498105655555555</v>
      </c>
      <c r="M14" s="17"/>
      <c r="N14" s="17"/>
    </row>
    <row r="20" spans="2:23" x14ac:dyDescent="0.25">
      <c r="B20" s="16" t="s">
        <v>151</v>
      </c>
    </row>
    <row r="21" spans="2:23" x14ac:dyDescent="0.25">
      <c r="B21" s="35" t="s">
        <v>13</v>
      </c>
      <c r="C21" s="28" t="s">
        <v>176</v>
      </c>
      <c r="D21" s="28" t="s">
        <v>177</v>
      </c>
      <c r="E21" s="28" t="s">
        <v>178</v>
      </c>
      <c r="F21" s="28" t="s">
        <v>176</v>
      </c>
      <c r="G21" s="28" t="s">
        <v>162</v>
      </c>
      <c r="H21" s="28" t="s">
        <v>179</v>
      </c>
      <c r="I21" s="28"/>
      <c r="J21" s="28" t="s">
        <v>165</v>
      </c>
      <c r="K21" s="28" t="s">
        <v>180</v>
      </c>
      <c r="L21" s="28" t="s">
        <v>167</v>
      </c>
      <c r="M21" s="28" t="s">
        <v>168</v>
      </c>
      <c r="N21" s="28" t="s">
        <v>226</v>
      </c>
      <c r="O21" s="28" t="s">
        <v>169</v>
      </c>
      <c r="P21" s="28" t="s">
        <v>170</v>
      </c>
      <c r="Q21" s="28" t="s">
        <v>171</v>
      </c>
      <c r="R21" s="28" t="s">
        <v>172</v>
      </c>
      <c r="S21" s="28" t="s">
        <v>173</v>
      </c>
      <c r="T21" s="28" t="s">
        <v>174</v>
      </c>
      <c r="U21" s="28" t="s">
        <v>175</v>
      </c>
      <c r="V21" s="28"/>
      <c r="W21" s="28"/>
    </row>
    <row r="22" spans="2:23" x14ac:dyDescent="0.25">
      <c r="B22" s="1" t="s">
        <v>80</v>
      </c>
      <c r="C22" s="1">
        <f>VLOOKUP(B22,'[1]feuille de base'!B:C,2,FALSE)</f>
        <v>194.78</v>
      </c>
      <c r="D22" s="1">
        <f>VLOOKUP(B22,'feuille de base Mars 2016'!B:E,4,FALSE)</f>
        <v>0</v>
      </c>
      <c r="E22" s="1">
        <f t="shared" ref="E22:E60" si="3">(D22*G22)*1000</f>
        <v>0</v>
      </c>
      <c r="F22" s="1">
        <f t="shared" ref="F22:F36" si="4">(E22*G22)/1000</f>
        <v>0</v>
      </c>
      <c r="G22" s="1">
        <v>39</v>
      </c>
      <c r="H22" s="1">
        <v>429</v>
      </c>
      <c r="I22" s="1"/>
      <c r="J22" s="1">
        <v>0.33</v>
      </c>
      <c r="K22" s="1">
        <f>429*3</f>
        <v>1287</v>
      </c>
      <c r="L22" s="1">
        <f>(K22*3.33)/1000</f>
        <v>4.2857099999999999</v>
      </c>
      <c r="M22" s="1">
        <f>L22*0.11</f>
        <v>0.47142810000000002</v>
      </c>
      <c r="N22" s="1">
        <f>(K22/1000)*5.5</f>
        <v>7.0785</v>
      </c>
      <c r="O22" s="1"/>
      <c r="P22" s="1">
        <f>(4.18*429*(35-25))</f>
        <v>17932.199999999997</v>
      </c>
      <c r="Q22" s="1">
        <f>P22/3600</f>
        <v>4.9811666666666659</v>
      </c>
      <c r="R22" s="1">
        <f>43/60</f>
        <v>0.71666666666666667</v>
      </c>
      <c r="S22" s="1"/>
      <c r="T22" s="1"/>
      <c r="U22" s="1">
        <f>R22*Q22*0.17</f>
        <v>0.6068721388888888</v>
      </c>
      <c r="V22" s="1"/>
      <c r="W22" s="1"/>
    </row>
    <row r="23" spans="2:23" x14ac:dyDescent="0.25">
      <c r="B23" s="1" t="s">
        <v>81</v>
      </c>
      <c r="C23" s="1">
        <f>VLOOKUP(B23,'[1]feuille de base'!B:C,2,FALSE)</f>
        <v>76.37</v>
      </c>
      <c r="D23" s="1">
        <f>VLOOKUP(B23,'feuille de base Mars 2016'!B:E,4,FALSE)</f>
        <v>1.617E-4</v>
      </c>
      <c r="E23" s="1">
        <f t="shared" si="3"/>
        <v>6.3063000000000002</v>
      </c>
      <c r="F23" s="1">
        <f t="shared" si="4"/>
        <v>0.24594570000000002</v>
      </c>
      <c r="G23" s="1">
        <v>39</v>
      </c>
      <c r="H23" s="1">
        <v>429</v>
      </c>
      <c r="I23" s="1"/>
      <c r="J23" s="1">
        <v>1.83</v>
      </c>
      <c r="K23" s="1"/>
      <c r="L23" s="1"/>
      <c r="M23" s="36">
        <f>(M22+N22)</f>
        <v>7.5499280999999998</v>
      </c>
      <c r="N23" s="1"/>
      <c r="O23" s="1"/>
      <c r="P23" s="1">
        <f>429*4.18*(98-28)</f>
        <v>125525.39999999998</v>
      </c>
      <c r="Q23" s="1">
        <f t="shared" ref="Q23:Q25" si="5">P23/3600</f>
        <v>34.86816666666666</v>
      </c>
      <c r="R23" s="1">
        <f>145/60</f>
        <v>2.4166666666666665</v>
      </c>
      <c r="S23" s="1"/>
      <c r="T23" s="1"/>
      <c r="U23" s="1">
        <f t="shared" ref="U23:U25" si="6">R23*Q23*0.17</f>
        <v>14.325005138888887</v>
      </c>
      <c r="V23" s="1"/>
      <c r="W23" s="1"/>
    </row>
    <row r="24" spans="2:23" x14ac:dyDescent="0.25">
      <c r="B24" s="1" t="s">
        <v>82</v>
      </c>
      <c r="C24" s="1">
        <f>VLOOKUP(B24,'[1]feuille de base'!B:C,2,FALSE)</f>
        <v>50.86524</v>
      </c>
      <c r="D24" s="1">
        <f>VLOOKUP(B24,'feuille de base Mars 2016'!B:E,4,FALSE)</f>
        <v>0</v>
      </c>
      <c r="E24" s="1">
        <f t="shared" si="3"/>
        <v>0</v>
      </c>
      <c r="F24" s="1">
        <f t="shared" si="4"/>
        <v>0</v>
      </c>
      <c r="G24" s="1">
        <v>39</v>
      </c>
      <c r="H24" s="1">
        <v>429</v>
      </c>
      <c r="I24" s="1"/>
      <c r="J24" s="1">
        <v>0.16</v>
      </c>
      <c r="K24" s="1"/>
      <c r="L24" s="1"/>
      <c r="M24" s="1"/>
      <c r="N24" s="1"/>
      <c r="O24" s="1"/>
      <c r="P24" s="1">
        <f>429*4.18*(98-80)</f>
        <v>32277.959999999995</v>
      </c>
      <c r="Q24" s="1">
        <f t="shared" si="5"/>
        <v>8.9660999999999991</v>
      </c>
      <c r="R24" s="1">
        <f>15/60</f>
        <v>0.25</v>
      </c>
      <c r="S24" s="1"/>
      <c r="T24" s="1"/>
      <c r="U24" s="1">
        <f t="shared" si="6"/>
        <v>0.38105924999999996</v>
      </c>
      <c r="V24" s="1"/>
      <c r="W24" s="1"/>
    </row>
    <row r="25" spans="2:23" x14ac:dyDescent="0.25">
      <c r="B25" s="1" t="s">
        <v>83</v>
      </c>
      <c r="C25" s="1">
        <f>VLOOKUP(B25,'[1]feuille de base'!B:C,2,FALSE)</f>
        <v>56.493000000000002</v>
      </c>
      <c r="D25" s="1">
        <f>VLOOKUP(B25,'feuille de base Mars 2016'!B:E,4,FALSE)</f>
        <v>0</v>
      </c>
      <c r="E25" s="1">
        <f t="shared" si="3"/>
        <v>0</v>
      </c>
      <c r="F25" s="1">
        <f t="shared" si="4"/>
        <v>0</v>
      </c>
      <c r="G25" s="1">
        <v>39</v>
      </c>
      <c r="H25" s="1">
        <v>429</v>
      </c>
      <c r="I25" s="1"/>
      <c r="J25" s="1"/>
      <c r="K25" s="1"/>
      <c r="L25" s="1"/>
      <c r="M25" s="1"/>
      <c r="N25" s="1"/>
      <c r="O25" s="1"/>
      <c r="P25" s="28">
        <f>(4.18*429*(35-25)*2)</f>
        <v>35864.399999999994</v>
      </c>
      <c r="Q25" s="1">
        <f t="shared" si="5"/>
        <v>9.9623333333333317</v>
      </c>
      <c r="R25" s="1">
        <f>15/60</f>
        <v>0.25</v>
      </c>
      <c r="S25" s="1"/>
      <c r="T25" s="1"/>
      <c r="U25" s="1">
        <f t="shared" si="6"/>
        <v>0.4233991666666666</v>
      </c>
      <c r="V25" s="1"/>
      <c r="W25" s="1"/>
    </row>
    <row r="26" spans="2:23" x14ac:dyDescent="0.25">
      <c r="B26" s="1" t="s">
        <v>84</v>
      </c>
      <c r="C26" s="1">
        <f>VLOOKUP(B26,'[1]feuille de base'!B:C,2,FALSE)</f>
        <v>56.83</v>
      </c>
      <c r="D26" s="1">
        <f>VLOOKUP(B26,'feuille de base Mars 2016'!B:E,4,FALSE)</f>
        <v>0</v>
      </c>
      <c r="E26" s="1">
        <f t="shared" si="3"/>
        <v>0</v>
      </c>
      <c r="F26" s="1">
        <f t="shared" si="4"/>
        <v>0</v>
      </c>
      <c r="G26" s="1">
        <v>39</v>
      </c>
      <c r="H26" s="1">
        <v>429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25">
      <c r="B27" s="1" t="s">
        <v>85</v>
      </c>
      <c r="C27" s="1">
        <f>VLOOKUP(B27,'[1]feuille de base'!B:C,2,FALSE)</f>
        <v>33.15</v>
      </c>
      <c r="D27" s="1">
        <f>VLOOKUP(B27,'feuille de base Mars 2016'!B:E,4,FALSE)</f>
        <v>0</v>
      </c>
      <c r="E27" s="1">
        <f t="shared" si="3"/>
        <v>0</v>
      </c>
      <c r="F27" s="1">
        <f t="shared" si="4"/>
        <v>0</v>
      </c>
      <c r="G27" s="1">
        <v>39</v>
      </c>
      <c r="H27" s="1">
        <v>429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x14ac:dyDescent="0.25">
      <c r="B28" s="1" t="s">
        <v>86</v>
      </c>
      <c r="C28" s="1">
        <f>VLOOKUP(B28,'[1]feuille de base'!B:C,2,FALSE)</f>
        <v>42.26</v>
      </c>
      <c r="D28" s="1">
        <f>VLOOKUP(B28,'feuille de base Mars 2016'!B:E,4,FALSE)</f>
        <v>0</v>
      </c>
      <c r="E28" s="1">
        <f t="shared" si="3"/>
        <v>0</v>
      </c>
      <c r="F28" s="1">
        <f t="shared" si="4"/>
        <v>0</v>
      </c>
      <c r="G28" s="1">
        <v>39</v>
      </c>
      <c r="H28" s="1">
        <v>429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x14ac:dyDescent="0.25">
      <c r="B29" s="1" t="s">
        <v>87</v>
      </c>
      <c r="C29" s="1">
        <f>VLOOKUP(B29,'[1]feuille de base'!B:C,2,FALSE)</f>
        <v>51.12</v>
      </c>
      <c r="D29" s="1">
        <f>VLOOKUP(B29,'feuille de base Mars 2016'!B:E,4,FALSE)</f>
        <v>0</v>
      </c>
      <c r="E29" s="1">
        <f t="shared" si="3"/>
        <v>0</v>
      </c>
      <c r="F29" s="1">
        <f t="shared" si="4"/>
        <v>0</v>
      </c>
      <c r="G29" s="1">
        <v>39</v>
      </c>
      <c r="H29" s="1">
        <v>429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x14ac:dyDescent="0.25">
      <c r="B30" s="1" t="s">
        <v>88</v>
      </c>
      <c r="C30" s="1">
        <f>VLOOKUP(B30,'[1]feuille de base'!B:C,2,FALSE)</f>
        <v>0</v>
      </c>
      <c r="D30" s="1">
        <f>VLOOKUP(B30,'feuille de base Mars 2016'!B:E,4,FALSE)</f>
        <v>0</v>
      </c>
      <c r="E30" s="1">
        <f t="shared" si="3"/>
        <v>0</v>
      </c>
      <c r="F30" s="1">
        <f t="shared" si="4"/>
        <v>0</v>
      </c>
      <c r="G30" s="1">
        <v>39</v>
      </c>
      <c r="H30" s="1">
        <v>429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x14ac:dyDescent="0.25">
      <c r="B31" s="1" t="s">
        <v>89</v>
      </c>
      <c r="C31" s="1">
        <f>VLOOKUP(B31,'[1]feuille de base'!B:C,2,FALSE)</f>
        <v>39.799999999999997</v>
      </c>
      <c r="D31" s="1">
        <f>VLOOKUP(B31,'feuille de base Mars 2016'!B:E,4,FALSE)</f>
        <v>0</v>
      </c>
      <c r="E31" s="1">
        <f t="shared" si="3"/>
        <v>0</v>
      </c>
      <c r="F31" s="1">
        <f t="shared" si="4"/>
        <v>0</v>
      </c>
      <c r="G31" s="1">
        <v>39</v>
      </c>
      <c r="H31" s="1">
        <v>429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2:23" x14ac:dyDescent="0.25">
      <c r="B32" s="1" t="s">
        <v>90</v>
      </c>
      <c r="C32" s="1">
        <f>VLOOKUP(B32,'[1]feuille de base'!B:C,2,FALSE)</f>
        <v>37.43</v>
      </c>
      <c r="D32" s="1">
        <f>VLOOKUP(B32,'feuille de base Mars 2016'!B:E,4,FALSE)</f>
        <v>0</v>
      </c>
      <c r="E32" s="1">
        <f t="shared" si="3"/>
        <v>0</v>
      </c>
      <c r="F32" s="1">
        <f t="shared" si="4"/>
        <v>0</v>
      </c>
      <c r="G32" s="1">
        <v>39</v>
      </c>
      <c r="H32" s="1">
        <v>429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x14ac:dyDescent="0.25">
      <c r="B33" s="1" t="s">
        <v>91</v>
      </c>
      <c r="C33" s="1">
        <f>VLOOKUP(B33,'[1]feuille de base'!B:C,2,FALSE)</f>
        <v>43.412580000000005</v>
      </c>
      <c r="D33" s="1">
        <f>VLOOKUP(B33,'feuille de base Mars 2016'!B:E,4,FALSE)</f>
        <v>0</v>
      </c>
      <c r="E33" s="1">
        <f t="shared" si="3"/>
        <v>0</v>
      </c>
      <c r="F33" s="1">
        <f t="shared" si="4"/>
        <v>0</v>
      </c>
      <c r="G33" s="1">
        <v>39</v>
      </c>
      <c r="H33" s="1">
        <v>429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1" t="s">
        <v>92</v>
      </c>
      <c r="C34" s="1">
        <f>VLOOKUP(B34,'[1]feuille de base'!B:C,2,FALSE)</f>
        <v>60.57</v>
      </c>
      <c r="D34" s="1">
        <f>VLOOKUP(B34,'feuille de base Mars 2016'!B:E,4,FALSE)</f>
        <v>0</v>
      </c>
      <c r="E34" s="1">
        <f t="shared" si="3"/>
        <v>0</v>
      </c>
      <c r="F34" s="1">
        <f t="shared" si="4"/>
        <v>0</v>
      </c>
      <c r="G34" s="1">
        <v>39</v>
      </c>
      <c r="H34" s="1">
        <v>429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2:23" x14ac:dyDescent="0.25">
      <c r="B35" s="1" t="s">
        <v>93</v>
      </c>
      <c r="C35" s="1">
        <f>VLOOKUP(B35,'[1]feuille de base'!B:C,2,FALSE)</f>
        <v>63.36</v>
      </c>
      <c r="D35" s="1">
        <f>VLOOKUP(B35,'feuille de base Mars 2016'!B:E,4,FALSE)</f>
        <v>6.0860000000000005E-4</v>
      </c>
      <c r="E35" s="1">
        <f t="shared" si="3"/>
        <v>23.735399999999998</v>
      </c>
      <c r="F35" s="1">
        <f t="shared" si="4"/>
        <v>0.92568059999999996</v>
      </c>
      <c r="G35" s="1">
        <v>39</v>
      </c>
      <c r="H35" s="1">
        <v>429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23" x14ac:dyDescent="0.25">
      <c r="B36" s="1" t="s">
        <v>94</v>
      </c>
      <c r="C36" s="1">
        <f>VLOOKUP(B36,'[1]feuille de base'!B:C,2,FALSE)</f>
        <v>31.45</v>
      </c>
      <c r="D36" s="1">
        <f>VLOOKUP(B36,'feuille de base Mars 2016'!B:E,4,FALSE)</f>
        <v>0</v>
      </c>
      <c r="E36" s="1">
        <f t="shared" si="3"/>
        <v>0</v>
      </c>
      <c r="F36" s="1">
        <f t="shared" si="4"/>
        <v>0</v>
      </c>
      <c r="G36" s="1">
        <v>39</v>
      </c>
      <c r="H36" s="1">
        <v>429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2:23" x14ac:dyDescent="0.25">
      <c r="B37" s="1" t="s">
        <v>95</v>
      </c>
      <c r="C37" s="1">
        <f>VLOOKUP(B37,'[1]feuille de base'!B:C,2,FALSE)</f>
        <v>66.45</v>
      </c>
      <c r="D37" s="1">
        <f>VLOOKUP(B37,'feuille de base Mars 2016'!B:E,4,FALSE)</f>
        <v>0</v>
      </c>
      <c r="E37" s="1">
        <f t="shared" si="3"/>
        <v>0</v>
      </c>
      <c r="F37" s="1">
        <f t="shared" ref="F37:F65" si="7">(E37/1000)*C37</f>
        <v>0</v>
      </c>
      <c r="G37" s="1">
        <v>39</v>
      </c>
      <c r="H37" s="1">
        <v>429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2:23" x14ac:dyDescent="0.25">
      <c r="B38" s="1" t="s">
        <v>96</v>
      </c>
      <c r="C38" s="1">
        <f>VLOOKUP(B38,'[1]feuille de base'!B:C,2,FALSE)</f>
        <v>40.816960000000002</v>
      </c>
      <c r="D38" s="1">
        <f>VLOOKUP(B38,'feuille de base Mars 2016'!B:E,4,FALSE)</f>
        <v>0</v>
      </c>
      <c r="E38" s="1">
        <f t="shared" si="3"/>
        <v>0</v>
      </c>
      <c r="F38" s="1">
        <f t="shared" si="7"/>
        <v>0</v>
      </c>
      <c r="G38" s="1">
        <v>39</v>
      </c>
      <c r="H38" s="1">
        <v>429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25">
      <c r="B39" s="1" t="s">
        <v>97</v>
      </c>
      <c r="C39" s="1">
        <f>VLOOKUP(B39,'[1]feuille de base'!B:C,2,FALSE)</f>
        <v>12.81</v>
      </c>
      <c r="D39" s="1">
        <f>VLOOKUP(B39,'feuille de base Mars 2016'!B:E,4,FALSE)</f>
        <v>0</v>
      </c>
      <c r="E39" s="1">
        <f t="shared" si="3"/>
        <v>0</v>
      </c>
      <c r="F39" s="1">
        <f t="shared" si="7"/>
        <v>0</v>
      </c>
      <c r="G39" s="1">
        <v>39</v>
      </c>
      <c r="H39" s="1">
        <v>429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25">
      <c r="B40" s="1" t="s">
        <v>98</v>
      </c>
      <c r="C40" s="1">
        <f>VLOOKUP(B40,'[1]feuille de base'!B:C,2,FALSE)</f>
        <v>17.68</v>
      </c>
      <c r="D40" s="1">
        <f>VLOOKUP(B40,'feuille de base Mars 2016'!B:E,4,FALSE)</f>
        <v>0</v>
      </c>
      <c r="E40" s="1">
        <f t="shared" si="3"/>
        <v>0</v>
      </c>
      <c r="F40" s="1">
        <f t="shared" si="7"/>
        <v>0</v>
      </c>
      <c r="G40" s="1">
        <v>39</v>
      </c>
      <c r="H40" s="1">
        <v>429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x14ac:dyDescent="0.25">
      <c r="B41" s="1" t="s">
        <v>99</v>
      </c>
      <c r="C41" s="1">
        <f>VLOOKUP(B41,'[1]feuille de base'!B:C,2,FALSE)</f>
        <v>23.4</v>
      </c>
      <c r="D41" s="1">
        <f>VLOOKUP(B41,'feuille de base Mars 2016'!B:E,4,FALSE)</f>
        <v>0</v>
      </c>
      <c r="E41" s="1">
        <f t="shared" si="3"/>
        <v>0</v>
      </c>
      <c r="F41" s="1">
        <f t="shared" si="7"/>
        <v>0</v>
      </c>
      <c r="G41" s="1">
        <v>39</v>
      </c>
      <c r="H41" s="1">
        <v>429</v>
      </c>
      <c r="I41" s="1"/>
      <c r="J41" s="1"/>
      <c r="K41" s="1"/>
      <c r="L41" s="1"/>
      <c r="M41" s="1"/>
      <c r="N41" s="1"/>
      <c r="O41" s="1"/>
      <c r="P41" s="1">
        <v>0</v>
      </c>
      <c r="Q41" s="1"/>
      <c r="R41" s="1"/>
      <c r="S41" s="1"/>
      <c r="T41" s="1"/>
      <c r="U41" s="1"/>
      <c r="V41" s="1"/>
      <c r="W41" s="1"/>
    </row>
    <row r="42" spans="2:23" x14ac:dyDescent="0.25">
      <c r="B42" s="1" t="s">
        <v>100</v>
      </c>
      <c r="C42" s="1">
        <f>VLOOKUP(B42,'[1]feuille de base'!B:C,2,FALSE)</f>
        <v>44.8</v>
      </c>
      <c r="D42" s="1">
        <f>VLOOKUP(B42,'feuille de base Mars 2016'!B:E,4,FALSE)</f>
        <v>0</v>
      </c>
      <c r="E42" s="1">
        <f t="shared" si="3"/>
        <v>0</v>
      </c>
      <c r="F42" s="1">
        <f t="shared" si="7"/>
        <v>0</v>
      </c>
      <c r="G42" s="1">
        <v>39</v>
      </c>
      <c r="H42" s="1">
        <v>429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25">
      <c r="B43" s="1" t="s">
        <v>101</v>
      </c>
      <c r="C43" s="1">
        <f>VLOOKUP(B43,'[1]feuille de base'!B:C,2,FALSE)</f>
        <v>21.65</v>
      </c>
      <c r="D43" s="1">
        <f>VLOOKUP(B43,'feuille de base Mars 2016'!B:E,4,FALSE)</f>
        <v>0</v>
      </c>
      <c r="E43" s="1">
        <f t="shared" si="3"/>
        <v>0</v>
      </c>
      <c r="F43" s="1">
        <f t="shared" si="7"/>
        <v>0</v>
      </c>
      <c r="G43" s="1">
        <v>39</v>
      </c>
      <c r="H43" s="1">
        <v>429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x14ac:dyDescent="0.25">
      <c r="B44" s="1" t="s">
        <v>102</v>
      </c>
      <c r="C44" s="1">
        <f>VLOOKUP(B44,'[1]feuille de base'!B:C,2,FALSE)</f>
        <v>13.87</v>
      </c>
      <c r="D44" s="1">
        <f>VLOOKUP(B44,'feuille de base Mars 2016'!B:E,4,FALSE)</f>
        <v>0</v>
      </c>
      <c r="E44" s="1">
        <f t="shared" si="3"/>
        <v>0</v>
      </c>
      <c r="F44" s="1">
        <f t="shared" si="7"/>
        <v>0</v>
      </c>
      <c r="G44" s="1">
        <v>39</v>
      </c>
      <c r="H44" s="1">
        <v>429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x14ac:dyDescent="0.25">
      <c r="B45" s="1" t="s">
        <v>103</v>
      </c>
      <c r="C45" s="1">
        <f>VLOOKUP(B45,'[1]feuille de base'!B:C,2,FALSE)</f>
        <v>37.229880000000009</v>
      </c>
      <c r="D45" s="1">
        <f>VLOOKUP(B45,'feuille de base Mars 2016'!B:E,4,FALSE)</f>
        <v>0</v>
      </c>
      <c r="E45" s="1">
        <f t="shared" si="3"/>
        <v>0</v>
      </c>
      <c r="F45" s="1">
        <f t="shared" si="7"/>
        <v>0</v>
      </c>
      <c r="G45" s="1">
        <v>39</v>
      </c>
      <c r="H45" s="1">
        <v>429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25">
      <c r="B46" s="1" t="s">
        <v>104</v>
      </c>
      <c r="C46" s="1">
        <f>VLOOKUP(B46,'[1]feuille de base'!B:C,2,FALSE)</f>
        <v>36.799999999999997</v>
      </c>
      <c r="D46" s="1">
        <f>VLOOKUP(B46,'feuille de base Mars 2016'!B:E,4,FALSE)</f>
        <v>0</v>
      </c>
      <c r="E46" s="1">
        <f t="shared" si="3"/>
        <v>0</v>
      </c>
      <c r="F46" s="1">
        <f t="shared" si="7"/>
        <v>0</v>
      </c>
      <c r="G46" s="1">
        <v>39</v>
      </c>
      <c r="H46" s="1">
        <v>429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x14ac:dyDescent="0.25">
      <c r="B47" s="1" t="s">
        <v>105</v>
      </c>
      <c r="C47" s="1">
        <f>VLOOKUP(B47,'[1]feuille de base'!B:C,2,FALSE)</f>
        <v>12.922400000000001</v>
      </c>
      <c r="D47" s="1">
        <f>VLOOKUP(B47,'feuille de base Mars 2016'!B:E,4,FALSE)</f>
        <v>0</v>
      </c>
      <c r="E47" s="1">
        <f t="shared" si="3"/>
        <v>0</v>
      </c>
      <c r="F47" s="1">
        <f t="shared" si="7"/>
        <v>0</v>
      </c>
      <c r="G47" s="1">
        <v>39</v>
      </c>
      <c r="H47" s="1">
        <v>429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 x14ac:dyDescent="0.25">
      <c r="B48" s="1" t="s">
        <v>106</v>
      </c>
      <c r="C48" s="1">
        <f>VLOOKUP(B48,'[1]feuille de base'!B:C,2,FALSE)</f>
        <v>13.5</v>
      </c>
      <c r="D48" s="1">
        <f>VLOOKUP(B48,'feuille de base Mars 2016'!B:E,4,FALSE)</f>
        <v>0</v>
      </c>
      <c r="E48" s="1">
        <f t="shared" si="3"/>
        <v>0</v>
      </c>
      <c r="F48" s="1">
        <f t="shared" si="7"/>
        <v>0</v>
      </c>
      <c r="G48" s="1">
        <v>39</v>
      </c>
      <c r="H48" s="1">
        <v>429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 x14ac:dyDescent="0.25">
      <c r="B49" s="1" t="s">
        <v>107</v>
      </c>
      <c r="C49" s="1">
        <f>VLOOKUP(B49,'[1]feuille de base'!B:C,2,FALSE)</f>
        <v>36.650600000000004</v>
      </c>
      <c r="D49" s="1">
        <f>VLOOKUP(B49,'feuille de base Mars 2016'!B:E,4,FALSE)</f>
        <v>0</v>
      </c>
      <c r="E49" s="1">
        <f t="shared" si="3"/>
        <v>0</v>
      </c>
      <c r="F49" s="1">
        <f t="shared" si="7"/>
        <v>0</v>
      </c>
      <c r="G49" s="1">
        <v>39</v>
      </c>
      <c r="H49" s="1">
        <v>429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x14ac:dyDescent="0.25">
      <c r="B50" s="1" t="s">
        <v>108</v>
      </c>
      <c r="C50" s="1">
        <f>VLOOKUP(B50,'[1]feuille de base'!B:C,2,FALSE)</f>
        <v>13.145200000000003</v>
      </c>
      <c r="D50" s="1">
        <f>VLOOKUP(B50,'feuille de base Mars 2016'!B:E,4,FALSE)</f>
        <v>0</v>
      </c>
      <c r="E50" s="1">
        <f t="shared" si="3"/>
        <v>0</v>
      </c>
      <c r="F50" s="1">
        <f t="shared" si="7"/>
        <v>0</v>
      </c>
      <c r="G50" s="1">
        <v>39</v>
      </c>
      <c r="H50" s="1">
        <v>429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x14ac:dyDescent="0.25">
      <c r="B51" s="1" t="s">
        <v>109</v>
      </c>
      <c r="C51" s="1">
        <f>VLOOKUP(B51,'[1]feuille de base'!B:C,2,FALSE)</f>
        <v>88.006000000000014</v>
      </c>
      <c r="D51" s="1">
        <f>VLOOKUP(B51,'feuille de base Mars 2016'!B:E,4,FALSE)</f>
        <v>0</v>
      </c>
      <c r="E51" s="1">
        <f t="shared" si="3"/>
        <v>0</v>
      </c>
      <c r="F51" s="1">
        <f t="shared" si="7"/>
        <v>0</v>
      </c>
      <c r="G51" s="1">
        <v>39</v>
      </c>
      <c r="H51" s="1">
        <v>429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25">
      <c r="B52" s="1" t="s">
        <v>110</v>
      </c>
      <c r="C52" s="1">
        <f>VLOOKUP(B52,'[1]feuille de base'!B:C,2,FALSE)</f>
        <v>64.849999999999994</v>
      </c>
      <c r="D52" s="1">
        <f>VLOOKUP(B52,'feuille de base Mars 2016'!B:E,4,FALSE)</f>
        <v>3.48E-4</v>
      </c>
      <c r="E52" s="1">
        <f t="shared" si="3"/>
        <v>13.572000000000001</v>
      </c>
      <c r="F52" s="1">
        <f t="shared" si="7"/>
        <v>0.88014419999999993</v>
      </c>
      <c r="G52" s="1">
        <v>39</v>
      </c>
      <c r="H52" s="1">
        <v>429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x14ac:dyDescent="0.25">
      <c r="B53" s="1" t="s">
        <v>111</v>
      </c>
      <c r="C53" s="1">
        <f>VLOOKUP(B53,'[1]feuille de base'!B:C,2,FALSE)</f>
        <v>37.096200000000003</v>
      </c>
      <c r="D53" s="1">
        <f>VLOOKUP(B53,'feuille de base Mars 2016'!B:E,4,FALSE)</f>
        <v>0</v>
      </c>
      <c r="E53" s="1">
        <f t="shared" si="3"/>
        <v>0</v>
      </c>
      <c r="F53" s="1">
        <f t="shared" si="7"/>
        <v>0</v>
      </c>
      <c r="G53" s="1">
        <v>39</v>
      </c>
      <c r="H53" s="1">
        <v>429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2:23" x14ac:dyDescent="0.25">
      <c r="B54" s="1" t="s">
        <v>112</v>
      </c>
      <c r="C54" s="1">
        <f>VLOOKUP(B54,'[1]feuille de base'!B:C,2,FALSE)</f>
        <v>80.631320000000002</v>
      </c>
      <c r="D54" s="1">
        <f>VLOOKUP(B54,'feuille de base Mars 2016'!B:E,4,FALSE)</f>
        <v>0</v>
      </c>
      <c r="E54" s="1">
        <f t="shared" si="3"/>
        <v>0</v>
      </c>
      <c r="F54" s="1">
        <f t="shared" si="7"/>
        <v>0</v>
      </c>
      <c r="G54" s="1">
        <v>39</v>
      </c>
      <c r="H54" s="1">
        <v>429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x14ac:dyDescent="0.25">
      <c r="B55" s="1" t="s">
        <v>113</v>
      </c>
      <c r="C55" s="1">
        <f>VLOOKUP(B55,'[1]feuille de base'!B:C,2,FALSE)</f>
        <v>48.3476</v>
      </c>
      <c r="D55" s="1">
        <f>VLOOKUP(B55,'feuille de base Mars 2016'!B:E,4,FALSE)</f>
        <v>0</v>
      </c>
      <c r="E55" s="1">
        <f t="shared" si="3"/>
        <v>0</v>
      </c>
      <c r="F55" s="1">
        <f t="shared" si="7"/>
        <v>0</v>
      </c>
      <c r="G55" s="1">
        <v>39</v>
      </c>
      <c r="H55" s="1">
        <v>429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x14ac:dyDescent="0.25">
      <c r="B56" s="1" t="s">
        <v>114</v>
      </c>
      <c r="C56" s="1">
        <f>VLOOKUP(B56,'[1]feuille de base'!B:C,2,FALSE)</f>
        <v>29.98</v>
      </c>
      <c r="D56" s="1">
        <f>VLOOKUP(B56,'feuille de base Mars 2016'!B:E,4,FALSE)</f>
        <v>0</v>
      </c>
      <c r="E56" s="1">
        <f t="shared" si="3"/>
        <v>0</v>
      </c>
      <c r="F56" s="1">
        <f t="shared" si="7"/>
        <v>0</v>
      </c>
      <c r="G56" s="1">
        <v>39</v>
      </c>
      <c r="H56" s="1">
        <v>429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x14ac:dyDescent="0.25">
      <c r="B57" s="1" t="s">
        <v>115</v>
      </c>
      <c r="C57" s="1">
        <f>VLOOKUP(B57,'[1]feuille de base'!B:C,2,FALSE)</f>
        <v>40.200000000000003</v>
      </c>
      <c r="D57" s="1">
        <f>VLOOKUP(B57,'feuille de base Mars 2016'!B:E,4,FALSE)</f>
        <v>0</v>
      </c>
      <c r="E57" s="1">
        <f t="shared" si="3"/>
        <v>0</v>
      </c>
      <c r="F57" s="1">
        <f t="shared" si="7"/>
        <v>0</v>
      </c>
      <c r="G57" s="1">
        <v>39</v>
      </c>
      <c r="H57" s="1">
        <v>429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x14ac:dyDescent="0.25">
      <c r="B58" s="1" t="s">
        <v>116</v>
      </c>
      <c r="C58" s="1">
        <f>VLOOKUP(B58,'[1]feuille de base'!B:C,2,FALSE)</f>
        <v>10.026000000000002</v>
      </c>
      <c r="D58" s="1">
        <f>VLOOKUP(B58,'feuille de base Mars 2016'!B:E,4,FALSE)</f>
        <v>0</v>
      </c>
      <c r="E58" s="1">
        <f t="shared" si="3"/>
        <v>0</v>
      </c>
      <c r="F58" s="1">
        <f t="shared" si="7"/>
        <v>0</v>
      </c>
      <c r="G58" s="1">
        <v>39</v>
      </c>
      <c r="H58" s="1">
        <v>429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x14ac:dyDescent="0.25">
      <c r="B59" s="1" t="s">
        <v>117</v>
      </c>
      <c r="C59" s="1">
        <f>VLOOKUP(B59,'[1]feuille de base'!B:C,2,FALSE)</f>
        <v>19.66</v>
      </c>
      <c r="D59" s="1">
        <f>VLOOKUP(B59,'feuille de base Mars 2016'!B:E,4,FALSE)</f>
        <v>0</v>
      </c>
      <c r="E59" s="1">
        <f t="shared" si="3"/>
        <v>0</v>
      </c>
      <c r="F59" s="1">
        <f t="shared" si="7"/>
        <v>0</v>
      </c>
      <c r="G59" s="1">
        <v>39</v>
      </c>
      <c r="H59" s="1">
        <v>429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2:23" x14ac:dyDescent="0.25">
      <c r="B60" s="1" t="s">
        <v>118</v>
      </c>
      <c r="C60" s="1">
        <f>VLOOKUP(B60,'[1]feuille de base'!B:C,2,FALSE)</f>
        <v>35.22</v>
      </c>
      <c r="D60" s="1">
        <f>VLOOKUP(B60,'feuille de base Mars 2016'!B:E,4,FALSE)</f>
        <v>0</v>
      </c>
      <c r="E60" s="1">
        <f t="shared" si="3"/>
        <v>0</v>
      </c>
      <c r="F60" s="1">
        <f t="shared" si="7"/>
        <v>0</v>
      </c>
      <c r="G60" s="1">
        <v>39</v>
      </c>
      <c r="H60" s="1">
        <v>429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2:23" x14ac:dyDescent="0.25">
      <c r="B61" s="28" t="s">
        <v>119</v>
      </c>
      <c r="C61" s="1">
        <f>VLOOKUP(B61,'[1]feuille de base'!B:C,2,FALSE)</f>
        <v>1.45</v>
      </c>
      <c r="D61" s="1">
        <f>VLOOKUP(B61,'feuille de base Mars 2016'!B:E,4,FALSE)</f>
        <v>2</v>
      </c>
      <c r="E61" s="1">
        <f>(D61*H61)</f>
        <v>858</v>
      </c>
      <c r="F61" s="1">
        <f t="shared" si="7"/>
        <v>1.2441</v>
      </c>
      <c r="G61" s="1">
        <v>39</v>
      </c>
      <c r="H61" s="1">
        <v>429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2:23" x14ac:dyDescent="0.25">
      <c r="B62" s="28" t="s">
        <v>120</v>
      </c>
      <c r="C62" s="1">
        <f>VLOOKUP(B62,'[1]feuille de base'!B:C,2,FALSE)</f>
        <v>7.798</v>
      </c>
      <c r="D62" s="1">
        <f>VLOOKUP(B62,'feuille de base Mars 2016'!B:E,4,FALSE)</f>
        <v>0.02</v>
      </c>
      <c r="E62" s="1">
        <f>(D62*G62)*1000</f>
        <v>780</v>
      </c>
      <c r="F62" s="1">
        <f t="shared" si="7"/>
        <v>6.0824400000000001</v>
      </c>
      <c r="G62" s="1">
        <v>39</v>
      </c>
      <c r="H62" s="1">
        <v>429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x14ac:dyDescent="0.25">
      <c r="B63" s="28" t="s">
        <v>121</v>
      </c>
      <c r="C63" s="1">
        <f>VLOOKUP(B63,'[1]feuille de base'!B:C,2,FALSE)</f>
        <v>8.3550000000000004</v>
      </c>
      <c r="D63" s="1">
        <f>VLOOKUP(B63,'feuille de base Mars 2016'!B:E,4,FALSE)</f>
        <v>0.02</v>
      </c>
      <c r="E63" s="1">
        <f>(D63*G63)*1000</f>
        <v>780</v>
      </c>
      <c r="F63" s="1">
        <f t="shared" si="7"/>
        <v>6.5169000000000006</v>
      </c>
      <c r="G63" s="1">
        <v>39</v>
      </c>
      <c r="H63" s="1">
        <v>429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x14ac:dyDescent="0.25">
      <c r="B64" s="28" t="s">
        <v>122</v>
      </c>
      <c r="C64" s="1">
        <f>VLOOKUP(B64,'[1]feuille de base'!B:C,2,FALSE)</f>
        <v>13.613799999999999</v>
      </c>
      <c r="D64" s="1">
        <f>VLOOKUP(B64,'feuille de base Mars 2016'!B:E,4,FALSE)</f>
        <v>0</v>
      </c>
      <c r="E64" s="1">
        <f>(D64*H64)</f>
        <v>0</v>
      </c>
      <c r="F64" s="1">
        <f t="shared" si="7"/>
        <v>0</v>
      </c>
      <c r="G64" s="1">
        <v>39</v>
      </c>
      <c r="H64" s="1">
        <v>429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B65" s="28" t="s">
        <v>123</v>
      </c>
      <c r="C65" s="1">
        <f>VLOOKUP(B65,'[1]feuille de base'!B:C,2,FALSE)</f>
        <v>8.02</v>
      </c>
      <c r="D65" s="1">
        <f>VLOOKUP(B65,'feuille de base Mars 2016'!B:E,4,FALSE)</f>
        <v>0.5</v>
      </c>
      <c r="E65" s="1">
        <f>(D65*H65)</f>
        <v>214.5</v>
      </c>
      <c r="F65" s="1">
        <f t="shared" si="7"/>
        <v>1.7202899999999999</v>
      </c>
      <c r="G65" s="1">
        <v>39</v>
      </c>
      <c r="H65" s="1">
        <v>429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B66" s="28" t="s">
        <v>126</v>
      </c>
      <c r="C66" s="1">
        <f>VLOOKUP(B66,'[1]feuille de base'!B:C,2,FALSE)</f>
        <v>0.77</v>
      </c>
      <c r="D66" s="1">
        <f>VLOOKUP(B66,'feuille de base Mars 2016'!B:E,4,FALSE)</f>
        <v>0</v>
      </c>
      <c r="E66" s="1"/>
      <c r="F66" s="1"/>
      <c r="G66" s="1">
        <v>39</v>
      </c>
      <c r="H66" s="1">
        <v>429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B67" s="28" t="s">
        <v>124</v>
      </c>
      <c r="C67" s="1">
        <f>VLOOKUP(B67,'[1]feuille de base'!B:C,2,FALSE)</f>
        <v>1.45</v>
      </c>
      <c r="D67" s="1">
        <f>VLOOKUP(B67,'feuille de base Mars 2016'!B:E,4,FALSE)</f>
        <v>1</v>
      </c>
      <c r="E67" s="1">
        <f>(D67*H67)</f>
        <v>429</v>
      </c>
      <c r="F67" s="1">
        <f t="shared" ref="F67:F72" si="8">(E67/1000)*C67</f>
        <v>0.62204999999999999</v>
      </c>
      <c r="G67" s="1">
        <v>39</v>
      </c>
      <c r="H67" s="1">
        <v>429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B68" s="28" t="s">
        <v>125</v>
      </c>
      <c r="C68" s="1">
        <f>VLOOKUP(B68,'[1]feuille de base'!B:C,2,FALSE)</f>
        <v>3.2519999999999998</v>
      </c>
      <c r="D68" s="1">
        <f>VLOOKUP(B68,'feuille de base Mars 2016'!B:E,4,FALSE)</f>
        <v>0</v>
      </c>
      <c r="E68" s="1">
        <f>(D68*G68)*1000</f>
        <v>0</v>
      </c>
      <c r="F68" s="1">
        <f t="shared" si="8"/>
        <v>0</v>
      </c>
      <c r="G68" s="1">
        <v>39</v>
      </c>
      <c r="H68" s="1">
        <v>429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B69" s="28" t="s">
        <v>127</v>
      </c>
      <c r="C69" s="1">
        <f>VLOOKUP(B69,'[1]feuille de base'!B:C,2,FALSE)</f>
        <v>1.4</v>
      </c>
      <c r="D69" s="1">
        <f>VLOOKUP(B69,'feuille de base Mars 2016'!B:E,4,FALSE)</f>
        <v>0</v>
      </c>
      <c r="E69" s="1">
        <f>(D69*H69)</f>
        <v>0</v>
      </c>
      <c r="F69" s="1">
        <f t="shared" si="8"/>
        <v>0</v>
      </c>
      <c r="G69" s="1">
        <v>39</v>
      </c>
      <c r="H69" s="1">
        <v>429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B70" s="28" t="s">
        <v>134</v>
      </c>
      <c r="C70" s="1">
        <f>VLOOKUP(B70,'[1]feuille de base'!B:C,2,FALSE)</f>
        <v>7.35</v>
      </c>
      <c r="D70" s="1">
        <f>VLOOKUP(B70,'feuille de base Mars 2016'!B:E,4,FALSE)</f>
        <v>0</v>
      </c>
      <c r="E70" s="1">
        <f>(D70*H70)</f>
        <v>0</v>
      </c>
      <c r="F70" s="1">
        <f t="shared" si="8"/>
        <v>0</v>
      </c>
      <c r="G70" s="1">
        <v>39</v>
      </c>
      <c r="H70" s="1">
        <v>429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B71" s="28" t="s">
        <v>135</v>
      </c>
      <c r="C71" s="1">
        <f>VLOOKUP(B71,'[1]feuille de base'!B:C,2,FALSE)</f>
        <v>4.2332000000000001</v>
      </c>
      <c r="D71" s="1">
        <f>VLOOKUP(B71,'feuille de base Mars 2016'!B:E,4,FALSE)</f>
        <v>0</v>
      </c>
      <c r="E71" s="1">
        <f>(D71*H71)</f>
        <v>0</v>
      </c>
      <c r="F71" s="1">
        <f t="shared" si="8"/>
        <v>0</v>
      </c>
      <c r="G71" s="1">
        <v>39</v>
      </c>
      <c r="H71" s="1">
        <v>429</v>
      </c>
      <c r="I71" s="1"/>
      <c r="J71" s="1"/>
      <c r="K71" s="1"/>
      <c r="L71" s="1"/>
      <c r="M71" s="1"/>
      <c r="N71" s="1"/>
      <c r="O71" s="1"/>
      <c r="P71" s="28">
        <f>SUM(P22:P70)</f>
        <v>211599.95999999996</v>
      </c>
      <c r="Q71" s="28">
        <f>P71/3600</f>
        <v>58.777766666666658</v>
      </c>
      <c r="R71" s="28">
        <f>SUM(R22:R24)</f>
        <v>3.3833333333333333</v>
      </c>
      <c r="S71" s="28"/>
      <c r="T71" s="28"/>
      <c r="U71" s="28">
        <f>SUM(U22:U25)</f>
        <v>15.736335694444442</v>
      </c>
      <c r="V71" s="1"/>
      <c r="W71" s="1"/>
    </row>
    <row r="72" spans="1:23" x14ac:dyDescent="0.25">
      <c r="B72" s="28" t="s">
        <v>138</v>
      </c>
      <c r="C72" s="1">
        <f>VLOOKUP(B72,'[1]feuille de base'!B:C,2,FALSE)</f>
        <v>6.6412000000000004</v>
      </c>
      <c r="D72" s="1">
        <f>VLOOKUP(B72,'feuille de base Mars 2016'!B:E,4,FALSE)</f>
        <v>0</v>
      </c>
      <c r="E72" s="1">
        <f>(D72*H72)</f>
        <v>0</v>
      </c>
      <c r="F72" s="1">
        <f t="shared" si="8"/>
        <v>0</v>
      </c>
      <c r="G72" s="1">
        <v>39</v>
      </c>
      <c r="H72" s="1">
        <v>429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B73" s="16"/>
      <c r="C73" s="16"/>
      <c r="D73" s="16"/>
      <c r="E73" s="16"/>
      <c r="F73" s="29">
        <f>SUM(F22:F72,U71,M23)</f>
        <v>41.523814294444449</v>
      </c>
      <c r="G73" s="16"/>
      <c r="H73" s="16"/>
      <c r="I73" s="16"/>
      <c r="J73" s="16"/>
      <c r="K73" s="16"/>
      <c r="L73" s="16"/>
      <c r="M73" s="16"/>
      <c r="N73" s="16"/>
      <c r="O73" s="16"/>
    </row>
    <row r="74" spans="1:23" x14ac:dyDescent="0.25">
      <c r="B74" s="16"/>
      <c r="C74" s="16"/>
      <c r="D74" s="16"/>
      <c r="E74" s="16"/>
      <c r="F74" s="29"/>
      <c r="G74" s="16"/>
      <c r="H74" s="16"/>
      <c r="I74" s="16"/>
      <c r="J74" s="16"/>
      <c r="K74" s="16"/>
      <c r="L74" s="16"/>
      <c r="M74" s="16"/>
      <c r="N74" s="16"/>
      <c r="O74" s="16"/>
    </row>
    <row r="75" spans="1:23" x14ac:dyDescent="0.25">
      <c r="B75" s="54" t="s">
        <v>214</v>
      </c>
      <c r="C75" s="54">
        <f>F73+U71+M23</f>
        <v>64.810078088888886</v>
      </c>
      <c r="D75" s="16"/>
      <c r="E75" s="16"/>
      <c r="F75" s="29"/>
      <c r="G75" s="16"/>
      <c r="H75" s="16"/>
      <c r="I75" s="16"/>
      <c r="J75" s="16"/>
      <c r="K75" s="16"/>
      <c r="L75" s="16"/>
      <c r="M75" s="16"/>
      <c r="N75" s="16"/>
      <c r="O75" s="16"/>
    </row>
    <row r="76" spans="1:23" x14ac:dyDescent="0.25">
      <c r="A76" s="30"/>
      <c r="B76" s="30"/>
      <c r="C76" s="30"/>
      <c r="D76" s="30"/>
      <c r="E76" s="30"/>
      <c r="F76" s="31"/>
      <c r="G76" s="30"/>
      <c r="H76" s="30"/>
      <c r="I76" s="30"/>
      <c r="J76" s="30"/>
      <c r="K76" s="30"/>
      <c r="L76" s="30"/>
      <c r="M76" s="30"/>
      <c r="N76" s="30"/>
      <c r="O76" s="30"/>
    </row>
    <row r="77" spans="1:23" x14ac:dyDescent="0.25">
      <c r="B77" s="55" t="s">
        <v>196</v>
      </c>
      <c r="C77" s="55">
        <f>F89+U88+M80+M82</f>
        <v>7.4016227999999993</v>
      </c>
      <c r="D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23" x14ac:dyDescent="0.25">
      <c r="B78" s="34" t="s">
        <v>152</v>
      </c>
    </row>
    <row r="79" spans="1:23" x14ac:dyDescent="0.25">
      <c r="B79" s="32" t="s">
        <v>183</v>
      </c>
      <c r="C79" s="32"/>
      <c r="D79" s="32" t="s">
        <v>181</v>
      </c>
      <c r="E79" s="32"/>
      <c r="F79" s="32"/>
      <c r="G79" s="32"/>
      <c r="H79" s="32"/>
      <c r="I79" s="32"/>
      <c r="J79" s="32" t="s">
        <v>165</v>
      </c>
      <c r="K79" s="32" t="s">
        <v>180</v>
      </c>
      <c r="L79" s="32" t="s">
        <v>167</v>
      </c>
      <c r="M79" s="32" t="s">
        <v>168</v>
      </c>
      <c r="N79" s="32" t="s">
        <v>226</v>
      </c>
      <c r="O79" s="32" t="s">
        <v>169</v>
      </c>
      <c r="P79" s="32" t="s">
        <v>170</v>
      </c>
      <c r="Q79" s="32" t="s">
        <v>171</v>
      </c>
      <c r="R79" s="32" t="s">
        <v>172</v>
      </c>
      <c r="S79" s="32" t="s">
        <v>173</v>
      </c>
      <c r="T79" s="32" t="s">
        <v>174</v>
      </c>
      <c r="U79" s="32" t="s">
        <v>175</v>
      </c>
      <c r="V79" s="32"/>
      <c r="W79" s="32"/>
    </row>
    <row r="80" spans="1:23" x14ac:dyDescent="0.25">
      <c r="B80" s="26" t="s">
        <v>139</v>
      </c>
      <c r="C80" s="1">
        <f>VLOOKUP(B80,'[1]feuille de base'!B:C,2,FALSE)</f>
        <v>1.4</v>
      </c>
      <c r="D80" s="1">
        <f>VLOOKUP(B80,'feuille de base Mars 2016'!B:E,4,FALSE)</f>
        <v>0</v>
      </c>
      <c r="E80" s="1">
        <f>(D80*H80)</f>
        <v>0</v>
      </c>
      <c r="F80" s="1">
        <f t="shared" ref="F80:F81" si="9">(E80/1000)*C80</f>
        <v>0</v>
      </c>
      <c r="G80" s="1">
        <v>39</v>
      </c>
      <c r="H80" s="1">
        <v>429</v>
      </c>
      <c r="I80" s="1"/>
      <c r="J80" s="1"/>
      <c r="K80" s="1">
        <f>429</f>
        <v>429</v>
      </c>
      <c r="L80" s="1">
        <f>(K80*3.33)/1000</f>
        <v>1.4285699999999999</v>
      </c>
      <c r="M80" s="1">
        <f>L80*0.11</f>
        <v>0.1571427</v>
      </c>
      <c r="N80" s="1">
        <f>(K80/1000)*5.5</f>
        <v>2.3595000000000002</v>
      </c>
      <c r="O80" s="30"/>
      <c r="P80" s="1">
        <f>(4.18*429*(40-22))</f>
        <v>32277.959999999995</v>
      </c>
      <c r="Q80" s="1">
        <f>P80/3600</f>
        <v>8.9660999999999991</v>
      </c>
      <c r="R80">
        <v>0.5</v>
      </c>
      <c r="S80" s="1"/>
      <c r="T80" s="1"/>
      <c r="U80" s="1">
        <f>R80*Q80*0.17</f>
        <v>0.76211849999999992</v>
      </c>
      <c r="V80" s="1"/>
      <c r="W80" s="1"/>
    </row>
    <row r="81" spans="2:23" x14ac:dyDescent="0.25">
      <c r="B81" s="26" t="s">
        <v>140</v>
      </c>
      <c r="C81" s="1">
        <f>VLOOKUP(B81,'[1]feuille de base'!B:C,2,FALSE)</f>
        <v>7.1070000000000002</v>
      </c>
      <c r="D81" s="1">
        <f>VLOOKUP(B81,'feuille de base Mars 2016'!B:E,4,FALSE)</f>
        <v>0</v>
      </c>
      <c r="E81" s="1">
        <f>(D81*G81)*1000</f>
        <v>0</v>
      </c>
      <c r="F81" s="1">
        <f t="shared" si="9"/>
        <v>0</v>
      </c>
      <c r="G81" s="1">
        <v>39</v>
      </c>
      <c r="H81" s="1">
        <v>429</v>
      </c>
      <c r="I81" s="1"/>
      <c r="J81" s="1"/>
      <c r="K81" s="1"/>
      <c r="L81" s="1"/>
      <c r="M81" s="1"/>
      <c r="N81" s="1"/>
      <c r="O81" s="30"/>
      <c r="Q81" s="1">
        <f t="shared" ref="Q81:Q84" si="10">P81/3600</f>
        <v>0</v>
      </c>
      <c r="S81" s="1"/>
      <c r="T81" s="1"/>
      <c r="U81" s="1">
        <f t="shared" ref="U81:U84" si="11">R81*Q81*0.134</f>
        <v>0</v>
      </c>
      <c r="V81" s="1"/>
      <c r="W81" s="1"/>
    </row>
    <row r="82" spans="2:23" x14ac:dyDescent="0.25">
      <c r="B82" s="26" t="s">
        <v>141</v>
      </c>
      <c r="C82" s="1">
        <f>VLOOKUP(B82,'[1]feuille de base'!B:C,2,FALSE)</f>
        <v>0.77</v>
      </c>
      <c r="D82" s="1">
        <f>VLOOKUP(B82,'feuille de base Mars 2016'!B:E,4,FALSE)</f>
        <v>0</v>
      </c>
      <c r="E82" s="1">
        <f>D82*H82</f>
        <v>0</v>
      </c>
      <c r="F82" s="1">
        <f>(E82/1000)*C82</f>
        <v>0</v>
      </c>
      <c r="G82" s="1">
        <v>39</v>
      </c>
      <c r="H82" s="1">
        <v>429</v>
      </c>
      <c r="I82" s="1"/>
      <c r="J82" s="1"/>
      <c r="K82" s="1"/>
      <c r="L82" s="1"/>
      <c r="M82" s="1">
        <f>(K80/1000)*1.19</f>
        <v>0.51051000000000002</v>
      </c>
      <c r="N82" s="1"/>
      <c r="O82" s="30"/>
      <c r="Q82" s="1">
        <f t="shared" si="10"/>
        <v>0</v>
      </c>
      <c r="S82" s="1"/>
      <c r="T82" s="1"/>
      <c r="U82" s="1">
        <f t="shared" si="11"/>
        <v>0</v>
      </c>
      <c r="V82" s="1"/>
      <c r="W82" s="1"/>
    </row>
    <row r="83" spans="2:23" x14ac:dyDescent="0.25">
      <c r="B83" s="26" t="s">
        <v>142</v>
      </c>
      <c r="C83" s="1">
        <f>VLOOKUP(B83,'[1]feuille de base'!B:C,2,FALSE)</f>
        <v>10.130000000000001</v>
      </c>
      <c r="D83" s="1">
        <f>VLOOKUP(B83,'feuille de base Mars 2016'!B:E,4,FALSE)</f>
        <v>0</v>
      </c>
      <c r="E83" s="1">
        <f>(D83*G83)*1000</f>
        <v>0</v>
      </c>
      <c r="F83" s="1">
        <f>(E83/1000)*C83</f>
        <v>0</v>
      </c>
      <c r="G83" s="1">
        <v>39</v>
      </c>
      <c r="H83" s="1">
        <v>429</v>
      </c>
      <c r="I83" s="1"/>
      <c r="J83" s="1"/>
      <c r="K83" s="1"/>
      <c r="L83" s="1"/>
      <c r="M83" s="1"/>
      <c r="N83" s="1"/>
      <c r="O83" s="30"/>
      <c r="Q83" s="1">
        <f t="shared" si="10"/>
        <v>0</v>
      </c>
      <c r="S83" s="1"/>
      <c r="T83" s="1"/>
      <c r="U83" s="1">
        <f t="shared" si="11"/>
        <v>0</v>
      </c>
      <c r="V83" s="1"/>
      <c r="W83" s="1"/>
    </row>
    <row r="84" spans="2:23" x14ac:dyDescent="0.25">
      <c r="B84" s="26" t="s">
        <v>143</v>
      </c>
      <c r="C84" s="1">
        <f>VLOOKUP(B84,'[1]feuille de base'!B:C,2,FALSE)</f>
        <v>7.35</v>
      </c>
      <c r="D84" s="1">
        <f>VLOOKUP(B84,'feuille de base Mars 2016'!B:E,4,FALSE)</f>
        <v>0</v>
      </c>
      <c r="E84" s="1">
        <f>D84*H84</f>
        <v>0</v>
      </c>
      <c r="F84" s="1">
        <f>(E84/1000)*C84</f>
        <v>0</v>
      </c>
      <c r="G84" s="1">
        <v>39</v>
      </c>
      <c r="H84" s="1">
        <v>429</v>
      </c>
      <c r="I84" s="1"/>
      <c r="J84" s="1"/>
      <c r="K84" s="1"/>
      <c r="L84" s="1"/>
      <c r="M84" s="1"/>
      <c r="N84" s="1"/>
      <c r="O84" s="30"/>
      <c r="Q84" s="1">
        <f t="shared" si="10"/>
        <v>0</v>
      </c>
      <c r="S84" s="1"/>
      <c r="T84" s="1"/>
      <c r="U84" s="1">
        <f t="shared" si="11"/>
        <v>0</v>
      </c>
      <c r="V84" s="1"/>
      <c r="W84" s="1"/>
    </row>
    <row r="85" spans="2:23" x14ac:dyDescent="0.25">
      <c r="B85" s="26" t="s">
        <v>146</v>
      </c>
      <c r="C85" s="1">
        <f>VLOOKUP(B85,'[1]feuille de base'!B:C,2,FALSE)</f>
        <v>0.77</v>
      </c>
      <c r="D85" s="1">
        <f>VLOOKUP(B85,'feuille de base Mars 2016'!B:E,4,FALSE)</f>
        <v>0</v>
      </c>
      <c r="E85" s="1">
        <f>D85*H85</f>
        <v>0</v>
      </c>
      <c r="F85" s="1">
        <f>(E85/1000)*C85</f>
        <v>0</v>
      </c>
      <c r="G85" s="1">
        <v>39</v>
      </c>
      <c r="H85" s="1">
        <v>429</v>
      </c>
      <c r="I85" s="1"/>
      <c r="J85" s="1"/>
      <c r="K85" s="1"/>
      <c r="L85" s="1"/>
      <c r="M85" s="1"/>
      <c r="N85" s="1"/>
      <c r="O85" s="30"/>
      <c r="Q85" s="1"/>
      <c r="S85" s="1"/>
      <c r="T85" s="1"/>
      <c r="U85" s="1">
        <f>R85*Q85*0.134</f>
        <v>0</v>
      </c>
      <c r="V85" s="1"/>
      <c r="W85" s="1"/>
    </row>
    <row r="86" spans="2:23" x14ac:dyDescent="0.25">
      <c r="B86" s="26" t="s">
        <v>147</v>
      </c>
      <c r="C86" s="1">
        <f>VLOOKUP(B86,'[1]feuille de base'!B:C,2,FALSE)</f>
        <v>1.45</v>
      </c>
      <c r="D86" s="1">
        <f>VLOOKUP(B86,'feuille de base Mars 2016'!B:E,4,FALSE)</f>
        <v>0</v>
      </c>
      <c r="E86" s="1">
        <f>(D86*H86)</f>
        <v>0</v>
      </c>
      <c r="F86" s="1">
        <f>(E86/1000)*C86</f>
        <v>0</v>
      </c>
      <c r="G86" s="1">
        <v>39</v>
      </c>
      <c r="H86" s="1">
        <v>429</v>
      </c>
      <c r="I86" s="1"/>
      <c r="J86" s="1"/>
      <c r="K86" s="1"/>
      <c r="L86" s="1"/>
      <c r="M86" s="1"/>
      <c r="N86" s="1"/>
      <c r="O86" s="30"/>
      <c r="Q86" s="1"/>
      <c r="S86" s="1"/>
      <c r="T86" s="1"/>
      <c r="U86" s="1"/>
      <c r="V86" s="1"/>
      <c r="W86" s="1"/>
    </row>
    <row r="87" spans="2:23" x14ac:dyDescent="0.25">
      <c r="B87" s="26" t="s">
        <v>148</v>
      </c>
      <c r="C87" s="1">
        <f>VLOOKUP(B87,'[1]feuille de base'!B:C,2,FALSE)</f>
        <v>4.9000000000000004</v>
      </c>
      <c r="D87" s="1">
        <f>VLOOKUP(B87,'feuille de base Mars 2016'!B:E,4,FALSE)</f>
        <v>0</v>
      </c>
      <c r="E87" s="1">
        <f>D87*G87</f>
        <v>0</v>
      </c>
      <c r="F87" s="1">
        <f t="shared" ref="F87:F88" si="12">(E87/1000)*C87</f>
        <v>0</v>
      </c>
      <c r="G87" s="1">
        <v>39</v>
      </c>
      <c r="H87" s="1">
        <v>429</v>
      </c>
      <c r="I87" s="1"/>
      <c r="J87" s="1"/>
      <c r="K87" s="1"/>
      <c r="L87" s="1"/>
      <c r="M87" s="1">
        <f>SUM(M80:M82)</f>
        <v>0.66765269999999999</v>
      </c>
      <c r="N87" s="1"/>
      <c r="O87" s="30"/>
      <c r="Q87" s="1"/>
      <c r="S87" s="1"/>
      <c r="T87" s="1"/>
      <c r="U87" s="1"/>
      <c r="V87" s="1"/>
      <c r="W87" s="1"/>
    </row>
    <row r="88" spans="2:23" x14ac:dyDescent="0.25">
      <c r="B88" s="26" t="s">
        <v>149</v>
      </c>
      <c r="C88" s="26">
        <f>VLOOKUP(B88,'[1]feuille de base'!B:C,2,FALSE)</f>
        <v>1.335</v>
      </c>
      <c r="D88" s="1">
        <f>VLOOKUP(B88,'feuille de base Mars 2016'!B:E,4,FALSE)</f>
        <v>6</v>
      </c>
      <c r="E88" s="26">
        <f>D88*H88</f>
        <v>2574</v>
      </c>
      <c r="F88" s="26">
        <f t="shared" si="12"/>
        <v>3.4362899999999996</v>
      </c>
      <c r="G88" s="1">
        <v>39</v>
      </c>
      <c r="H88" s="1">
        <v>429</v>
      </c>
      <c r="I88" s="26"/>
      <c r="J88" s="26"/>
      <c r="K88" s="26"/>
      <c r="L88" s="26"/>
      <c r="M88" s="26"/>
      <c r="N88" s="26"/>
      <c r="O88" s="26"/>
      <c r="P88" s="26">
        <f>SUM(P80:P87)</f>
        <v>32277.959999999995</v>
      </c>
      <c r="Q88" s="26">
        <f>P88/3600</f>
        <v>8.9660999999999991</v>
      </c>
      <c r="R88" s="26">
        <f>SUM(R80:R87)</f>
        <v>0.5</v>
      </c>
      <c r="S88" s="26"/>
      <c r="T88" s="26"/>
      <c r="U88" s="26">
        <f>Q88*0.134*R88</f>
        <v>0.6007287</v>
      </c>
      <c r="V88" s="26"/>
      <c r="W88" s="26"/>
    </row>
    <row r="89" spans="2:23" x14ac:dyDescent="0.25">
      <c r="B89" s="17"/>
      <c r="C89" s="17"/>
      <c r="D89" s="33"/>
      <c r="E89" s="17"/>
      <c r="F89" s="34">
        <f>SUM(F80:F88,L80,U88,M87)</f>
        <v>6.1332413999999993</v>
      </c>
      <c r="G89" s="17"/>
      <c r="H89" s="17"/>
      <c r="I89" s="17"/>
      <c r="J89" s="17"/>
      <c r="K89" s="17"/>
      <c r="L89" s="17"/>
      <c r="M89" s="17"/>
      <c r="N89" s="17"/>
      <c r="O89" s="17"/>
    </row>
  </sheetData>
  <conditionalFormatting sqref="R42:R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8">
    <dataValidation type="list" allowBlank="1" showInputMessage="1" showErrorMessage="1" sqref="B22:B60">
      <formula1>colorant</formula1>
    </dataValidation>
    <dataValidation type="list" allowBlank="1" showInputMessage="1" showErrorMessage="1" sqref="B7:B13">
      <formula1>preparation</formula1>
    </dataValidation>
    <dataValidation type="list" allowBlank="1" showInputMessage="1" showErrorMessage="1" sqref="B80:B88">
      <formula1>prodfix</formula1>
    </dataValidation>
    <dataValidation type="list" allowBlank="1" showInputMessage="1" showErrorMessage="1" sqref="B73:B74">
      <formula1>listeprodteint</formula1>
    </dataValidation>
    <dataValidation type="list" allowBlank="1" showInputMessage="1" showErrorMessage="1" sqref="B61:B72">
      <formula1>prodteinture</formula1>
    </dataValidation>
    <dataValidation type="list" allowBlank="1" showInputMessage="1" showErrorMessage="1" sqref="D15:D20">
      <formula1>listepourprodprep</formula1>
    </dataValidation>
    <dataValidation type="list" allowBlank="1" showInputMessage="1" showErrorMessage="1" sqref="C16:C19">
      <formula1>listeprixprodprepa</formula1>
    </dataValidation>
    <dataValidation type="list" allowBlank="1" showInputMessage="1" showErrorMessage="1" sqref="C20 C79">
      <formula1>INDIRECT("listeprixcolorants[prix colorants]")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4"/>
  <sheetViews>
    <sheetView workbookViewId="0">
      <selection activeCell="K5" sqref="K5"/>
    </sheetView>
  </sheetViews>
  <sheetFormatPr baseColWidth="10" defaultRowHeight="15" x14ac:dyDescent="0.25"/>
  <cols>
    <col min="7" max="7" width="18.28515625" customWidth="1"/>
    <col min="11" max="11" width="61" customWidth="1"/>
  </cols>
  <sheetData>
    <row r="1" spans="1:10" x14ac:dyDescent="0.25">
      <c r="A1" t="s">
        <v>255</v>
      </c>
      <c r="B1" t="s">
        <v>256</v>
      </c>
      <c r="G1" t="s">
        <v>261</v>
      </c>
    </row>
    <row r="2" spans="1:10" x14ac:dyDescent="0.25">
      <c r="A2" s="70" t="s">
        <v>257</v>
      </c>
      <c r="B2">
        <v>22</v>
      </c>
    </row>
    <row r="3" spans="1:10" x14ac:dyDescent="0.25">
      <c r="A3" s="69" t="s">
        <v>258</v>
      </c>
      <c r="B3">
        <v>45</v>
      </c>
    </row>
    <row r="4" spans="1:10" x14ac:dyDescent="0.25">
      <c r="A4" s="70" t="s">
        <v>259</v>
      </c>
      <c r="B4">
        <v>58</v>
      </c>
    </row>
    <row r="5" spans="1:10" x14ac:dyDescent="0.25">
      <c r="A5" s="70" t="s">
        <v>260</v>
      </c>
      <c r="B5">
        <v>45</v>
      </c>
      <c r="J5" t="s">
        <v>255</v>
      </c>
    </row>
    <row r="6" spans="1:10" x14ac:dyDescent="0.25">
      <c r="A6" s="69"/>
    </row>
    <row r="7" spans="1:10" x14ac:dyDescent="0.25">
      <c r="A7" s="69"/>
    </row>
    <row r="8" spans="1:10" x14ac:dyDescent="0.25">
      <c r="A8" s="69"/>
    </row>
    <row r="9" spans="1:10" x14ac:dyDescent="0.25">
      <c r="A9" s="69"/>
    </row>
    <row r="10" spans="1:10" x14ac:dyDescent="0.25">
      <c r="A10" s="69"/>
    </row>
    <row r="11" spans="1:10" x14ac:dyDescent="0.25">
      <c r="A11" s="69"/>
    </row>
    <row r="12" spans="1:10" x14ac:dyDescent="0.25">
      <c r="A12" s="69"/>
    </row>
    <row r="13" spans="1:10" x14ac:dyDescent="0.25">
      <c r="A13" s="69"/>
    </row>
    <row r="14" spans="1:10" x14ac:dyDescent="0.25">
      <c r="A14" s="69"/>
    </row>
    <row r="15" spans="1:10" x14ac:dyDescent="0.25">
      <c r="A15" s="69"/>
    </row>
    <row r="16" spans="1:10" x14ac:dyDescent="0.25">
      <c r="A16" s="69"/>
    </row>
    <row r="17" spans="1:1" x14ac:dyDescent="0.25">
      <c r="A17" s="69"/>
    </row>
    <row r="18" spans="1:1" x14ac:dyDescent="0.25">
      <c r="A18" s="69"/>
    </row>
    <row r="19" spans="1:1" x14ac:dyDescent="0.25">
      <c r="A19" s="69"/>
    </row>
    <row r="20" spans="1:1" x14ac:dyDescent="0.25">
      <c r="A20" s="69"/>
    </row>
    <row r="21" spans="1:1" x14ac:dyDescent="0.25">
      <c r="A21" s="69"/>
    </row>
    <row r="22" spans="1:1" x14ac:dyDescent="0.25">
      <c r="A22" s="69"/>
    </row>
    <row r="23" spans="1:1" x14ac:dyDescent="0.25">
      <c r="A23" s="69"/>
    </row>
    <row r="24" spans="1:1" x14ac:dyDescent="0.25">
      <c r="A24" s="6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8" r:id="rId3" name="ListBox1">
          <controlPr defaultSize="0" autoLine="0" r:id="rId4">
            <anchor moveWithCells="1">
              <from>
                <xdr:col>5</xdr:col>
                <xdr:colOff>638175</xdr:colOff>
                <xdr:row>2</xdr:row>
                <xdr:rowOff>171450</xdr:rowOff>
              </from>
              <to>
                <xdr:col>7</xdr:col>
                <xdr:colOff>161925</xdr:colOff>
                <xdr:row>6</xdr:row>
                <xdr:rowOff>28575</xdr:rowOff>
              </to>
            </anchor>
          </controlPr>
        </control>
      </mc:Choice>
      <mc:Fallback>
        <control shapeId="14338" r:id="rId3" name="ListBox1"/>
      </mc:Fallback>
    </mc:AlternateContent>
    <mc:AlternateContent xmlns:mc="http://schemas.openxmlformats.org/markup-compatibility/2006">
      <mc:Choice Requires="x14">
        <control shapeId="14337" r:id="rId5" name="TextBox1">
          <controlPr defaultSize="0" autoLine="0" r:id="rId6">
            <anchor moveWithCells="1">
              <from>
                <xdr:col>5</xdr:col>
                <xdr:colOff>542925</xdr:colOff>
                <xdr:row>1</xdr:row>
                <xdr:rowOff>9525</xdr:rowOff>
              </from>
              <to>
                <xdr:col>7</xdr:col>
                <xdr:colOff>76200</xdr:colOff>
                <xdr:row>2</xdr:row>
                <xdr:rowOff>66675</xdr:rowOff>
              </to>
            </anchor>
          </controlPr>
        </control>
      </mc:Choice>
      <mc:Fallback>
        <control shapeId="14337" r:id="rId5" name="Text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89"/>
  <sheetViews>
    <sheetView topLeftCell="G50" workbookViewId="0">
      <selection activeCell="T81" sqref="T81"/>
    </sheetView>
  </sheetViews>
  <sheetFormatPr baseColWidth="10" defaultColWidth="11.42578125" defaultRowHeight="15" x14ac:dyDescent="0.25"/>
  <cols>
    <col min="1" max="1" width="28" customWidth="1"/>
    <col min="2" max="2" width="22.28515625" customWidth="1"/>
    <col min="3" max="3" width="22" customWidth="1"/>
    <col min="5" max="5" width="20.85546875" customWidth="1"/>
    <col min="10" max="10" width="25.85546875" customWidth="1"/>
  </cols>
  <sheetData>
    <row r="1" spans="1:22" x14ac:dyDescent="0.25">
      <c r="E1" s="1" t="s">
        <v>154</v>
      </c>
      <c r="F1" s="1">
        <v>7.9</v>
      </c>
      <c r="I1" s="24" t="s">
        <v>155</v>
      </c>
      <c r="J1" s="24">
        <f>E14+E73+E89+L13+T13+T71+L23+L87+T88</f>
        <v>12.24905961477778</v>
      </c>
    </row>
    <row r="2" spans="1:22" x14ac:dyDescent="0.25">
      <c r="A2" s="53" t="s">
        <v>213</v>
      </c>
      <c r="B2" s="53">
        <f>E14+L13+T13</f>
        <v>4.8991401748148151</v>
      </c>
      <c r="E2" s="1" t="s">
        <v>156</v>
      </c>
      <c r="F2" s="1">
        <f>63.2*7</f>
        <v>442.40000000000003</v>
      </c>
    </row>
    <row r="3" spans="1:22" x14ac:dyDescent="0.25">
      <c r="E3" s="1" t="s">
        <v>157</v>
      </c>
      <c r="F3" s="25"/>
    </row>
    <row r="5" spans="1:22" x14ac:dyDescent="0.25">
      <c r="A5" s="26" t="s">
        <v>150</v>
      </c>
    </row>
    <row r="6" spans="1:22" x14ac:dyDescent="0.25">
      <c r="A6" s="26" t="s">
        <v>182</v>
      </c>
      <c r="B6" s="26" t="s">
        <v>158</v>
      </c>
      <c r="C6" s="26" t="s">
        <v>159</v>
      </c>
      <c r="D6" s="26" t="s">
        <v>160</v>
      </c>
      <c r="E6" s="26" t="s">
        <v>161</v>
      </c>
      <c r="F6" s="26" t="s">
        <v>162</v>
      </c>
      <c r="G6" s="27" t="s">
        <v>163</v>
      </c>
      <c r="H6" s="27" t="s">
        <v>164</v>
      </c>
      <c r="I6" s="26" t="s">
        <v>165</v>
      </c>
      <c r="J6" s="26" t="s">
        <v>166</v>
      </c>
      <c r="K6" s="26" t="s">
        <v>167</v>
      </c>
      <c r="L6" s="26" t="s">
        <v>168</v>
      </c>
      <c r="M6" s="26" t="s">
        <v>226</v>
      </c>
      <c r="N6" s="26" t="s">
        <v>169</v>
      </c>
      <c r="O6" s="26" t="s">
        <v>170</v>
      </c>
      <c r="P6" s="26" t="s">
        <v>171</v>
      </c>
      <c r="Q6" s="26" t="s">
        <v>172</v>
      </c>
      <c r="R6" s="26" t="s">
        <v>173</v>
      </c>
      <c r="S6" s="26" t="s">
        <v>174</v>
      </c>
      <c r="T6" s="26" t="s">
        <v>175</v>
      </c>
      <c r="U6" s="1"/>
      <c r="V6" s="1"/>
    </row>
    <row r="7" spans="1:22" x14ac:dyDescent="0.25">
      <c r="A7" s="26" t="s">
        <v>69</v>
      </c>
      <c r="B7" s="1">
        <f>VLOOKUP(A7,'feuille de base Mars 2016'!B:C,2,FALSE)</f>
        <v>1.45</v>
      </c>
      <c r="C7" s="1">
        <f>VLOOKUP(A7,'feuille de base Mars 2016'!B:H,7,FALSE)</f>
        <v>2</v>
      </c>
      <c r="D7" s="1">
        <f>(C7*G7)</f>
        <v>126.4</v>
      </c>
      <c r="E7" s="1">
        <f t="shared" ref="E7:E13" si="0">(D7/1000)*B7</f>
        <v>0.18328</v>
      </c>
      <c r="F7" s="1">
        <v>7.9</v>
      </c>
      <c r="G7" s="1">
        <v>63.2</v>
      </c>
      <c r="H7" s="1">
        <f>SUM(212+306+306)</f>
        <v>824</v>
      </c>
      <c r="I7" s="1">
        <v>1.35</v>
      </c>
      <c r="J7" s="1">
        <f>3*63.2</f>
        <v>189.60000000000002</v>
      </c>
      <c r="K7" s="1">
        <f>(J7*3.33)/1000</f>
        <v>0.63136800000000004</v>
      </c>
      <c r="L7" s="1">
        <f>K7*0.11</f>
        <v>6.9450480000000009E-2</v>
      </c>
      <c r="M7" s="1">
        <f>(J7/1000)*5.5</f>
        <v>1.0428000000000002</v>
      </c>
      <c r="O7" s="1">
        <f>(((4.18*63.2*(35-22))))</f>
        <v>3434.288</v>
      </c>
      <c r="P7" s="1">
        <f>O7/3600</f>
        <v>0.95396888888888887</v>
      </c>
      <c r="Q7" s="1">
        <f>20/60</f>
        <v>0.33333333333333331</v>
      </c>
      <c r="R7" s="1"/>
      <c r="S7" s="1"/>
      <c r="T7" s="1">
        <f>P7*Q7*0.17</f>
        <v>5.4058237037037042E-2</v>
      </c>
      <c r="U7" s="1"/>
      <c r="V7" s="1"/>
    </row>
    <row r="8" spans="1:22" x14ac:dyDescent="0.25">
      <c r="A8" s="26" t="s">
        <v>70</v>
      </c>
      <c r="B8" s="1">
        <f>VLOOKUP(A8,'feuille de base Mars 2016'!B:C,2,FALSE)</f>
        <v>7.3529999999999998</v>
      </c>
      <c r="C8" s="1">
        <f>VLOOKUP(A8,'feuille de base Mars 2016'!B:H,7,FALSE)</f>
        <v>0.02</v>
      </c>
      <c r="D8" s="1">
        <f>(C8*F8)*1000</f>
        <v>158</v>
      </c>
      <c r="E8" s="1">
        <f t="shared" si="0"/>
        <v>1.1617739999999999</v>
      </c>
      <c r="F8" s="1">
        <v>7.9</v>
      </c>
      <c r="G8" s="1">
        <v>63.2</v>
      </c>
      <c r="I8" s="1"/>
      <c r="J8" s="1"/>
      <c r="K8" s="1"/>
      <c r="L8" s="1"/>
      <c r="M8" s="1"/>
      <c r="O8" s="1">
        <f>(4.18*63.2*(80-35))</f>
        <v>11887.92</v>
      </c>
      <c r="P8" s="1">
        <f>O8/3600</f>
        <v>3.3022</v>
      </c>
      <c r="Q8" s="1">
        <f>(40/60)</f>
        <v>0.66666666666666663</v>
      </c>
      <c r="R8" s="1"/>
      <c r="S8" s="1"/>
      <c r="T8" s="1">
        <f t="shared" ref="T8:T10" si="1">P8*Q8*0.17</f>
        <v>0.37424933333333338</v>
      </c>
      <c r="U8" s="1"/>
      <c r="V8" s="1"/>
    </row>
    <row r="9" spans="1:22" x14ac:dyDescent="0.25">
      <c r="A9" s="26" t="s">
        <v>72</v>
      </c>
      <c r="B9" s="1">
        <f>VLOOKUP(A9,'feuille de base Mars 2016'!B:C,2,FALSE)</f>
        <v>0.77</v>
      </c>
      <c r="C9" s="1">
        <f>VLOOKUP(A9,'feuille de base Mars 2016'!B:H,7,FALSE)</f>
        <v>1</v>
      </c>
      <c r="D9" s="1">
        <f>(C9*G9)</f>
        <v>63.2</v>
      </c>
      <c r="E9" s="1">
        <f t="shared" si="0"/>
        <v>4.8664000000000006E-2</v>
      </c>
      <c r="F9" s="1">
        <v>7.9</v>
      </c>
      <c r="G9" s="1">
        <v>63.2</v>
      </c>
      <c r="I9" s="1"/>
      <c r="J9" s="1"/>
      <c r="K9" s="1"/>
      <c r="L9" s="1"/>
      <c r="M9" s="1"/>
      <c r="O9" s="1">
        <f>(4.18*63.2*(70-30))</f>
        <v>10567.039999999999</v>
      </c>
      <c r="P9" s="1">
        <f>O9/3600</f>
        <v>2.9352888888888886</v>
      </c>
      <c r="Q9" s="1">
        <f>20/60</f>
        <v>0.33333333333333331</v>
      </c>
      <c r="R9" s="1"/>
      <c r="S9" s="1"/>
      <c r="T9" s="1">
        <f t="shared" si="1"/>
        <v>0.16633303703703703</v>
      </c>
      <c r="U9" s="1"/>
      <c r="V9" s="1"/>
    </row>
    <row r="10" spans="1:22" x14ac:dyDescent="0.25">
      <c r="A10" s="26" t="s">
        <v>73</v>
      </c>
      <c r="B10" s="1">
        <f>VLOOKUP(A10,'feuille de base Mars 2016'!B:C,2,FALSE)</f>
        <v>1.45</v>
      </c>
      <c r="C10" s="1">
        <f>VLOOKUP(A10,'feuille de base Mars 2016'!B:H,7,FALSE)</f>
        <v>1</v>
      </c>
      <c r="D10" s="1">
        <f>(C10*G10)</f>
        <v>63.2</v>
      </c>
      <c r="E10" s="1">
        <f t="shared" si="0"/>
        <v>9.1639999999999999E-2</v>
      </c>
      <c r="F10" s="1">
        <v>7.9</v>
      </c>
      <c r="G10" s="1">
        <v>63.2</v>
      </c>
      <c r="I10" s="1"/>
      <c r="J10" s="1"/>
      <c r="K10" s="1"/>
      <c r="L10" s="1"/>
      <c r="M10" s="1"/>
      <c r="O10" s="1">
        <f>4.18*63.2*(35-24)</f>
        <v>2905.9359999999997</v>
      </c>
      <c r="P10" s="1">
        <f>O10/3600</f>
        <v>0.80720444444444439</v>
      </c>
      <c r="Q10" s="1">
        <f>10/60</f>
        <v>0.16666666666666666</v>
      </c>
      <c r="R10" s="1"/>
      <c r="S10" s="1"/>
      <c r="T10" s="1">
        <f t="shared" si="1"/>
        <v>2.287079259259259E-2</v>
      </c>
      <c r="U10" s="1"/>
      <c r="V10" s="1"/>
    </row>
    <row r="11" spans="1:22" x14ac:dyDescent="0.25">
      <c r="A11" s="26" t="s">
        <v>76</v>
      </c>
      <c r="B11" s="1">
        <f>VLOOKUP(A11,'feuille de base Mars 2016'!B:C,2,FALSE)</f>
        <v>6.4610000000000003</v>
      </c>
      <c r="C11" s="1">
        <f>VLOOKUP(A11,'feuille de base Mars 2016'!B:H,7,FALSE)</f>
        <v>0</v>
      </c>
      <c r="D11" s="1">
        <f>(C11*G11)</f>
        <v>0</v>
      </c>
      <c r="E11" s="1">
        <f t="shared" si="0"/>
        <v>0</v>
      </c>
      <c r="F11" s="1">
        <v>7.9</v>
      </c>
      <c r="G11" s="1">
        <v>63.2</v>
      </c>
      <c r="I11" s="1"/>
      <c r="J11" s="1"/>
      <c r="K11" s="1"/>
      <c r="L11" s="1"/>
      <c r="M11" s="1"/>
      <c r="O11" s="1"/>
      <c r="P11" s="1"/>
      <c r="Q11" s="1"/>
      <c r="R11" s="1"/>
      <c r="S11" s="1"/>
      <c r="T11" s="1">
        <f t="shared" ref="T11:T12" si="2">P11*Q11*0.134</f>
        <v>0</v>
      </c>
      <c r="U11" s="1"/>
      <c r="V11" s="1"/>
    </row>
    <row r="12" spans="1:22" x14ac:dyDescent="0.25">
      <c r="A12" s="26" t="s">
        <v>74</v>
      </c>
      <c r="B12" s="1">
        <f>VLOOKUP(A12,'feuille de base Mars 2016'!B:C,2,FALSE)</f>
        <v>8.02</v>
      </c>
      <c r="C12" s="1">
        <f>VLOOKUP(A12,'feuille de base Mars 2016'!B:H,7,FALSE)</f>
        <v>0</v>
      </c>
      <c r="D12" s="1">
        <f>(C12*G12)</f>
        <v>0</v>
      </c>
      <c r="E12" s="1">
        <f t="shared" si="0"/>
        <v>0</v>
      </c>
      <c r="F12" s="1">
        <v>7.9</v>
      </c>
      <c r="G12" s="1">
        <v>63.2</v>
      </c>
      <c r="I12" s="1"/>
      <c r="J12" s="1"/>
      <c r="K12" s="1"/>
      <c r="L12" s="1"/>
      <c r="M12" s="1"/>
      <c r="O12" s="1"/>
      <c r="P12" s="1"/>
      <c r="Q12" s="1"/>
      <c r="R12" s="1"/>
      <c r="S12" s="1"/>
      <c r="T12" s="1">
        <f t="shared" si="2"/>
        <v>0</v>
      </c>
      <c r="U12" s="1"/>
      <c r="V12" s="1"/>
    </row>
    <row r="13" spans="1:22" x14ac:dyDescent="0.25">
      <c r="A13" s="26" t="s">
        <v>76</v>
      </c>
      <c r="B13" s="1">
        <f>VLOOKUP(A13,'feuille de base Mars 2016'!B:C,2,FALSE)</f>
        <v>6.4610000000000003</v>
      </c>
      <c r="C13" s="1">
        <f>VLOOKUP(A13,'feuille de base Mars 2016'!B:H,7,FALSE)</f>
        <v>0</v>
      </c>
      <c r="D13" s="1">
        <f>(C13*G13)</f>
        <v>0</v>
      </c>
      <c r="E13" s="1">
        <f t="shared" si="0"/>
        <v>0</v>
      </c>
      <c r="F13" s="1">
        <v>7.9</v>
      </c>
      <c r="G13" s="1">
        <v>63.2</v>
      </c>
      <c r="I13" s="1"/>
      <c r="J13" s="1"/>
      <c r="K13" s="1"/>
      <c r="L13" s="1">
        <f>SUM(L7:L12,M7)</f>
        <v>1.1122504800000002</v>
      </c>
      <c r="M13" s="1"/>
      <c r="O13" s="1">
        <f>SUM(O7:O9)</f>
        <v>25889.248</v>
      </c>
      <c r="P13" s="1">
        <f>SUM(P7:P9)</f>
        <v>7.1914577777777771</v>
      </c>
      <c r="Q13" s="1">
        <f>SUM(Q7:Q11)</f>
        <v>1.5</v>
      </c>
      <c r="R13" s="1"/>
      <c r="S13" s="1"/>
      <c r="T13" s="1">
        <f>SUM(T7:T9)</f>
        <v>0.59464060740740743</v>
      </c>
      <c r="U13" s="1"/>
      <c r="V13" s="1"/>
    </row>
    <row r="14" spans="1:22" x14ac:dyDescent="0.25">
      <c r="A14" s="17"/>
      <c r="E14" s="17">
        <f>SUM(E7:E13,L13,T13)</f>
        <v>3.1922490874074074</v>
      </c>
      <c r="L14" s="17"/>
      <c r="M14" s="17"/>
    </row>
    <row r="20" spans="1:22" x14ac:dyDescent="0.25">
      <c r="A20" s="16" t="s">
        <v>151</v>
      </c>
    </row>
    <row r="21" spans="1:22" x14ac:dyDescent="0.25">
      <c r="A21" s="35" t="s">
        <v>13</v>
      </c>
      <c r="B21" s="28" t="s">
        <v>176</v>
      </c>
      <c r="C21" s="28" t="s">
        <v>177</v>
      </c>
      <c r="D21" s="28" t="s">
        <v>178</v>
      </c>
      <c r="E21" s="28" t="s">
        <v>176</v>
      </c>
      <c r="F21" s="28" t="s">
        <v>162</v>
      </c>
      <c r="G21" s="28" t="s">
        <v>179</v>
      </c>
      <c r="H21" s="28"/>
      <c r="I21" s="28" t="s">
        <v>165</v>
      </c>
      <c r="J21" s="28" t="s">
        <v>180</v>
      </c>
      <c r="K21" s="28" t="s">
        <v>167</v>
      </c>
      <c r="L21" s="28" t="s">
        <v>168</v>
      </c>
      <c r="M21" s="28" t="s">
        <v>226</v>
      </c>
      <c r="N21" s="28" t="s">
        <v>169</v>
      </c>
      <c r="O21" s="28" t="s">
        <v>170</v>
      </c>
      <c r="P21" s="28" t="s">
        <v>171</v>
      </c>
      <c r="Q21" s="28" t="s">
        <v>172</v>
      </c>
      <c r="R21" s="28" t="s">
        <v>173</v>
      </c>
      <c r="S21" s="28" t="s">
        <v>174</v>
      </c>
      <c r="T21" s="28" t="s">
        <v>175</v>
      </c>
      <c r="U21" s="28"/>
      <c r="V21" s="28"/>
    </row>
    <row r="22" spans="1:22" x14ac:dyDescent="0.25">
      <c r="A22" s="1" t="s">
        <v>80</v>
      </c>
      <c r="B22" s="1">
        <f>VLOOKUP(A22,'feuille de base Mars 2016'!B:C,2,FALSE)</f>
        <v>194.78</v>
      </c>
      <c r="C22" s="1">
        <f>VLOOKUP(A22,'feuille de base Mars 2016'!B:H,7,FALSE)</f>
        <v>0</v>
      </c>
      <c r="D22" s="1">
        <f t="shared" ref="D22:D60" si="3">(C22*F22)*1000</f>
        <v>0</v>
      </c>
      <c r="E22" s="1">
        <f t="shared" ref="E22:E36" si="4">(D22*F22)/1000</f>
        <v>0</v>
      </c>
      <c r="F22" s="1">
        <v>7.9</v>
      </c>
      <c r="G22" s="1">
        <v>63.2</v>
      </c>
      <c r="H22" s="1"/>
      <c r="I22" s="1">
        <v>0.33</v>
      </c>
      <c r="J22" s="1">
        <f>3*63.2</f>
        <v>189.60000000000002</v>
      </c>
      <c r="K22" s="1">
        <f>(J22*3.33)/1000</f>
        <v>0.63136800000000004</v>
      </c>
      <c r="L22" s="1">
        <f>K22*0.11</f>
        <v>6.9450480000000009E-2</v>
      </c>
      <c r="M22" s="1">
        <f>(J22/1000)*5.5</f>
        <v>1.0428000000000002</v>
      </c>
      <c r="N22" s="1"/>
      <c r="O22" s="1">
        <f>(4.18*63.2*(35-25))</f>
        <v>2641.7599999999998</v>
      </c>
      <c r="P22" s="1">
        <f>O22/3600</f>
        <v>0.73382222222222215</v>
      </c>
      <c r="Q22" s="1">
        <f>20/60</f>
        <v>0.33333333333333331</v>
      </c>
      <c r="R22" s="1"/>
      <c r="S22" s="1"/>
      <c r="T22" s="1">
        <f>Q22*P22*0.17</f>
        <v>4.1583259259259257E-2</v>
      </c>
      <c r="U22" s="1"/>
      <c r="V22" s="1"/>
    </row>
    <row r="23" spans="1:22" x14ac:dyDescent="0.25">
      <c r="A23" s="1" t="s">
        <v>81</v>
      </c>
      <c r="B23" s="1">
        <f>VLOOKUP(A23,'feuille de base Mars 2016'!B:C,2,FALSE)</f>
        <v>76.37</v>
      </c>
      <c r="C23" s="1">
        <f>VLOOKUP(A23,'feuille de base Mars 2016'!B:H,7,FALSE)</f>
        <v>9.3399999999999993E-5</v>
      </c>
      <c r="D23" s="1">
        <f t="shared" si="3"/>
        <v>0.73785999999999996</v>
      </c>
      <c r="E23" s="1">
        <f t="shared" si="4"/>
        <v>5.8290939999999999E-3</v>
      </c>
      <c r="F23" s="1">
        <v>7.9</v>
      </c>
      <c r="G23" s="1">
        <v>63.2</v>
      </c>
      <c r="H23" s="1"/>
      <c r="I23" s="1">
        <v>1.83</v>
      </c>
      <c r="J23" s="1"/>
      <c r="K23" s="1"/>
      <c r="L23" s="36">
        <f>(L22+M22)</f>
        <v>1.1122504800000002</v>
      </c>
      <c r="M23" s="1"/>
      <c r="N23" s="1"/>
      <c r="O23" s="1">
        <f>0.099*4.18*(80-25)</f>
        <v>22.760099999999998</v>
      </c>
      <c r="P23" s="1">
        <f t="shared" ref="P23:P26" si="5">O23/3600</f>
        <v>6.3222499999999997E-3</v>
      </c>
      <c r="Q23" s="1">
        <f>20/60</f>
        <v>0.33333333333333331</v>
      </c>
      <c r="R23" s="1"/>
      <c r="S23" s="1"/>
      <c r="T23" s="1">
        <f t="shared" ref="T23:T26" si="6">Q23*P23*0.17</f>
        <v>3.5826083333333328E-4</v>
      </c>
      <c r="U23" s="1"/>
      <c r="V23" s="1"/>
    </row>
    <row r="24" spans="1:22" x14ac:dyDescent="0.25">
      <c r="A24" s="1" t="s">
        <v>82</v>
      </c>
      <c r="B24" s="1">
        <f>VLOOKUP(A24,'feuille de base Mars 2016'!B:C,2,FALSE)</f>
        <v>50.86524</v>
      </c>
      <c r="C24" s="1">
        <f>VLOOKUP(A24,'feuille de base Mars 2016'!B:H,7,FALSE)</f>
        <v>0</v>
      </c>
      <c r="D24" s="1">
        <f t="shared" si="3"/>
        <v>0</v>
      </c>
      <c r="E24" s="1">
        <f t="shared" si="4"/>
        <v>0</v>
      </c>
      <c r="F24" s="1">
        <v>7.9</v>
      </c>
      <c r="G24" s="1">
        <v>63.2</v>
      </c>
      <c r="H24" s="1"/>
      <c r="I24" s="1">
        <v>0.16</v>
      </c>
      <c r="J24" s="1"/>
      <c r="K24" s="1"/>
      <c r="L24" s="1"/>
      <c r="M24" s="1"/>
      <c r="N24" s="1"/>
      <c r="O24" s="1">
        <f>63.2*4.18*(98-38)</f>
        <v>15850.56</v>
      </c>
      <c r="P24" s="1">
        <f t="shared" si="5"/>
        <v>4.4029333333333334</v>
      </c>
      <c r="Q24" s="1">
        <f>50/60</f>
        <v>0.83333333333333337</v>
      </c>
      <c r="R24" s="1"/>
      <c r="S24" s="1"/>
      <c r="T24" s="1">
        <f t="shared" si="6"/>
        <v>0.62374888888888902</v>
      </c>
      <c r="U24" s="1"/>
      <c r="V24" s="1"/>
    </row>
    <row r="25" spans="1:22" x14ac:dyDescent="0.25">
      <c r="A25" s="1" t="s">
        <v>83</v>
      </c>
      <c r="B25" s="1">
        <f>VLOOKUP(A25,'feuille de base Mars 2016'!B:C,2,FALSE)</f>
        <v>56.493000000000002</v>
      </c>
      <c r="C25" s="1">
        <f>VLOOKUP(A25,'feuille de base Mars 2016'!B:H,7,FALSE)</f>
        <v>0</v>
      </c>
      <c r="D25" s="1">
        <f t="shared" si="3"/>
        <v>0</v>
      </c>
      <c r="E25" s="1">
        <f t="shared" si="4"/>
        <v>0</v>
      </c>
      <c r="F25" s="1">
        <v>7.9</v>
      </c>
      <c r="G25" s="1">
        <v>63.2</v>
      </c>
      <c r="H25" s="1"/>
      <c r="I25" s="1"/>
      <c r="J25" s="1"/>
      <c r="K25" s="1"/>
      <c r="L25" s="1"/>
      <c r="M25" s="1"/>
      <c r="N25" s="1"/>
      <c r="O25" s="28">
        <f>(4.18*63.2*(98-80))</f>
        <v>4755.1679999999997</v>
      </c>
      <c r="P25" s="1">
        <f t="shared" si="5"/>
        <v>1.3208799999999998</v>
      </c>
      <c r="Q25" s="1">
        <f>15/60</f>
        <v>0.25</v>
      </c>
      <c r="R25" s="1"/>
      <c r="S25" s="1"/>
      <c r="T25" s="1">
        <f t="shared" si="6"/>
        <v>5.6137399999999997E-2</v>
      </c>
      <c r="U25" s="1"/>
      <c r="V25" s="1"/>
    </row>
    <row r="26" spans="1:22" x14ac:dyDescent="0.25">
      <c r="A26" s="1" t="s">
        <v>84</v>
      </c>
      <c r="B26" s="1">
        <f>VLOOKUP(A26,'feuille de base Mars 2016'!B:C,2,FALSE)</f>
        <v>56.83</v>
      </c>
      <c r="C26" s="1">
        <f>VLOOKUP(A26,'feuille de base Mars 2016'!B:H,7,FALSE)</f>
        <v>0</v>
      </c>
      <c r="D26" s="1">
        <f t="shared" si="3"/>
        <v>0</v>
      </c>
      <c r="E26" s="1">
        <f t="shared" si="4"/>
        <v>0</v>
      </c>
      <c r="F26" s="1">
        <v>7.9</v>
      </c>
      <c r="G26" s="1">
        <v>63.2</v>
      </c>
      <c r="H26" s="1"/>
      <c r="I26" s="1"/>
      <c r="J26" s="1"/>
      <c r="K26" s="1"/>
      <c r="L26" s="1"/>
      <c r="M26" s="1"/>
      <c r="N26" s="1"/>
      <c r="O26" s="1">
        <f>4.18*63.2*(38-25)*2</f>
        <v>6868.576</v>
      </c>
      <c r="P26" s="1">
        <f t="shared" si="5"/>
        <v>1.9079377777777777</v>
      </c>
      <c r="Q26" s="1">
        <f>20/60</f>
        <v>0.33333333333333331</v>
      </c>
      <c r="R26" s="1"/>
      <c r="S26" s="1"/>
      <c r="T26" s="1">
        <f t="shared" si="6"/>
        <v>0.10811647407407408</v>
      </c>
      <c r="U26" s="1"/>
      <c r="V26" s="1"/>
    </row>
    <row r="27" spans="1:22" x14ac:dyDescent="0.25">
      <c r="A27" s="1" t="s">
        <v>85</v>
      </c>
      <c r="B27" s="1">
        <f>VLOOKUP(A27,'feuille de base Mars 2016'!B:C,2,FALSE)</f>
        <v>33.15</v>
      </c>
      <c r="C27" s="1">
        <f>VLOOKUP(A27,'feuille de base Mars 2016'!B:H,7,FALSE)</f>
        <v>0</v>
      </c>
      <c r="D27" s="1">
        <f t="shared" si="3"/>
        <v>0</v>
      </c>
      <c r="E27" s="1">
        <f t="shared" si="4"/>
        <v>0</v>
      </c>
      <c r="F27" s="1">
        <v>7.9</v>
      </c>
      <c r="G27" s="1">
        <v>63.2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" t="s">
        <v>86</v>
      </c>
      <c r="B28" s="1">
        <f>VLOOKUP(A28,'feuille de base Mars 2016'!B:C,2,FALSE)</f>
        <v>42.26</v>
      </c>
      <c r="C28" s="1">
        <f>VLOOKUP(A28,'feuille de base Mars 2016'!B:H,7,FALSE)</f>
        <v>0</v>
      </c>
      <c r="D28" s="1">
        <f t="shared" si="3"/>
        <v>0</v>
      </c>
      <c r="E28" s="1">
        <f t="shared" si="4"/>
        <v>0</v>
      </c>
      <c r="F28" s="1">
        <v>7.9</v>
      </c>
      <c r="G28" s="1">
        <v>63.2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 t="s">
        <v>87</v>
      </c>
      <c r="B29" s="1">
        <f>VLOOKUP(A29,'feuille de base Mars 2016'!B:C,2,FALSE)</f>
        <v>51.12</v>
      </c>
      <c r="C29" s="1">
        <f>VLOOKUP(A29,'feuille de base Mars 2016'!B:H,7,FALSE)</f>
        <v>0</v>
      </c>
      <c r="D29" s="1">
        <f t="shared" si="3"/>
        <v>0</v>
      </c>
      <c r="E29" s="1">
        <f t="shared" si="4"/>
        <v>0</v>
      </c>
      <c r="F29" s="1">
        <v>7.9</v>
      </c>
      <c r="G29" s="1">
        <v>63.2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 t="s">
        <v>88</v>
      </c>
      <c r="B30" s="1">
        <f>VLOOKUP(A30,'feuille de base Mars 2016'!B:C,2,FALSE)</f>
        <v>0</v>
      </c>
      <c r="C30" s="1">
        <f>VLOOKUP(A30,'feuille de base Mars 2016'!B:H,7,FALSE)</f>
        <v>0</v>
      </c>
      <c r="D30" s="1">
        <f t="shared" si="3"/>
        <v>0</v>
      </c>
      <c r="E30" s="1">
        <f t="shared" si="4"/>
        <v>0</v>
      </c>
      <c r="F30" s="1">
        <v>7.9</v>
      </c>
      <c r="G30" s="1">
        <v>63.2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 t="s">
        <v>89</v>
      </c>
      <c r="B31" s="1">
        <f>VLOOKUP(A31,'feuille de base Mars 2016'!B:C,2,FALSE)</f>
        <v>39.799999999999997</v>
      </c>
      <c r="C31" s="1">
        <f>VLOOKUP(A31,'feuille de base Mars 2016'!B:H,7,FALSE)</f>
        <v>0</v>
      </c>
      <c r="D31" s="1">
        <f t="shared" si="3"/>
        <v>0</v>
      </c>
      <c r="E31" s="1">
        <f t="shared" si="4"/>
        <v>0</v>
      </c>
      <c r="F31" s="1">
        <v>7.9</v>
      </c>
      <c r="G31" s="1">
        <v>63.2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 t="s">
        <v>90</v>
      </c>
      <c r="B32" s="1">
        <f>VLOOKUP(A32,'feuille de base Mars 2016'!B:C,2,FALSE)</f>
        <v>37.43</v>
      </c>
      <c r="C32" s="1">
        <f>VLOOKUP(A32,'feuille de base Mars 2016'!B:H,7,FALSE)</f>
        <v>0</v>
      </c>
      <c r="D32" s="1">
        <f t="shared" si="3"/>
        <v>0</v>
      </c>
      <c r="E32" s="1">
        <f t="shared" si="4"/>
        <v>0</v>
      </c>
      <c r="F32" s="1">
        <v>7.9</v>
      </c>
      <c r="G32" s="1">
        <v>63.2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 t="s">
        <v>91</v>
      </c>
      <c r="B33" s="1">
        <f>VLOOKUP(A33,'feuille de base Mars 2016'!B:C,2,FALSE)</f>
        <v>43.412580000000005</v>
      </c>
      <c r="C33" s="1">
        <f>VLOOKUP(A33,'feuille de base Mars 2016'!B:H,7,FALSE)</f>
        <v>0</v>
      </c>
      <c r="D33" s="1">
        <f t="shared" si="3"/>
        <v>0</v>
      </c>
      <c r="E33" s="1">
        <f t="shared" si="4"/>
        <v>0</v>
      </c>
      <c r="F33" s="1">
        <v>7.9</v>
      </c>
      <c r="G33" s="1">
        <v>63.2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 t="s">
        <v>92</v>
      </c>
      <c r="B34" s="1">
        <f>VLOOKUP(A34,'feuille de base Mars 2016'!B:C,2,FALSE)</f>
        <v>60.57</v>
      </c>
      <c r="C34" s="1">
        <f>VLOOKUP(A34,'feuille de base Mars 2016'!B:H,7,FALSE)</f>
        <v>0</v>
      </c>
      <c r="D34" s="1">
        <f t="shared" si="3"/>
        <v>0</v>
      </c>
      <c r="E34" s="1">
        <f t="shared" si="4"/>
        <v>0</v>
      </c>
      <c r="F34" s="1">
        <v>7.9</v>
      </c>
      <c r="G34" s="1">
        <v>63.2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 t="s">
        <v>93</v>
      </c>
      <c r="B35" s="1">
        <f>VLOOKUP(A35,'feuille de base Mars 2016'!B:C,2,FALSE)</f>
        <v>63.36</v>
      </c>
      <c r="C35" s="1">
        <f>VLOOKUP(A35,'feuille de base Mars 2016'!B:H,7,FALSE)</f>
        <v>3.6230000000000002E-4</v>
      </c>
      <c r="D35" s="1">
        <f t="shared" si="3"/>
        <v>2.8621700000000003</v>
      </c>
      <c r="E35" s="1">
        <f t="shared" si="4"/>
        <v>2.2611143000000004E-2</v>
      </c>
      <c r="F35" s="1">
        <v>7.9</v>
      </c>
      <c r="G35" s="1">
        <v>63.2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 t="s">
        <v>94</v>
      </c>
      <c r="B36" s="1">
        <f>VLOOKUP(A36,'feuille de base Mars 2016'!B:C,2,FALSE)</f>
        <v>31.45</v>
      </c>
      <c r="C36" s="1">
        <f>VLOOKUP(A36,'feuille de base Mars 2016'!B:H,7,FALSE)</f>
        <v>0</v>
      </c>
      <c r="D36" s="1">
        <f t="shared" si="3"/>
        <v>0</v>
      </c>
      <c r="E36" s="1">
        <f t="shared" si="4"/>
        <v>0</v>
      </c>
      <c r="F36" s="1">
        <v>7.9</v>
      </c>
      <c r="G36" s="1">
        <v>63.2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 t="s">
        <v>95</v>
      </c>
      <c r="B37" s="1">
        <f>VLOOKUP(A37,'feuille de base Mars 2016'!B:C,2,FALSE)</f>
        <v>66.45</v>
      </c>
      <c r="C37" s="1">
        <f>VLOOKUP(A37,'feuille de base Mars 2016'!B:H,7,FALSE)</f>
        <v>0</v>
      </c>
      <c r="D37" s="1">
        <f t="shared" si="3"/>
        <v>0</v>
      </c>
      <c r="E37" s="1">
        <f t="shared" ref="E37:E64" si="7">(D37/1000)*B37</f>
        <v>0</v>
      </c>
      <c r="F37" s="1">
        <v>7.9</v>
      </c>
      <c r="G37" s="1">
        <v>63.2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 t="s">
        <v>96</v>
      </c>
      <c r="B38" s="1">
        <f>VLOOKUP(A38,'feuille de base Mars 2016'!B:C,2,FALSE)</f>
        <v>40.816960000000002</v>
      </c>
      <c r="C38" s="1">
        <f>VLOOKUP(A38,'feuille de base Mars 2016'!B:H,7,FALSE)</f>
        <v>0</v>
      </c>
      <c r="D38" s="1">
        <f t="shared" si="3"/>
        <v>0</v>
      </c>
      <c r="E38" s="1">
        <f t="shared" si="7"/>
        <v>0</v>
      </c>
      <c r="F38" s="1">
        <v>7.9</v>
      </c>
      <c r="G38" s="1">
        <v>63.2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 t="s">
        <v>97</v>
      </c>
      <c r="B39" s="1">
        <f>VLOOKUP(A39,'feuille de base Mars 2016'!B:C,2,FALSE)</f>
        <v>12.81</v>
      </c>
      <c r="C39" s="1">
        <f>VLOOKUP(A39,'feuille de base Mars 2016'!B:H,7,FALSE)</f>
        <v>0</v>
      </c>
      <c r="D39" s="1">
        <f t="shared" si="3"/>
        <v>0</v>
      </c>
      <c r="E39" s="1">
        <f t="shared" si="7"/>
        <v>0</v>
      </c>
      <c r="F39" s="1">
        <v>7.9</v>
      </c>
      <c r="G39" s="1">
        <v>63.2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 t="s">
        <v>98</v>
      </c>
      <c r="B40" s="1">
        <f>VLOOKUP(A40,'feuille de base Mars 2016'!B:C,2,FALSE)</f>
        <v>17.68</v>
      </c>
      <c r="C40" s="1">
        <f>VLOOKUP(A40,'feuille de base Mars 2016'!B:H,7,FALSE)</f>
        <v>0</v>
      </c>
      <c r="D40" s="1">
        <f t="shared" si="3"/>
        <v>0</v>
      </c>
      <c r="E40" s="1">
        <f t="shared" si="7"/>
        <v>0</v>
      </c>
      <c r="F40" s="1">
        <v>7.9</v>
      </c>
      <c r="G40" s="1">
        <v>63.2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 t="s">
        <v>99</v>
      </c>
      <c r="B41" s="1">
        <f>VLOOKUP(A41,'feuille de base Mars 2016'!B:C,2,FALSE)</f>
        <v>23.4</v>
      </c>
      <c r="C41" s="1">
        <f>VLOOKUP(A41,'feuille de base Mars 2016'!B:H,7,FALSE)</f>
        <v>0</v>
      </c>
      <c r="D41" s="1">
        <f t="shared" si="3"/>
        <v>0</v>
      </c>
      <c r="E41" s="1">
        <f t="shared" si="7"/>
        <v>0</v>
      </c>
      <c r="F41" s="1">
        <v>7.9</v>
      </c>
      <c r="G41" s="1">
        <v>63.2</v>
      </c>
      <c r="H41" s="1"/>
      <c r="I41" s="1"/>
      <c r="J41" s="1"/>
      <c r="K41" s="1"/>
      <c r="L41" s="1"/>
      <c r="M41" s="1"/>
      <c r="N41" s="1"/>
      <c r="O41" s="1">
        <v>0</v>
      </c>
      <c r="P41" s="1"/>
      <c r="Q41" s="1"/>
      <c r="R41" s="1"/>
      <c r="S41" s="1"/>
      <c r="T41" s="1"/>
      <c r="U41" s="1"/>
      <c r="V41" s="1"/>
    </row>
    <row r="42" spans="1:22" x14ac:dyDescent="0.25">
      <c r="A42" s="1" t="s">
        <v>100</v>
      </c>
      <c r="B42" s="1">
        <f>VLOOKUP(A42,'feuille de base Mars 2016'!B:C,2,FALSE)</f>
        <v>44.8</v>
      </c>
      <c r="C42" s="1">
        <f>VLOOKUP(A42,'feuille de base Mars 2016'!B:H,7,FALSE)</f>
        <v>0</v>
      </c>
      <c r="D42" s="1">
        <f t="shared" si="3"/>
        <v>0</v>
      </c>
      <c r="E42" s="1">
        <f t="shared" si="7"/>
        <v>0</v>
      </c>
      <c r="F42" s="1">
        <v>7.9</v>
      </c>
      <c r="G42" s="1">
        <v>63.2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" t="s">
        <v>101</v>
      </c>
      <c r="B43" s="1">
        <f>VLOOKUP(A43,'feuille de base Mars 2016'!B:C,2,FALSE)</f>
        <v>21.65</v>
      </c>
      <c r="C43" s="1">
        <f>VLOOKUP(A43,'feuille de base Mars 2016'!B:H,7,FALSE)</f>
        <v>0</v>
      </c>
      <c r="D43" s="1">
        <f t="shared" si="3"/>
        <v>0</v>
      </c>
      <c r="E43" s="1">
        <f t="shared" si="7"/>
        <v>0</v>
      </c>
      <c r="F43" s="1">
        <v>7.9</v>
      </c>
      <c r="G43" s="1">
        <v>63.2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 t="s">
        <v>102</v>
      </c>
      <c r="B44" s="1">
        <f>VLOOKUP(A44,'feuille de base Mars 2016'!B:C,2,FALSE)</f>
        <v>13.87</v>
      </c>
      <c r="C44" s="1">
        <f>VLOOKUP(A44,'feuille de base Mars 2016'!B:H,7,FALSE)</f>
        <v>0</v>
      </c>
      <c r="D44" s="1">
        <f t="shared" si="3"/>
        <v>0</v>
      </c>
      <c r="E44" s="1">
        <f t="shared" si="7"/>
        <v>0</v>
      </c>
      <c r="F44" s="1">
        <v>7.9</v>
      </c>
      <c r="G44" s="1">
        <v>63.2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 t="s">
        <v>103</v>
      </c>
      <c r="B45" s="1">
        <f>VLOOKUP(A45,'feuille de base Mars 2016'!B:C,2,FALSE)</f>
        <v>37.229880000000009</v>
      </c>
      <c r="C45" s="1">
        <f>VLOOKUP(A45,'feuille de base Mars 2016'!B:H,7,FALSE)</f>
        <v>0</v>
      </c>
      <c r="D45" s="1">
        <f t="shared" si="3"/>
        <v>0</v>
      </c>
      <c r="E45" s="1">
        <f t="shared" si="7"/>
        <v>0</v>
      </c>
      <c r="F45" s="1">
        <v>7.9</v>
      </c>
      <c r="G45" s="1">
        <v>63.2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 t="s">
        <v>104</v>
      </c>
      <c r="B46" s="1">
        <f>VLOOKUP(A46,'feuille de base Mars 2016'!B:C,2,FALSE)</f>
        <v>36.799999999999997</v>
      </c>
      <c r="C46" s="1">
        <f>VLOOKUP(A46,'feuille de base Mars 2016'!B:H,7,FALSE)</f>
        <v>0</v>
      </c>
      <c r="D46" s="1">
        <f t="shared" si="3"/>
        <v>0</v>
      </c>
      <c r="E46" s="1">
        <f t="shared" si="7"/>
        <v>0</v>
      </c>
      <c r="F46" s="1">
        <v>7.9</v>
      </c>
      <c r="G46" s="1">
        <v>63.2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 t="s">
        <v>105</v>
      </c>
      <c r="B47" s="1">
        <f>VLOOKUP(A47,'feuille de base Mars 2016'!B:C,2,FALSE)</f>
        <v>12.922400000000001</v>
      </c>
      <c r="C47" s="1">
        <f>VLOOKUP(A47,'feuille de base Mars 2016'!B:H,7,FALSE)</f>
        <v>0</v>
      </c>
      <c r="D47" s="1">
        <f t="shared" si="3"/>
        <v>0</v>
      </c>
      <c r="E47" s="1">
        <f t="shared" si="7"/>
        <v>0</v>
      </c>
      <c r="F47" s="1">
        <v>7.9</v>
      </c>
      <c r="G47" s="1">
        <v>63.2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 t="s">
        <v>106</v>
      </c>
      <c r="B48" s="1">
        <f>VLOOKUP(A48,'feuille de base Mars 2016'!B:C,2,FALSE)</f>
        <v>13.5</v>
      </c>
      <c r="C48" s="1">
        <f>VLOOKUP(A48,'feuille de base Mars 2016'!B:H,7,FALSE)</f>
        <v>0</v>
      </c>
      <c r="D48" s="1">
        <f t="shared" si="3"/>
        <v>0</v>
      </c>
      <c r="E48" s="1">
        <f t="shared" si="7"/>
        <v>0</v>
      </c>
      <c r="F48" s="1">
        <v>7.9</v>
      </c>
      <c r="G48" s="1">
        <v>63.2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 t="s">
        <v>107</v>
      </c>
      <c r="B49" s="1">
        <f>VLOOKUP(A49,'feuille de base Mars 2016'!B:C,2,FALSE)</f>
        <v>36.650600000000004</v>
      </c>
      <c r="C49" s="1">
        <f>VLOOKUP(A49,'feuille de base Mars 2016'!B:H,7,FALSE)</f>
        <v>0</v>
      </c>
      <c r="D49" s="1">
        <f t="shared" si="3"/>
        <v>0</v>
      </c>
      <c r="E49" s="1">
        <f t="shared" si="7"/>
        <v>0</v>
      </c>
      <c r="F49" s="1">
        <v>7.9</v>
      </c>
      <c r="G49" s="1">
        <v>63.2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" t="s">
        <v>108</v>
      </c>
      <c r="B50" s="1">
        <f>VLOOKUP(A50,'feuille de base Mars 2016'!B:C,2,FALSE)</f>
        <v>13.145200000000003</v>
      </c>
      <c r="C50" s="1">
        <f>VLOOKUP(A50,'feuille de base Mars 2016'!B:H,7,FALSE)</f>
        <v>0</v>
      </c>
      <c r="D50" s="1">
        <f t="shared" si="3"/>
        <v>0</v>
      </c>
      <c r="E50" s="1">
        <f t="shared" si="7"/>
        <v>0</v>
      </c>
      <c r="F50" s="1">
        <v>7.9</v>
      </c>
      <c r="G50" s="1">
        <v>63.2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 t="s">
        <v>109</v>
      </c>
      <c r="B51" s="1">
        <f>VLOOKUP(A51,'feuille de base Mars 2016'!B:C,2,FALSE)</f>
        <v>88.006000000000014</v>
      </c>
      <c r="C51" s="1">
        <f>VLOOKUP(A51,'feuille de base Mars 2016'!B:H,7,FALSE)</f>
        <v>0</v>
      </c>
      <c r="D51" s="1">
        <f t="shared" si="3"/>
        <v>0</v>
      </c>
      <c r="E51" s="1">
        <f t="shared" si="7"/>
        <v>0</v>
      </c>
      <c r="F51" s="1">
        <v>7.9</v>
      </c>
      <c r="G51" s="1">
        <v>63.2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 t="s">
        <v>110</v>
      </c>
      <c r="B52" s="1">
        <f>VLOOKUP(A52,'feuille de base Mars 2016'!B:C,2,FALSE)</f>
        <v>64.849999999999994</v>
      </c>
      <c r="C52" s="1">
        <f>VLOOKUP(A52,'feuille de base Mars 2016'!B:H,7,FALSE)</f>
        <v>1.4300000000000001E-4</v>
      </c>
      <c r="D52" s="1">
        <f t="shared" si="3"/>
        <v>1.1297000000000001</v>
      </c>
      <c r="E52" s="1">
        <f t="shared" si="7"/>
        <v>7.3261045000000011E-2</v>
      </c>
      <c r="F52" s="1">
        <v>7.9</v>
      </c>
      <c r="G52" s="1">
        <v>63.2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 t="s">
        <v>111</v>
      </c>
      <c r="B53" s="1">
        <f>VLOOKUP(A53,'feuille de base Mars 2016'!B:C,2,FALSE)</f>
        <v>37.096200000000003</v>
      </c>
      <c r="C53" s="1">
        <f>VLOOKUP(A53,'feuille de base Mars 2016'!B:H,7,FALSE)</f>
        <v>0</v>
      </c>
      <c r="D53" s="1">
        <f t="shared" si="3"/>
        <v>0</v>
      </c>
      <c r="E53" s="1">
        <f t="shared" si="7"/>
        <v>0</v>
      </c>
      <c r="F53" s="1">
        <v>7.9</v>
      </c>
      <c r="G53" s="1">
        <v>63.2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 t="s">
        <v>112</v>
      </c>
      <c r="B54" s="1">
        <f>VLOOKUP(A54,'feuille de base Mars 2016'!B:C,2,FALSE)</f>
        <v>80.631320000000002</v>
      </c>
      <c r="C54" s="1">
        <f>VLOOKUP(A54,'feuille de base Mars 2016'!B:H,7,FALSE)</f>
        <v>0</v>
      </c>
      <c r="D54" s="1">
        <f t="shared" si="3"/>
        <v>0</v>
      </c>
      <c r="E54" s="1">
        <f t="shared" si="7"/>
        <v>0</v>
      </c>
      <c r="F54" s="1">
        <v>7.9</v>
      </c>
      <c r="G54" s="1">
        <v>63.2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 t="s">
        <v>113</v>
      </c>
      <c r="B55" s="1">
        <f>VLOOKUP(A55,'feuille de base Mars 2016'!B:C,2,FALSE)</f>
        <v>48.3476</v>
      </c>
      <c r="C55" s="1">
        <f>VLOOKUP(A55,'feuille de base Mars 2016'!B:H,7,FALSE)</f>
        <v>0</v>
      </c>
      <c r="D55" s="1">
        <f t="shared" si="3"/>
        <v>0</v>
      </c>
      <c r="E55" s="1">
        <f t="shared" si="7"/>
        <v>0</v>
      </c>
      <c r="F55" s="1">
        <v>7.9</v>
      </c>
      <c r="G55" s="1">
        <v>63.2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" t="s">
        <v>114</v>
      </c>
      <c r="B56" s="1">
        <f>VLOOKUP(A56,'feuille de base Mars 2016'!B:C,2,FALSE)</f>
        <v>29.98</v>
      </c>
      <c r="C56" s="1">
        <f>VLOOKUP(A56,'feuille de base Mars 2016'!B:H,7,FALSE)</f>
        <v>0</v>
      </c>
      <c r="D56" s="1">
        <f t="shared" si="3"/>
        <v>0</v>
      </c>
      <c r="E56" s="1">
        <f t="shared" si="7"/>
        <v>0</v>
      </c>
      <c r="F56" s="1">
        <v>7.9</v>
      </c>
      <c r="G56" s="1">
        <v>63.2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 t="s">
        <v>115</v>
      </c>
      <c r="B57" s="1">
        <f>VLOOKUP(A57,'feuille de base Mars 2016'!B:C,2,FALSE)</f>
        <v>40.200000000000003</v>
      </c>
      <c r="C57" s="1">
        <f>VLOOKUP(A57,'feuille de base Mars 2016'!B:H,7,FALSE)</f>
        <v>0</v>
      </c>
      <c r="D57" s="1">
        <f t="shared" si="3"/>
        <v>0</v>
      </c>
      <c r="E57" s="1">
        <f t="shared" si="7"/>
        <v>0</v>
      </c>
      <c r="F57" s="1">
        <v>7.9</v>
      </c>
      <c r="G57" s="1">
        <v>63.2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 t="s">
        <v>116</v>
      </c>
      <c r="B58" s="1">
        <f>VLOOKUP(A58,'feuille de base Mars 2016'!B:C,2,FALSE)</f>
        <v>10.026000000000002</v>
      </c>
      <c r="C58" s="1">
        <f>VLOOKUP(A58,'feuille de base Mars 2016'!B:H,7,FALSE)</f>
        <v>0</v>
      </c>
      <c r="D58" s="1">
        <f t="shared" si="3"/>
        <v>0</v>
      </c>
      <c r="E58" s="1">
        <f t="shared" si="7"/>
        <v>0</v>
      </c>
      <c r="F58" s="1">
        <v>7.9</v>
      </c>
      <c r="G58" s="1">
        <v>63.2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 t="s">
        <v>117</v>
      </c>
      <c r="B59" s="1">
        <f>VLOOKUP(A59,'feuille de base Mars 2016'!B:C,2,FALSE)</f>
        <v>19.66</v>
      </c>
      <c r="C59" s="1">
        <f>VLOOKUP(A59,'feuille de base Mars 2016'!B:H,7,FALSE)</f>
        <v>0</v>
      </c>
      <c r="D59" s="1">
        <f t="shared" si="3"/>
        <v>0</v>
      </c>
      <c r="E59" s="1">
        <f t="shared" si="7"/>
        <v>0</v>
      </c>
      <c r="F59" s="1">
        <v>7.9</v>
      </c>
      <c r="G59" s="1">
        <v>63.2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 t="s">
        <v>118</v>
      </c>
      <c r="B60" s="1">
        <f>VLOOKUP(A60,'feuille de base Mars 2016'!B:C,2,FALSE)</f>
        <v>35.22</v>
      </c>
      <c r="C60" s="1">
        <f>VLOOKUP(A60,'feuille de base Mars 2016'!B:H,7,FALSE)</f>
        <v>0</v>
      </c>
      <c r="D60" s="1">
        <f t="shared" si="3"/>
        <v>0</v>
      </c>
      <c r="E60" s="1">
        <f t="shared" si="7"/>
        <v>0</v>
      </c>
      <c r="F60" s="1">
        <v>7.9</v>
      </c>
      <c r="G60" s="1">
        <v>63.2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28" t="s">
        <v>119</v>
      </c>
      <c r="B61" s="1">
        <f>VLOOKUP(A61,'feuille de base Mars 2016'!B:C,2,FALSE)</f>
        <v>1.45</v>
      </c>
      <c r="C61" s="1">
        <f>VLOOKUP(A61,'feuille de base Mars 2016'!B:H,7,FALSE)</f>
        <v>2</v>
      </c>
      <c r="D61" s="1">
        <f>(C61*G61)</f>
        <v>126.4</v>
      </c>
      <c r="E61" s="1">
        <f t="shared" si="7"/>
        <v>0.18328</v>
      </c>
      <c r="F61" s="1">
        <v>7.9</v>
      </c>
      <c r="G61" s="1">
        <v>63.2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28" t="s">
        <v>120</v>
      </c>
      <c r="B62" s="1">
        <f>VLOOKUP(A62,'feuille de base Mars 2016'!B:C,2,FALSE)</f>
        <v>7.798</v>
      </c>
      <c r="C62" s="1">
        <f>VLOOKUP(A62,'feuille de base Mars 2016'!B:H,7,FALSE)</f>
        <v>0.01</v>
      </c>
      <c r="D62" s="1">
        <f>(C62*F62)*1000</f>
        <v>79</v>
      </c>
      <c r="E62" s="1">
        <f t="shared" si="7"/>
        <v>0.61604199999999998</v>
      </c>
      <c r="F62" s="1">
        <v>7.9</v>
      </c>
      <c r="G62" s="1">
        <v>63.2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28" t="s">
        <v>121</v>
      </c>
      <c r="B63" s="1">
        <f>VLOOKUP(A63,'feuille de base Mars 2016'!B:C,2,FALSE)</f>
        <v>8.3550000000000004</v>
      </c>
      <c r="C63" s="1">
        <f>VLOOKUP(A63,'feuille de base Mars 2016'!B:H,7,FALSE)</f>
        <v>0.01</v>
      </c>
      <c r="D63" s="1">
        <f>(C63*F63)*1000</f>
        <v>79</v>
      </c>
      <c r="E63" s="1">
        <f t="shared" si="7"/>
        <v>0.66004499999999999</v>
      </c>
      <c r="F63" s="1">
        <v>7.9</v>
      </c>
      <c r="G63" s="1">
        <v>63.2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28" t="s">
        <v>122</v>
      </c>
      <c r="B64" s="1">
        <f>VLOOKUP(A64,'feuille de base Mars 2016'!B:C,2,FALSE)</f>
        <v>13.613799999999999</v>
      </c>
      <c r="C64" s="1">
        <f>VLOOKUP(A64,'feuille de base Mars 2016'!B:H,7,FALSE)</f>
        <v>1</v>
      </c>
      <c r="D64" s="1">
        <f>(C64*G64)</f>
        <v>63.2</v>
      </c>
      <c r="E64" s="1">
        <f t="shared" si="7"/>
        <v>0.86039216000000007</v>
      </c>
      <c r="F64" s="1">
        <v>7.9</v>
      </c>
      <c r="G64" s="1">
        <v>63.2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28" t="s">
        <v>123</v>
      </c>
      <c r="B65" s="1">
        <f>VLOOKUP(A65,'feuille de base Mars 2016'!B:C,2,FALSE)</f>
        <v>8.02</v>
      </c>
      <c r="C65" s="1">
        <f>VLOOKUP(A65,'feuille de base Mars 2016'!B:H,7,FALSE)</f>
        <v>0.5</v>
      </c>
      <c r="D65" s="1">
        <f>(C65*G65)</f>
        <v>31.6</v>
      </c>
      <c r="E65" s="1">
        <f>(D65/1000)*B65</f>
        <v>0.25343199999999999</v>
      </c>
      <c r="F65" s="1">
        <v>7.9</v>
      </c>
      <c r="G65" s="1">
        <v>63.2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28" t="s">
        <v>126</v>
      </c>
      <c r="B66" s="1">
        <f>VLOOKUP(A66,'feuille de base Mars 2016'!B:C,2,FALSE)</f>
        <v>0.77</v>
      </c>
      <c r="C66" s="1">
        <f>VLOOKUP(A66,'feuille de base Mars 2016'!B:H,7,FALSE)</f>
        <v>0</v>
      </c>
      <c r="D66" s="1"/>
      <c r="E66" s="1"/>
      <c r="F66" s="1">
        <v>7.9</v>
      </c>
      <c r="G66" s="1">
        <v>63.2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28" t="s">
        <v>124</v>
      </c>
      <c r="B67" s="1">
        <f>VLOOKUP(A67,'feuille de base Mars 2016'!B:C,2,FALSE)</f>
        <v>1.45</v>
      </c>
      <c r="C67" s="1">
        <f>VLOOKUP(A67,'feuille de base Mars 2016'!B:H,7,FALSE)</f>
        <v>0</v>
      </c>
      <c r="D67" s="1">
        <f>(C67*G67)</f>
        <v>0</v>
      </c>
      <c r="E67" s="1">
        <f t="shared" ref="E67:E72" si="8">(D67/1000)*B67</f>
        <v>0</v>
      </c>
      <c r="F67" s="1">
        <v>7.9</v>
      </c>
      <c r="G67" s="1">
        <v>63.2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28" t="s">
        <v>125</v>
      </c>
      <c r="B68" s="1">
        <f>VLOOKUP(A68,'feuille de base Mars 2016'!B:C,2,FALSE)</f>
        <v>3.2519999999999998</v>
      </c>
      <c r="C68" s="1">
        <f>VLOOKUP(A68,'feuille de base Mars 2016'!B:H,7,FALSE)</f>
        <v>0</v>
      </c>
      <c r="D68" s="1">
        <f>(C68*F68)*1000</f>
        <v>0</v>
      </c>
      <c r="E68" s="1">
        <f t="shared" si="8"/>
        <v>0</v>
      </c>
      <c r="F68" s="1">
        <v>7.9</v>
      </c>
      <c r="G68" s="1">
        <v>63.2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28" t="s">
        <v>127</v>
      </c>
      <c r="B69" s="1">
        <f>VLOOKUP(A69,'feuille de base Mars 2016'!B:C,2,FALSE)</f>
        <v>1.4</v>
      </c>
      <c r="C69" s="1">
        <f>VLOOKUP(A69,'feuille de base Mars 2016'!B:H,7,FALSE)</f>
        <v>0</v>
      </c>
      <c r="D69" s="1">
        <f>(C69*G69)</f>
        <v>0</v>
      </c>
      <c r="E69" s="1">
        <f t="shared" si="8"/>
        <v>0</v>
      </c>
      <c r="F69" s="1">
        <v>7.9</v>
      </c>
      <c r="G69" s="1">
        <v>63.2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28" t="s">
        <v>134</v>
      </c>
      <c r="B70" s="1">
        <f>VLOOKUP(A70,'feuille de base Mars 2016'!B:C,2,FALSE)</f>
        <v>7.35</v>
      </c>
      <c r="C70" s="1">
        <f>VLOOKUP(A70,'feuille de base Mars 2016'!B:H,7,FALSE)</f>
        <v>0</v>
      </c>
      <c r="D70" s="1">
        <f>(C70*G70)</f>
        <v>0</v>
      </c>
      <c r="E70" s="1">
        <f t="shared" si="8"/>
        <v>0</v>
      </c>
      <c r="F70" s="1">
        <v>7.9</v>
      </c>
      <c r="G70" s="1">
        <v>63.2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28" t="s">
        <v>135</v>
      </c>
      <c r="B71" s="1">
        <f>VLOOKUP(A71,'feuille de base Mars 2016'!B:C,2,FALSE)</f>
        <v>4.2332000000000001</v>
      </c>
      <c r="C71" s="1">
        <f>VLOOKUP(A71,'feuille de base Mars 2016'!B:H,7,FALSE)</f>
        <v>0</v>
      </c>
      <c r="D71" s="1">
        <f>(C71*G71)</f>
        <v>0</v>
      </c>
      <c r="E71" s="1">
        <f t="shared" si="8"/>
        <v>0</v>
      </c>
      <c r="F71" s="1">
        <v>7.9</v>
      </c>
      <c r="G71" s="1">
        <v>63.2</v>
      </c>
      <c r="H71" s="1"/>
      <c r="I71" s="1"/>
      <c r="J71" s="1"/>
      <c r="K71" s="1"/>
      <c r="L71" s="1"/>
      <c r="M71" s="1"/>
      <c r="N71" s="1"/>
      <c r="O71" s="28">
        <f>SUM(O22:O70)</f>
        <v>30138.824099999998</v>
      </c>
      <c r="P71" s="28">
        <f>O71/3600</f>
        <v>8.3718955833333322</v>
      </c>
      <c r="Q71" s="28">
        <f>SUM(Q22:Q24)</f>
        <v>1.5</v>
      </c>
      <c r="R71" s="28"/>
      <c r="S71" s="28"/>
      <c r="T71" s="28">
        <f>SUM(T22:T25)</f>
        <v>0.72182780898148158</v>
      </c>
      <c r="U71" s="1"/>
      <c r="V71" s="1"/>
    </row>
    <row r="72" spans="1:22" x14ac:dyDescent="0.25">
      <c r="A72" s="28" t="s">
        <v>138</v>
      </c>
      <c r="B72" s="1">
        <f>VLOOKUP(A72,'feuille de base Mars 2016'!B:C,2,FALSE)</f>
        <v>6.6412000000000004</v>
      </c>
      <c r="C72" s="1">
        <f>VLOOKUP(A72,'feuille de base Mars 2016'!B:H,7,FALSE)</f>
        <v>0</v>
      </c>
      <c r="D72" s="1">
        <f>(C72*G72)</f>
        <v>0</v>
      </c>
      <c r="E72" s="1">
        <f t="shared" si="8"/>
        <v>0</v>
      </c>
      <c r="F72" s="1">
        <v>7.9</v>
      </c>
      <c r="G72" s="1">
        <v>63.2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6"/>
      <c r="B73" s="16"/>
      <c r="C73" s="16"/>
      <c r="D73" s="16"/>
      <c r="E73" s="29">
        <f>SUM(E22:E72,T71,L23)</f>
        <v>4.5089707309814813</v>
      </c>
      <c r="F73" s="16"/>
      <c r="G73" s="16"/>
      <c r="H73" s="16"/>
      <c r="I73" s="16"/>
      <c r="J73" s="16"/>
      <c r="K73" s="16"/>
      <c r="L73" s="16"/>
      <c r="M73" s="16"/>
      <c r="N73" s="16"/>
    </row>
    <row r="74" spans="1:22" x14ac:dyDescent="0.25">
      <c r="A74" s="16"/>
      <c r="B74" s="16"/>
      <c r="C74" s="16"/>
      <c r="D74" s="16"/>
      <c r="E74" s="29"/>
      <c r="F74" s="16"/>
      <c r="G74" s="16"/>
      <c r="H74" s="16"/>
      <c r="I74" s="16"/>
      <c r="J74" s="16"/>
      <c r="K74" s="16"/>
      <c r="L74" s="16"/>
      <c r="M74" s="16"/>
      <c r="N74" s="16"/>
    </row>
    <row r="75" spans="1:22" x14ac:dyDescent="0.25">
      <c r="A75" s="54" t="s">
        <v>214</v>
      </c>
      <c r="B75" s="54">
        <f>E73+T71+L23</f>
        <v>6.3430490199629634</v>
      </c>
      <c r="C75" s="16"/>
      <c r="D75" s="16"/>
      <c r="E75" s="29"/>
      <c r="F75" s="16"/>
      <c r="G75" s="16"/>
      <c r="H75" s="16"/>
      <c r="I75" s="16"/>
      <c r="J75" s="16"/>
      <c r="K75" s="16"/>
      <c r="L75" s="16"/>
      <c r="M75" s="16"/>
      <c r="N75" s="16"/>
    </row>
    <row r="76" spans="1:22" x14ac:dyDescent="0.25">
      <c r="A76" s="30"/>
      <c r="B76" s="30"/>
      <c r="C76" s="30"/>
      <c r="D76" s="30"/>
      <c r="E76" s="31"/>
      <c r="F76" s="30"/>
      <c r="G76" s="30"/>
      <c r="H76" s="30"/>
      <c r="I76" s="30"/>
      <c r="J76" s="30"/>
      <c r="K76" s="30"/>
      <c r="L76" s="30"/>
      <c r="M76" s="30"/>
      <c r="N76" s="30"/>
    </row>
    <row r="77" spans="1:22" x14ac:dyDescent="0.25">
      <c r="A77" s="55" t="s">
        <v>196</v>
      </c>
      <c r="B77" s="55">
        <f>E89+T88+L80+L82</f>
        <v>1.00687042</v>
      </c>
      <c r="C77" s="30"/>
      <c r="F77" s="30"/>
      <c r="G77" s="30"/>
      <c r="H77" s="30"/>
      <c r="I77" s="30"/>
      <c r="J77" s="30"/>
      <c r="K77" s="30"/>
      <c r="L77" s="30"/>
      <c r="M77" s="30"/>
      <c r="N77" s="30"/>
    </row>
    <row r="78" spans="1:22" x14ac:dyDescent="0.25">
      <c r="A78" s="34" t="s">
        <v>152</v>
      </c>
    </row>
    <row r="79" spans="1:22" x14ac:dyDescent="0.25">
      <c r="A79" s="32" t="s">
        <v>183</v>
      </c>
      <c r="B79" s="32"/>
      <c r="C79" s="32" t="s">
        <v>181</v>
      </c>
      <c r="D79" s="32"/>
      <c r="E79" s="32"/>
      <c r="F79" s="32"/>
      <c r="G79" s="32"/>
      <c r="H79" s="32"/>
      <c r="I79" s="32" t="s">
        <v>165</v>
      </c>
      <c r="J79" s="32" t="s">
        <v>180</v>
      </c>
      <c r="K79" s="32" t="s">
        <v>167</v>
      </c>
      <c r="L79" s="32" t="s">
        <v>168</v>
      </c>
      <c r="M79" s="32" t="s">
        <v>226</v>
      </c>
      <c r="N79" s="32" t="s">
        <v>169</v>
      </c>
      <c r="O79" s="32" t="s">
        <v>170</v>
      </c>
      <c r="P79" s="32" t="s">
        <v>171</v>
      </c>
      <c r="Q79" s="32" t="s">
        <v>172</v>
      </c>
      <c r="R79" s="32" t="s">
        <v>173</v>
      </c>
      <c r="S79" s="32" t="s">
        <v>174</v>
      </c>
      <c r="T79" s="32" t="s">
        <v>175</v>
      </c>
      <c r="U79" s="32"/>
      <c r="V79" s="32"/>
    </row>
    <row r="80" spans="1:22" x14ac:dyDescent="0.25">
      <c r="A80" s="26" t="s">
        <v>139</v>
      </c>
      <c r="B80" s="1">
        <f>VLOOKUP(A80,'feuille de base Mars 2016'!B:C,2,FALSE)</f>
        <v>1.4</v>
      </c>
      <c r="C80" s="1">
        <f>VLOOKUP(A80,'feuille de base Mars 2016'!B:H,7,FALSE)</f>
        <v>0</v>
      </c>
      <c r="D80" s="1">
        <f>(C80*G80)</f>
        <v>0</v>
      </c>
      <c r="E80" s="1">
        <f t="shared" ref="E80:E81" si="9">(D80/1000)*B80</f>
        <v>0</v>
      </c>
      <c r="F80" s="1">
        <v>7.9</v>
      </c>
      <c r="G80" s="1">
        <v>63.2</v>
      </c>
      <c r="H80" s="1"/>
      <c r="I80" s="1"/>
      <c r="J80" s="1">
        <v>63.2</v>
      </c>
      <c r="K80" s="1">
        <f>(J80*3.33)/1000</f>
        <v>0.210456</v>
      </c>
      <c r="L80" s="1">
        <f>K80*0.11</f>
        <v>2.3150159999999999E-2</v>
      </c>
      <c r="M80" s="1">
        <f>(J80/1000)*5.5</f>
        <v>0.34760000000000002</v>
      </c>
      <c r="N80" s="30"/>
      <c r="O80" s="1">
        <f>(4.18*63.5*(40-22))</f>
        <v>4777.74</v>
      </c>
      <c r="P80" s="1">
        <f>O80/3600</f>
        <v>1.3271499999999998</v>
      </c>
      <c r="Q80">
        <v>0.5</v>
      </c>
      <c r="R80" s="1"/>
      <c r="S80" s="1"/>
      <c r="T80" s="1">
        <f>Q80*P80*0.17</f>
        <v>0.11280775</v>
      </c>
      <c r="U80" s="1"/>
      <c r="V80" s="1"/>
    </row>
    <row r="81" spans="1:22" x14ac:dyDescent="0.25">
      <c r="A81" s="26" t="s">
        <v>140</v>
      </c>
      <c r="B81" s="1">
        <f>VLOOKUP(A81,'feuille de base Mars 2016'!B:C,2,FALSE)</f>
        <v>7.1070000000000002</v>
      </c>
      <c r="C81" s="1">
        <f>VLOOKUP(A81,'feuille de base Mars 2016'!B:H,7,FALSE)</f>
        <v>0</v>
      </c>
      <c r="D81" s="1">
        <f>(C81*F81)*1000</f>
        <v>0</v>
      </c>
      <c r="E81" s="1">
        <f t="shared" si="9"/>
        <v>0</v>
      </c>
      <c r="F81" s="1">
        <v>7.9</v>
      </c>
      <c r="G81" s="1">
        <v>63.2</v>
      </c>
      <c r="H81" s="1"/>
      <c r="I81" s="1"/>
      <c r="J81" s="1"/>
      <c r="K81" s="1"/>
      <c r="L81" s="1"/>
      <c r="M81" s="1"/>
      <c r="N81" s="30"/>
      <c r="P81" s="1">
        <f t="shared" ref="P81:P84" si="10">O81/3600</f>
        <v>0</v>
      </c>
      <c r="R81" s="1"/>
      <c r="S81" s="1"/>
      <c r="T81" s="1">
        <f t="shared" ref="T81:T84" si="11">Q81*P81*0.134</f>
        <v>0</v>
      </c>
      <c r="U81" s="1"/>
      <c r="V81" s="1"/>
    </row>
    <row r="82" spans="1:22" x14ac:dyDescent="0.25">
      <c r="A82" s="26" t="s">
        <v>141</v>
      </c>
      <c r="B82" s="1">
        <f>VLOOKUP(A82,'feuille de base Mars 2016'!B:C,2,FALSE)</f>
        <v>0.77</v>
      </c>
      <c r="C82" s="1">
        <f>VLOOKUP(A82,'feuille de base Mars 2016'!B:H,7,FALSE)</f>
        <v>0</v>
      </c>
      <c r="D82" s="1">
        <f>C82*G82</f>
        <v>0</v>
      </c>
      <c r="E82" s="1">
        <f>(D82/1000)*B82</f>
        <v>0</v>
      </c>
      <c r="F82" s="1">
        <v>7.9</v>
      </c>
      <c r="G82" s="1">
        <v>63.2</v>
      </c>
      <c r="H82" s="1"/>
      <c r="I82" s="1"/>
      <c r="J82" s="1"/>
      <c r="K82" s="1"/>
      <c r="L82" s="1">
        <f>(J80/1000)*1.19</f>
        <v>7.5207999999999997E-2</v>
      </c>
      <c r="M82" s="1"/>
      <c r="N82" s="30"/>
      <c r="P82" s="1">
        <f t="shared" si="10"/>
        <v>0</v>
      </c>
      <c r="R82" s="1"/>
      <c r="S82" s="1"/>
      <c r="T82" s="1">
        <f t="shared" si="11"/>
        <v>0</v>
      </c>
      <c r="U82" s="1"/>
      <c r="V82" s="1"/>
    </row>
    <row r="83" spans="1:22" x14ac:dyDescent="0.25">
      <c r="A83" s="26" t="s">
        <v>142</v>
      </c>
      <c r="B83" s="1">
        <f>VLOOKUP(A83,'feuille de base Mars 2016'!B:C,2,FALSE)</f>
        <v>10.130000000000001</v>
      </c>
      <c r="C83" s="1">
        <f>VLOOKUP(A83,'feuille de base Mars 2016'!B:H,7,FALSE)</f>
        <v>0</v>
      </c>
      <c r="D83" s="1">
        <f>(C83*F83)*1000</f>
        <v>0</v>
      </c>
      <c r="E83" s="1">
        <f>(D83/1000)*B83</f>
        <v>0</v>
      </c>
      <c r="F83" s="1">
        <v>7.9</v>
      </c>
      <c r="G83" s="1">
        <v>63.2</v>
      </c>
      <c r="H83" s="1"/>
      <c r="I83" s="1"/>
      <c r="J83" s="1"/>
      <c r="K83" s="1"/>
      <c r="L83" s="1"/>
      <c r="M83" s="1"/>
      <c r="N83" s="30"/>
      <c r="P83" s="1">
        <f t="shared" si="10"/>
        <v>0</v>
      </c>
      <c r="R83" s="1"/>
      <c r="S83" s="1"/>
      <c r="T83" s="1">
        <f t="shared" si="11"/>
        <v>0</v>
      </c>
      <c r="U83" s="1"/>
      <c r="V83" s="1"/>
    </row>
    <row r="84" spans="1:22" x14ac:dyDescent="0.25">
      <c r="A84" s="26" t="s">
        <v>143</v>
      </c>
      <c r="B84" s="1">
        <f>VLOOKUP(A84,'feuille de base Mars 2016'!B:C,2,FALSE)</f>
        <v>7.35</v>
      </c>
      <c r="C84" s="1">
        <f>VLOOKUP(A84,'feuille de base Mars 2016'!B:H,7,FALSE)</f>
        <v>0</v>
      </c>
      <c r="D84" s="1">
        <f>C84*G84</f>
        <v>0</v>
      </c>
      <c r="E84" s="1">
        <f>(D84/1000)*B84</f>
        <v>0</v>
      </c>
      <c r="F84" s="1">
        <v>7.9</v>
      </c>
      <c r="G84" s="1">
        <v>63.2</v>
      </c>
      <c r="H84" s="1"/>
      <c r="I84" s="1"/>
      <c r="J84" s="1"/>
      <c r="K84" s="1"/>
      <c r="L84" s="1"/>
      <c r="M84" s="1"/>
      <c r="N84" s="30"/>
      <c r="P84" s="1">
        <f t="shared" si="10"/>
        <v>0</v>
      </c>
      <c r="R84" s="1"/>
      <c r="S84" s="1"/>
      <c r="T84" s="1">
        <f t="shared" si="11"/>
        <v>0</v>
      </c>
      <c r="U84" s="1"/>
      <c r="V84" s="1"/>
    </row>
    <row r="85" spans="1:22" x14ac:dyDescent="0.25">
      <c r="A85" s="26" t="s">
        <v>146</v>
      </c>
      <c r="B85" s="1">
        <f>VLOOKUP(A85,'feuille de base Mars 2016'!B:C,2,FALSE)</f>
        <v>0.77</v>
      </c>
      <c r="C85" s="1">
        <f>VLOOKUP(A85,'feuille de base Mars 2016'!B:H,7,FALSE)</f>
        <v>0</v>
      </c>
      <c r="D85" s="1">
        <f>C85*G85</f>
        <v>0</v>
      </c>
      <c r="E85" s="1">
        <f>(D85/1000)*B85</f>
        <v>0</v>
      </c>
      <c r="F85" s="1">
        <v>7.9</v>
      </c>
      <c r="G85" s="1">
        <v>63.2</v>
      </c>
      <c r="H85" s="1"/>
      <c r="I85" s="1"/>
      <c r="J85" s="1"/>
      <c r="K85" s="1"/>
      <c r="L85" s="1"/>
      <c r="M85" s="1"/>
      <c r="N85" s="30"/>
      <c r="P85" s="1"/>
      <c r="R85" s="1"/>
      <c r="S85" s="1"/>
      <c r="T85" s="1">
        <f>Q85*P85*0.134</f>
        <v>0</v>
      </c>
      <c r="U85" s="1"/>
      <c r="V85" s="1"/>
    </row>
    <row r="86" spans="1:22" x14ac:dyDescent="0.25">
      <c r="A86" s="26" t="s">
        <v>147</v>
      </c>
      <c r="B86" s="1">
        <f>VLOOKUP(A86,'feuille de base Mars 2016'!B:C,2,FALSE)</f>
        <v>1.45</v>
      </c>
      <c r="C86" s="1">
        <f>VLOOKUP(A86,'feuille de base Mars 2016'!B:H,7,FALSE)</f>
        <v>0</v>
      </c>
      <c r="D86" s="1">
        <f>(C86*G86)</f>
        <v>0</v>
      </c>
      <c r="E86" s="1">
        <f>(D86/1000)*B86</f>
        <v>0</v>
      </c>
      <c r="F86" s="1">
        <v>7.9</v>
      </c>
      <c r="G86" s="1">
        <v>63.2</v>
      </c>
      <c r="H86" s="1"/>
      <c r="I86" s="1"/>
      <c r="J86" s="1"/>
      <c r="K86" s="1"/>
      <c r="L86" s="1"/>
      <c r="M86" s="1"/>
      <c r="N86" s="30"/>
      <c r="P86" s="1"/>
      <c r="R86" s="1"/>
      <c r="S86" s="1"/>
      <c r="T86" s="1"/>
      <c r="U86" s="1"/>
      <c r="V86" s="1"/>
    </row>
    <row r="87" spans="1:22" x14ac:dyDescent="0.25">
      <c r="A87" s="26" t="s">
        <v>148</v>
      </c>
      <c r="B87" s="1">
        <f>VLOOKUP(A87,'feuille de base Mars 2016'!B:C,2,FALSE)</f>
        <v>4.9000000000000004</v>
      </c>
      <c r="C87" s="1">
        <f>VLOOKUP(A87,'feuille de base Mars 2016'!B:H,7,FALSE)</f>
        <v>0</v>
      </c>
      <c r="D87" s="1">
        <f>C87*F87</f>
        <v>0</v>
      </c>
      <c r="E87" s="1">
        <f t="shared" ref="E87:E88" si="12">(D87/1000)*B87</f>
        <v>0</v>
      </c>
      <c r="F87" s="1">
        <v>7.9</v>
      </c>
      <c r="G87" s="1">
        <v>63.2</v>
      </c>
      <c r="H87" s="1"/>
      <c r="I87" s="1"/>
      <c r="J87" s="1"/>
      <c r="K87" s="1"/>
      <c r="L87" s="1">
        <f>SUM(L80:L82)</f>
        <v>9.835816E-2</v>
      </c>
      <c r="M87" s="1"/>
      <c r="N87" s="30"/>
      <c r="P87" s="1"/>
      <c r="R87" s="1"/>
      <c r="S87" s="1"/>
      <c r="T87" s="1"/>
      <c r="U87" s="1"/>
      <c r="V87" s="1"/>
    </row>
    <row r="88" spans="1:22" x14ac:dyDescent="0.25">
      <c r="A88" s="26" t="s">
        <v>149</v>
      </c>
      <c r="B88" s="1">
        <f>VLOOKUP(A88,'feuille de base Mars 2016'!B:C,2,FALSE)</f>
        <v>1.335</v>
      </c>
      <c r="C88" s="1">
        <f>VLOOKUP(A88,'feuille de base Mars 2016'!B:H,7,FALSE)</f>
        <v>5</v>
      </c>
      <c r="D88" s="26">
        <f>C88*G88</f>
        <v>316</v>
      </c>
      <c r="E88" s="26">
        <f t="shared" si="12"/>
        <v>0.42186000000000001</v>
      </c>
      <c r="F88" s="1">
        <v>7.9</v>
      </c>
      <c r="G88" s="1">
        <v>63.2</v>
      </c>
      <c r="H88" s="26"/>
      <c r="I88" s="26"/>
      <c r="J88" s="26"/>
      <c r="K88" s="26"/>
      <c r="L88" s="26"/>
      <c r="M88" s="26"/>
      <c r="N88" s="26"/>
      <c r="O88" s="26">
        <f>SUM(O80:O87)</f>
        <v>4777.74</v>
      </c>
      <c r="P88" s="26">
        <f>O88/3600</f>
        <v>1.3271499999999998</v>
      </c>
      <c r="Q88" s="26">
        <f>SUM(Q80:Q87)</f>
        <v>0.5</v>
      </c>
      <c r="R88" s="26"/>
      <c r="S88" s="26"/>
      <c r="T88" s="26">
        <f>P88*0.134*Q88</f>
        <v>8.8919049999999999E-2</v>
      </c>
      <c r="U88" s="26"/>
      <c r="V88" s="26"/>
    </row>
    <row r="89" spans="1:22" x14ac:dyDescent="0.25">
      <c r="A89" s="17"/>
      <c r="B89" s="17"/>
      <c r="C89" s="33"/>
      <c r="D89" s="17"/>
      <c r="E89" s="34">
        <f>SUM(E80:E88,K80,T88,L87)</f>
        <v>0.81959320999999996</v>
      </c>
      <c r="F89" s="17"/>
      <c r="G89" s="17"/>
      <c r="H89" s="17"/>
      <c r="I89" s="17"/>
      <c r="J89" s="17"/>
      <c r="K89" s="17"/>
      <c r="L89" s="17"/>
      <c r="M89" s="17"/>
      <c r="N89" s="17"/>
    </row>
  </sheetData>
  <conditionalFormatting sqref="Q42:Q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8">
    <dataValidation type="list" allowBlank="1" showInputMessage="1" showErrorMessage="1" sqref="B20 B79">
      <formula1>INDIRECT("listeprixcolorants[prix colorants]")</formula1>
    </dataValidation>
    <dataValidation type="list" allowBlank="1" showInputMessage="1" showErrorMessage="1" sqref="B16:B19">
      <formula1>listeprixprodprepa</formula1>
    </dataValidation>
    <dataValidation type="list" allowBlank="1" showInputMessage="1" showErrorMessage="1" sqref="C15:C20">
      <formula1>listepourprodprep</formula1>
    </dataValidation>
    <dataValidation type="list" allowBlank="1" showInputMessage="1" showErrorMessage="1" sqref="A61:A72">
      <formula1>prodteinture</formula1>
    </dataValidation>
    <dataValidation type="list" allowBlank="1" showInputMessage="1" showErrorMessage="1" sqref="A73:A74">
      <formula1>listeprodteint</formula1>
    </dataValidation>
    <dataValidation type="list" allowBlank="1" showInputMessage="1" showErrorMessage="1" sqref="A80:A88">
      <formula1>prodfix</formula1>
    </dataValidation>
    <dataValidation type="list" allowBlank="1" showInputMessage="1" showErrorMessage="1" sqref="A7:A13">
      <formula1>preparation</formula1>
    </dataValidation>
    <dataValidation type="list" allowBlank="1" showInputMessage="1" showErrorMessage="1" sqref="A22:A60">
      <formula1>colorant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88"/>
  <sheetViews>
    <sheetView topLeftCell="K1" workbookViewId="0">
      <selection activeCell="T80" sqref="T80"/>
    </sheetView>
  </sheetViews>
  <sheetFormatPr baseColWidth="10" defaultColWidth="11.42578125" defaultRowHeight="15" x14ac:dyDescent="0.25"/>
  <cols>
    <col min="1" max="1" width="15.28515625" customWidth="1"/>
    <col min="5" max="5" width="19.85546875" customWidth="1"/>
    <col min="10" max="10" width="20.42578125" customWidth="1"/>
    <col min="11" max="11" width="16.7109375" customWidth="1"/>
    <col min="12" max="12" width="18" customWidth="1"/>
    <col min="13" max="13" width="17.140625" customWidth="1"/>
    <col min="15" max="16" width="27.85546875" customWidth="1"/>
    <col min="17" max="17" width="17.28515625" customWidth="1"/>
  </cols>
  <sheetData>
    <row r="1" spans="1:21" x14ac:dyDescent="0.25">
      <c r="E1" s="1" t="s">
        <v>154</v>
      </c>
      <c r="F1" s="1">
        <v>34.799999999999997</v>
      </c>
      <c r="I1" s="24" t="s">
        <v>155</v>
      </c>
      <c r="J1" s="24">
        <f>B2+B74+B76</f>
        <v>115.59400186239998</v>
      </c>
    </row>
    <row r="2" spans="1:21" x14ac:dyDescent="0.25">
      <c r="A2" s="55" t="s">
        <v>213</v>
      </c>
      <c r="B2" s="55">
        <f>E14+L13+T13</f>
        <v>12.286770955555557</v>
      </c>
      <c r="E2" s="1" t="s">
        <v>156</v>
      </c>
      <c r="F2" s="1">
        <f>418*8</f>
        <v>3344</v>
      </c>
    </row>
    <row r="3" spans="1:21" x14ac:dyDescent="0.25">
      <c r="E3" s="1" t="s">
        <v>212</v>
      </c>
      <c r="F3" s="25"/>
    </row>
    <row r="5" spans="1:21" x14ac:dyDescent="0.25">
      <c r="A5" s="26" t="s">
        <v>150</v>
      </c>
    </row>
    <row r="6" spans="1:21" x14ac:dyDescent="0.25">
      <c r="A6" s="26" t="s">
        <v>182</v>
      </c>
      <c r="B6" s="26" t="s">
        <v>158</v>
      </c>
      <c r="C6" s="26" t="s">
        <v>159</v>
      </c>
      <c r="D6" s="26" t="s">
        <v>160</v>
      </c>
      <c r="E6" s="26" t="s">
        <v>161</v>
      </c>
      <c r="F6" s="26" t="s">
        <v>162</v>
      </c>
      <c r="G6" s="27" t="s">
        <v>163</v>
      </c>
      <c r="H6" s="27" t="s">
        <v>164</v>
      </c>
      <c r="I6" s="26" t="s">
        <v>165</v>
      </c>
      <c r="J6" s="26" t="s">
        <v>166</v>
      </c>
      <c r="K6" s="26" t="s">
        <v>167</v>
      </c>
      <c r="L6" s="26" t="s">
        <v>168</v>
      </c>
      <c r="M6" s="26" t="s">
        <v>226</v>
      </c>
      <c r="N6" s="26" t="s">
        <v>169</v>
      </c>
      <c r="O6" s="26" t="s">
        <v>170</v>
      </c>
      <c r="P6" s="26" t="s">
        <v>171</v>
      </c>
      <c r="Q6" s="26" t="s">
        <v>172</v>
      </c>
      <c r="R6" s="26" t="s">
        <v>173</v>
      </c>
      <c r="S6" s="26" t="s">
        <v>174</v>
      </c>
      <c r="T6" s="26" t="s">
        <v>175</v>
      </c>
      <c r="U6" s="1"/>
    </row>
    <row r="7" spans="1:21" x14ac:dyDescent="0.25">
      <c r="A7" s="26" t="s">
        <v>69</v>
      </c>
      <c r="B7" s="1">
        <f>VLOOKUP(A7,'feuille de base Mars 2016'!B:C,2,FALSE)</f>
        <v>1.45</v>
      </c>
      <c r="C7" s="1">
        <f>VLOOKUP(A7,'feuille de base Mars 2016'!B:F,5,FALSE)</f>
        <v>2</v>
      </c>
      <c r="D7" s="1">
        <f>(C7*G7)</f>
        <v>836</v>
      </c>
      <c r="E7" s="1">
        <f>(D7/1000)*B7</f>
        <v>1.2121999999999999</v>
      </c>
      <c r="F7" s="1">
        <v>34.799999999999997</v>
      </c>
      <c r="G7" s="1">
        <v>418</v>
      </c>
      <c r="H7" s="1">
        <f>SUM(212+306+306)</f>
        <v>824</v>
      </c>
      <c r="I7" s="1">
        <v>1.35</v>
      </c>
      <c r="J7" s="1">
        <v>418</v>
      </c>
      <c r="K7" s="1">
        <f>(J7*3.33)/1000</f>
        <v>1.39194</v>
      </c>
      <c r="L7" s="1">
        <f>K7*0.11</f>
        <v>0.15311339999999998</v>
      </c>
      <c r="M7" s="1">
        <f>(J7/1000)*5.5</f>
        <v>2.2989999999999999</v>
      </c>
      <c r="O7" s="1">
        <f>(((4.18*429*(80-22))))</f>
        <v>104006.76</v>
      </c>
      <c r="P7" s="1">
        <f>O7/3600</f>
        <v>28.890766666666664</v>
      </c>
      <c r="Q7" s="1">
        <f>70/60</f>
        <v>1.1666666666666667</v>
      </c>
      <c r="R7" s="1"/>
      <c r="S7" s="1"/>
      <c r="T7" s="1">
        <f>P7*Q7*0.17</f>
        <v>5.7300020555555564</v>
      </c>
      <c r="U7" s="1"/>
    </row>
    <row r="8" spans="1:21" x14ac:dyDescent="0.25">
      <c r="A8" s="26" t="s">
        <v>70</v>
      </c>
      <c r="B8" s="1">
        <f>VLOOKUP(A8,'feuille de base Mars 2016'!B:C,2,FALSE)</f>
        <v>7.3529999999999998</v>
      </c>
      <c r="C8" s="1">
        <f>VLOOKUP(A8,'feuille de base Mars 2016'!B:F,5,FALSE)</f>
        <v>0</v>
      </c>
      <c r="D8" s="1">
        <f>(C8*F8)*1000</f>
        <v>0</v>
      </c>
      <c r="E8" s="1">
        <f t="shared" ref="E8:E13" si="0">(D8/1000)*B8</f>
        <v>0</v>
      </c>
      <c r="F8" s="1">
        <v>34.799999999999997</v>
      </c>
      <c r="G8" s="1">
        <v>418</v>
      </c>
      <c r="I8" s="1"/>
      <c r="J8" s="1"/>
      <c r="K8" s="1"/>
      <c r="L8" s="1"/>
      <c r="M8" s="1"/>
      <c r="O8" s="1">
        <f>(4.18*429*(70-26))</f>
        <v>78901.679999999993</v>
      </c>
      <c r="P8" s="1">
        <f>O8/3600</f>
        <v>21.917133333333332</v>
      </c>
      <c r="Q8" s="1">
        <f>(15/60)*2</f>
        <v>0.5</v>
      </c>
      <c r="R8" s="1"/>
      <c r="S8" s="1"/>
      <c r="T8" s="1">
        <f t="shared" ref="T8:T9" si="1">P8*Q8*0.17</f>
        <v>1.8629563333333334</v>
      </c>
      <c r="U8" s="1"/>
    </row>
    <row r="9" spans="1:21" x14ac:dyDescent="0.25">
      <c r="A9" s="26" t="s">
        <v>72</v>
      </c>
      <c r="B9" s="1">
        <f>VLOOKUP(A9,'feuille de base Mars 2016'!B:C,2,FALSE)</f>
        <v>0.77</v>
      </c>
      <c r="C9" s="1">
        <f>VLOOKUP(A9,'feuille de base Mars 2016'!B:F,5,FALSE)</f>
        <v>0</v>
      </c>
      <c r="D9" s="1">
        <f>(C9*G9)</f>
        <v>0</v>
      </c>
      <c r="E9" s="1">
        <f t="shared" si="0"/>
        <v>0</v>
      </c>
      <c r="F9" s="1">
        <v>34.799999999999997</v>
      </c>
      <c r="G9" s="1">
        <v>418</v>
      </c>
      <c r="I9" s="1"/>
      <c r="J9" s="1"/>
      <c r="K9" s="1"/>
      <c r="L9" s="1"/>
      <c r="M9" s="1"/>
      <c r="O9" s="1">
        <f>(4.18*429*(40-25))</f>
        <v>26898.299999999996</v>
      </c>
      <c r="P9" s="1">
        <f>O9/3600</f>
        <v>7.4717499999999992</v>
      </c>
      <c r="Q9" s="1">
        <f>20/60</f>
        <v>0.33333333333333331</v>
      </c>
      <c r="R9" s="1"/>
      <c r="S9" s="1"/>
      <c r="T9" s="1">
        <f t="shared" si="1"/>
        <v>0.4233991666666666</v>
      </c>
      <c r="U9" s="1"/>
    </row>
    <row r="10" spans="1:21" x14ac:dyDescent="0.25">
      <c r="A10" s="26" t="s">
        <v>73</v>
      </c>
      <c r="B10" s="1">
        <f>VLOOKUP(A10,'feuille de base Mars 2016'!B:C,2,FALSE)</f>
        <v>1.45</v>
      </c>
      <c r="C10" s="1">
        <f>VLOOKUP(A10,'feuille de base Mars 2016'!B:F,5,FALSE)</f>
        <v>1</v>
      </c>
      <c r="D10" s="1">
        <f>(C10*G10)</f>
        <v>418</v>
      </c>
      <c r="E10" s="1">
        <f>(D10/1000)*B10</f>
        <v>0.60609999999999997</v>
      </c>
      <c r="F10" s="1">
        <v>34.799999999999997</v>
      </c>
      <c r="G10" s="1">
        <v>418</v>
      </c>
      <c r="I10" s="1"/>
      <c r="J10" s="1"/>
      <c r="K10" s="1"/>
      <c r="L10" s="1"/>
      <c r="M10" s="1"/>
      <c r="O10" s="1"/>
      <c r="P10" s="1"/>
      <c r="Q10" s="1"/>
      <c r="R10" s="1"/>
      <c r="S10" s="1"/>
      <c r="T10" s="1"/>
      <c r="U10" s="1"/>
    </row>
    <row r="11" spans="1:21" x14ac:dyDescent="0.25">
      <c r="A11" s="26" t="s">
        <v>76</v>
      </c>
      <c r="B11" s="1">
        <f>VLOOKUP(A11,'feuille de base Mars 2016'!B:C,2,FALSE)</f>
        <v>6.4610000000000003</v>
      </c>
      <c r="C11" s="1">
        <f>VLOOKUP(A11,'feuille de base Mars 2016'!B:F,5,FALSE)</f>
        <v>0</v>
      </c>
      <c r="D11" s="1">
        <f>(C11*G11)</f>
        <v>0</v>
      </c>
      <c r="E11" s="1">
        <f t="shared" si="0"/>
        <v>0</v>
      </c>
      <c r="F11" s="1">
        <v>34.799999999999997</v>
      </c>
      <c r="G11" s="1">
        <v>418</v>
      </c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  <c r="U11" s="1"/>
    </row>
    <row r="12" spans="1:21" x14ac:dyDescent="0.25">
      <c r="A12" s="26" t="s">
        <v>74</v>
      </c>
      <c r="B12" s="1">
        <f>VLOOKUP(A12,'feuille de base Mars 2016'!B:C,2,FALSE)</f>
        <v>8.02</v>
      </c>
      <c r="C12" s="1">
        <f>VLOOKUP(A12,'feuille de base Mars 2016'!B:F,5,FALSE)</f>
        <v>0</v>
      </c>
      <c r="D12" s="1">
        <f>(C12*G12)</f>
        <v>0</v>
      </c>
      <c r="E12" s="1">
        <f t="shared" si="0"/>
        <v>0</v>
      </c>
      <c r="F12" s="1">
        <v>34.799999999999997</v>
      </c>
      <c r="G12" s="1">
        <v>418</v>
      </c>
      <c r="I12" s="1"/>
      <c r="J12" s="1"/>
      <c r="K12" s="1"/>
      <c r="L12" s="1"/>
      <c r="M12" s="1"/>
      <c r="O12" s="1"/>
      <c r="P12" s="1"/>
      <c r="Q12" s="1"/>
      <c r="R12" s="1"/>
      <c r="S12" s="1"/>
      <c r="T12" s="1"/>
      <c r="U12" s="1"/>
    </row>
    <row r="13" spans="1:21" x14ac:dyDescent="0.25">
      <c r="A13" s="26" t="s">
        <v>76</v>
      </c>
      <c r="B13" s="1">
        <f>VLOOKUP(A13,'feuille de base Mars 2016'!B:C,2,FALSE)</f>
        <v>6.4610000000000003</v>
      </c>
      <c r="C13" s="1">
        <f>VLOOKUP(A13,'feuille de base Mars 2016'!B:F,5,FALSE)</f>
        <v>0</v>
      </c>
      <c r="D13" s="1">
        <f>(C13*G13)</f>
        <v>0</v>
      </c>
      <c r="E13" s="1">
        <f t="shared" si="0"/>
        <v>0</v>
      </c>
      <c r="F13" s="1">
        <v>34.799999999999997</v>
      </c>
      <c r="G13" s="1">
        <v>418</v>
      </c>
      <c r="I13" s="1"/>
      <c r="J13" s="1"/>
      <c r="K13" s="1"/>
      <c r="L13" s="1">
        <f>SUM(L7:L12,M7)</f>
        <v>2.4521134</v>
      </c>
      <c r="M13" s="1"/>
      <c r="O13" s="1">
        <f>SUM(O7:O9)</f>
        <v>209806.74</v>
      </c>
      <c r="P13" s="1">
        <f>SUM(P7:P9)</f>
        <v>58.279649999999997</v>
      </c>
      <c r="Q13" s="1">
        <f>SUM(Q7:Q11)</f>
        <v>2</v>
      </c>
      <c r="R13" s="1"/>
      <c r="S13" s="1"/>
      <c r="T13" s="1">
        <f>SUM(T7:T9)</f>
        <v>8.0163575555555564</v>
      </c>
      <c r="U13" s="1"/>
    </row>
    <row r="14" spans="1:21" x14ac:dyDescent="0.25">
      <c r="A14" s="17"/>
      <c r="E14" s="17">
        <f>SUM(E7:E13)</f>
        <v>1.8182999999999998</v>
      </c>
      <c r="L14" s="17"/>
      <c r="M14" s="17"/>
    </row>
    <row r="20" spans="1:21" x14ac:dyDescent="0.25">
      <c r="A20" s="16" t="s">
        <v>151</v>
      </c>
    </row>
    <row r="21" spans="1:21" x14ac:dyDescent="0.25">
      <c r="A21" s="35" t="s">
        <v>13</v>
      </c>
      <c r="B21" s="28" t="s">
        <v>176</v>
      </c>
      <c r="C21" s="28" t="s">
        <v>177</v>
      </c>
      <c r="D21" s="28" t="s">
        <v>178</v>
      </c>
      <c r="E21" s="28" t="s">
        <v>176</v>
      </c>
      <c r="F21" s="28" t="s">
        <v>162</v>
      </c>
      <c r="G21" s="28" t="s">
        <v>179</v>
      </c>
      <c r="H21" s="28"/>
      <c r="I21" s="28" t="s">
        <v>165</v>
      </c>
      <c r="J21" s="28" t="s">
        <v>180</v>
      </c>
      <c r="K21" s="28" t="s">
        <v>167</v>
      </c>
      <c r="L21" s="28" t="s">
        <v>168</v>
      </c>
      <c r="M21" s="28" t="s">
        <v>226</v>
      </c>
      <c r="N21" s="28" t="s">
        <v>169</v>
      </c>
      <c r="O21" s="28" t="s">
        <v>170</v>
      </c>
      <c r="P21" s="28" t="s">
        <v>171</v>
      </c>
      <c r="Q21" s="28" t="s">
        <v>172</v>
      </c>
      <c r="R21" s="28" t="s">
        <v>173</v>
      </c>
      <c r="S21" s="28" t="s">
        <v>174</v>
      </c>
      <c r="T21" s="28" t="s">
        <v>175</v>
      </c>
      <c r="U21" s="28"/>
    </row>
    <row r="22" spans="1:21" x14ac:dyDescent="0.25">
      <c r="A22" s="1" t="s">
        <v>80</v>
      </c>
      <c r="B22" s="1">
        <f>VLOOKUP(A22,'feuille de base Mars 2016'!B:C,2,FALSE)</f>
        <v>194.78</v>
      </c>
      <c r="C22" s="1">
        <f>VLOOKUP(A22,'feuille de base Mars 2016'!B:F,5,FALSE)</f>
        <v>0</v>
      </c>
      <c r="D22" s="1">
        <f t="shared" ref="D22:D60" si="2">(C22*F22)*1000</f>
        <v>0</v>
      </c>
      <c r="E22" s="1">
        <f t="shared" ref="E22:E36" si="3">(D22*F22)/1000</f>
        <v>0</v>
      </c>
      <c r="F22" s="1">
        <v>34.799999999999997</v>
      </c>
      <c r="G22" s="1">
        <v>418</v>
      </c>
      <c r="H22" s="1"/>
      <c r="I22" s="1">
        <v>0.33</v>
      </c>
      <c r="J22" s="1">
        <f>429*3</f>
        <v>1287</v>
      </c>
      <c r="K22" s="1">
        <f>(J22*3.33)/1000</f>
        <v>4.2857099999999999</v>
      </c>
      <c r="L22" s="1">
        <f>K22*0.11</f>
        <v>0.47142810000000002</v>
      </c>
      <c r="M22" s="1">
        <f>(J22/1000)*5.5</f>
        <v>7.0785</v>
      </c>
      <c r="N22" s="1"/>
      <c r="O22" s="1">
        <f>(4.18*429*(35-25))</f>
        <v>17932.199999999997</v>
      </c>
      <c r="P22" s="1">
        <f>O22/3600</f>
        <v>4.9811666666666659</v>
      </c>
      <c r="Q22" s="1">
        <f>43/60</f>
        <v>0.71666666666666667</v>
      </c>
      <c r="R22" s="1"/>
      <c r="S22" s="1"/>
      <c r="T22" s="1">
        <f>Q22*P22*0.17</f>
        <v>0.6068721388888888</v>
      </c>
      <c r="U22" s="1"/>
    </row>
    <row r="23" spans="1:21" x14ac:dyDescent="0.25">
      <c r="A23" s="1" t="s">
        <v>81</v>
      </c>
      <c r="B23" s="1">
        <f>VLOOKUP(A23,'feuille de base Mars 2016'!B:C,2,FALSE)</f>
        <v>76.37</v>
      </c>
      <c r="C23" s="1">
        <f>VLOOKUP(A23,'feuille de base Mars 2016'!B:F,5,FALSE)</f>
        <v>0</v>
      </c>
      <c r="D23" s="1">
        <f t="shared" si="2"/>
        <v>0</v>
      </c>
      <c r="E23" s="1">
        <f t="shared" si="3"/>
        <v>0</v>
      </c>
      <c r="F23" s="1">
        <v>34.799999999999997</v>
      </c>
      <c r="G23" s="1">
        <v>418</v>
      </c>
      <c r="H23" s="1"/>
      <c r="I23" s="1">
        <v>1.83</v>
      </c>
      <c r="J23" s="1"/>
      <c r="K23" s="1"/>
      <c r="L23" s="36">
        <f>(L22+M22)</f>
        <v>7.5499280999999998</v>
      </c>
      <c r="M23" s="1"/>
      <c r="N23" s="1"/>
      <c r="O23" s="1">
        <f>429*4.18*(98-28)</f>
        <v>125525.39999999998</v>
      </c>
      <c r="P23" s="1">
        <f t="shared" ref="P23:P25" si="4">O23/3600</f>
        <v>34.86816666666666</v>
      </c>
      <c r="Q23" s="1">
        <f>145/60</f>
        <v>2.4166666666666665</v>
      </c>
      <c r="R23" s="1"/>
      <c r="S23" s="1"/>
      <c r="T23" s="1">
        <f t="shared" ref="T23:T25" si="5">Q23*P23*0.17</f>
        <v>14.325005138888887</v>
      </c>
      <c r="U23" s="1"/>
    </row>
    <row r="24" spans="1:21" x14ac:dyDescent="0.25">
      <c r="A24" s="1" t="s">
        <v>82</v>
      </c>
      <c r="B24" s="1">
        <f>VLOOKUP(A24,'feuille de base Mars 2016'!B:C,2,FALSE)</f>
        <v>50.86524</v>
      </c>
      <c r="C24" s="1">
        <f>VLOOKUP(A24,'feuille de base Mars 2016'!B:F,5,FALSE)</f>
        <v>2.9100000000000001E-2</v>
      </c>
      <c r="D24" s="1">
        <f>(C24*F24)*1000</f>
        <v>1012.6800000000001</v>
      </c>
      <c r="E24" s="1">
        <f t="shared" si="3"/>
        <v>35.241264000000001</v>
      </c>
      <c r="F24" s="1">
        <v>34.799999999999997</v>
      </c>
      <c r="G24" s="1">
        <v>418</v>
      </c>
      <c r="H24" s="1"/>
      <c r="I24" s="1">
        <v>0.16</v>
      </c>
      <c r="J24" s="1"/>
      <c r="K24" s="1"/>
      <c r="L24" s="1"/>
      <c r="M24" s="1"/>
      <c r="N24" s="1"/>
      <c r="O24" s="1">
        <f>429*4.18*(98-80)</f>
        <v>32277.959999999995</v>
      </c>
      <c r="P24" s="1">
        <f t="shared" si="4"/>
        <v>8.9660999999999991</v>
      </c>
      <c r="Q24" s="1">
        <f>15/60</f>
        <v>0.25</v>
      </c>
      <c r="R24" s="1"/>
      <c r="S24" s="1"/>
      <c r="T24" s="1">
        <f t="shared" si="5"/>
        <v>0.38105924999999996</v>
      </c>
      <c r="U24" s="1"/>
    </row>
    <row r="25" spans="1:21" x14ac:dyDescent="0.25">
      <c r="A25" s="1" t="s">
        <v>83</v>
      </c>
      <c r="B25" s="1">
        <f>VLOOKUP(A25,'feuille de base Mars 2016'!B:C,2,FALSE)</f>
        <v>56.493000000000002</v>
      </c>
      <c r="C25" s="1">
        <f>VLOOKUP(A25,'feuille de base Mars 2016'!B:F,5,FALSE)</f>
        <v>0</v>
      </c>
      <c r="D25" s="1">
        <f t="shared" si="2"/>
        <v>0</v>
      </c>
      <c r="E25" s="1">
        <f t="shared" si="3"/>
        <v>0</v>
      </c>
      <c r="F25" s="1">
        <v>34.799999999999997</v>
      </c>
      <c r="G25" s="1">
        <v>418</v>
      </c>
      <c r="H25" s="1"/>
      <c r="I25" s="1"/>
      <c r="J25" s="1"/>
      <c r="K25" s="1"/>
      <c r="L25" s="1"/>
      <c r="M25" s="1"/>
      <c r="N25" s="1"/>
      <c r="O25" s="28">
        <f>(4.18*429*(35-25))*2</f>
        <v>35864.399999999994</v>
      </c>
      <c r="P25" s="1">
        <f t="shared" si="4"/>
        <v>9.9623333333333317</v>
      </c>
      <c r="Q25" s="1">
        <f>15/60</f>
        <v>0.25</v>
      </c>
      <c r="R25" s="1"/>
      <c r="S25" s="1"/>
      <c r="T25" s="1">
        <f t="shared" si="5"/>
        <v>0.4233991666666666</v>
      </c>
      <c r="U25" s="1"/>
    </row>
    <row r="26" spans="1:21" x14ac:dyDescent="0.25">
      <c r="A26" s="1" t="s">
        <v>84</v>
      </c>
      <c r="B26" s="1">
        <f>VLOOKUP(A26,'feuille de base Mars 2016'!B:C,2,FALSE)</f>
        <v>56.83</v>
      </c>
      <c r="C26" s="1">
        <f>VLOOKUP(A26,'feuille de base Mars 2016'!B:F,5,FALSE)</f>
        <v>0</v>
      </c>
      <c r="D26" s="1">
        <f t="shared" si="2"/>
        <v>0</v>
      </c>
      <c r="E26" s="1">
        <f t="shared" si="3"/>
        <v>0</v>
      </c>
      <c r="F26" s="1">
        <v>34.799999999999997</v>
      </c>
      <c r="G26" s="1">
        <v>418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A27" s="1" t="s">
        <v>85</v>
      </c>
      <c r="B27" s="1">
        <f>VLOOKUP(A27,'feuille de base Mars 2016'!B:C,2,FALSE)</f>
        <v>33.15</v>
      </c>
      <c r="C27" s="1">
        <f>VLOOKUP(A27,'feuille de base Mars 2016'!B:F,5,FALSE)</f>
        <v>0</v>
      </c>
      <c r="D27" s="1">
        <f t="shared" si="2"/>
        <v>0</v>
      </c>
      <c r="E27" s="1">
        <f t="shared" si="3"/>
        <v>0</v>
      </c>
      <c r="F27" s="1">
        <v>34.799999999999997</v>
      </c>
      <c r="G27" s="1">
        <v>418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A28" s="1" t="s">
        <v>86</v>
      </c>
      <c r="B28" s="1">
        <f>VLOOKUP(A28,'feuille de base Mars 2016'!B:C,2,FALSE)</f>
        <v>42.26</v>
      </c>
      <c r="C28" s="1">
        <f>VLOOKUP(A28,'feuille de base Mars 2016'!B:F,5,FALSE)</f>
        <v>0</v>
      </c>
      <c r="D28" s="1">
        <f t="shared" si="2"/>
        <v>0</v>
      </c>
      <c r="E28" s="1">
        <f t="shared" si="3"/>
        <v>0</v>
      </c>
      <c r="F28" s="1">
        <v>34.799999999999997</v>
      </c>
      <c r="G28" s="1">
        <v>418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1" t="s">
        <v>87</v>
      </c>
      <c r="B29" s="1">
        <f>VLOOKUP(A29,'feuille de base Mars 2016'!B:C,2,FALSE)</f>
        <v>51.12</v>
      </c>
      <c r="C29" s="1">
        <f>VLOOKUP(A29,'feuille de base Mars 2016'!B:F,5,FALSE)</f>
        <v>0</v>
      </c>
      <c r="D29" s="1">
        <f t="shared" si="2"/>
        <v>0</v>
      </c>
      <c r="E29" s="1">
        <f t="shared" si="3"/>
        <v>0</v>
      </c>
      <c r="F29" s="1">
        <v>34.799999999999997</v>
      </c>
      <c r="G29" s="1">
        <v>418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1" t="s">
        <v>88</v>
      </c>
      <c r="B30" s="1">
        <f>VLOOKUP(A30,'feuille de base Mars 2016'!B:C,2,FALSE)</f>
        <v>0</v>
      </c>
      <c r="C30" s="1">
        <f>VLOOKUP(A30,'feuille de base Mars 2016'!B:F,5,FALSE)</f>
        <v>0</v>
      </c>
      <c r="D30" s="1">
        <f t="shared" si="2"/>
        <v>0</v>
      </c>
      <c r="E30" s="1">
        <f t="shared" si="3"/>
        <v>0</v>
      </c>
      <c r="F30" s="1">
        <v>34.799999999999997</v>
      </c>
      <c r="G30" s="1">
        <v>418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1" t="s">
        <v>89</v>
      </c>
      <c r="B31" s="1">
        <f>VLOOKUP(A31,'feuille de base Mars 2016'!B:C,2,FALSE)</f>
        <v>39.799999999999997</v>
      </c>
      <c r="C31" s="1">
        <f>VLOOKUP(A31,'feuille de base Mars 2016'!B:F,5,FALSE)</f>
        <v>0</v>
      </c>
      <c r="D31" s="1">
        <f t="shared" si="2"/>
        <v>0</v>
      </c>
      <c r="E31" s="1">
        <f t="shared" si="3"/>
        <v>0</v>
      </c>
      <c r="F31" s="1">
        <v>34.799999999999997</v>
      </c>
      <c r="G31" s="1">
        <v>418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1" t="s">
        <v>90</v>
      </c>
      <c r="B32" s="1">
        <f>VLOOKUP(A32,'feuille de base Mars 2016'!B:C,2,FALSE)</f>
        <v>37.43</v>
      </c>
      <c r="C32" s="1">
        <f>VLOOKUP(A32,'feuille de base Mars 2016'!B:F,5,FALSE)</f>
        <v>0</v>
      </c>
      <c r="D32" s="1">
        <f t="shared" si="2"/>
        <v>0</v>
      </c>
      <c r="E32" s="1">
        <f t="shared" si="3"/>
        <v>0</v>
      </c>
      <c r="F32" s="1">
        <v>34.799999999999997</v>
      </c>
      <c r="G32" s="1">
        <v>418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1" t="s">
        <v>91</v>
      </c>
      <c r="B33" s="1">
        <f>VLOOKUP(A33,'feuille de base Mars 2016'!B:C,2,FALSE)</f>
        <v>43.412580000000005</v>
      </c>
      <c r="C33" s="1">
        <f>VLOOKUP(A33,'feuille de base Mars 2016'!B:F,5,FALSE)</f>
        <v>0</v>
      </c>
      <c r="D33" s="1">
        <f t="shared" si="2"/>
        <v>0</v>
      </c>
      <c r="E33" s="1">
        <f t="shared" si="3"/>
        <v>0</v>
      </c>
      <c r="F33" s="1">
        <v>34.799999999999997</v>
      </c>
      <c r="G33" s="1">
        <v>418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1" t="s">
        <v>92</v>
      </c>
      <c r="B34" s="1">
        <f>VLOOKUP(A34,'feuille de base Mars 2016'!B:C,2,FALSE)</f>
        <v>60.57</v>
      </c>
      <c r="C34" s="1">
        <f>VLOOKUP(A34,'feuille de base Mars 2016'!B:F,5,FALSE)</f>
        <v>0</v>
      </c>
      <c r="D34" s="1">
        <f t="shared" si="2"/>
        <v>0</v>
      </c>
      <c r="E34" s="1">
        <f t="shared" si="3"/>
        <v>0</v>
      </c>
      <c r="F34" s="1">
        <v>34.799999999999997</v>
      </c>
      <c r="G34" s="1">
        <v>418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1" t="s">
        <v>93</v>
      </c>
      <c r="B35" s="1">
        <f>VLOOKUP(A35,'feuille de base Mars 2016'!B:C,2,FALSE)</f>
        <v>63.36</v>
      </c>
      <c r="C35" s="1">
        <f>VLOOKUP(A35,'feuille de base Mars 2016'!B:F,5,FALSE)</f>
        <v>0</v>
      </c>
      <c r="D35" s="1">
        <f t="shared" si="2"/>
        <v>0</v>
      </c>
      <c r="E35" s="1">
        <f t="shared" si="3"/>
        <v>0</v>
      </c>
      <c r="F35" s="1">
        <v>34.799999999999997</v>
      </c>
      <c r="G35" s="1">
        <v>418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5">
      <c r="A36" s="1" t="s">
        <v>94</v>
      </c>
      <c r="B36" s="1">
        <f>VLOOKUP(A36,'feuille de base Mars 2016'!B:C,2,FALSE)</f>
        <v>31.45</v>
      </c>
      <c r="C36" s="1">
        <f>VLOOKUP(A36,'feuille de base Mars 2016'!B:F,5,FALSE)</f>
        <v>0</v>
      </c>
      <c r="D36" s="1">
        <f t="shared" si="2"/>
        <v>0</v>
      </c>
      <c r="E36" s="1">
        <f t="shared" si="3"/>
        <v>0</v>
      </c>
      <c r="F36" s="1">
        <v>34.799999999999997</v>
      </c>
      <c r="G36" s="1">
        <v>418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5">
      <c r="A37" s="1" t="s">
        <v>95</v>
      </c>
      <c r="B37" s="1">
        <f>VLOOKUP(A37,'feuille de base Mars 2016'!B:C,2,FALSE)</f>
        <v>66.45</v>
      </c>
      <c r="C37" s="1">
        <f>VLOOKUP(A37,'feuille de base Mars 2016'!B:F,5,FALSE)</f>
        <v>0</v>
      </c>
      <c r="D37" s="1">
        <f t="shared" si="2"/>
        <v>0</v>
      </c>
      <c r="E37" s="1">
        <f t="shared" ref="E37:E65" si="6">(D37/1000)*B37</f>
        <v>0</v>
      </c>
      <c r="F37" s="1">
        <v>34.799999999999997</v>
      </c>
      <c r="G37" s="1">
        <v>418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5">
      <c r="A38" s="1" t="s">
        <v>96</v>
      </c>
      <c r="B38" s="1">
        <f>VLOOKUP(A38,'feuille de base Mars 2016'!B:C,2,FALSE)</f>
        <v>40.816960000000002</v>
      </c>
      <c r="C38" s="1">
        <f>VLOOKUP(A38,'feuille de base Mars 2016'!B:F,5,FALSE)</f>
        <v>0</v>
      </c>
      <c r="D38" s="1">
        <f t="shared" si="2"/>
        <v>0</v>
      </c>
      <c r="E38" s="1">
        <f t="shared" si="6"/>
        <v>0</v>
      </c>
      <c r="F38" s="1">
        <v>34.799999999999997</v>
      </c>
      <c r="G38" s="1">
        <v>418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5">
      <c r="A39" s="1" t="s">
        <v>97</v>
      </c>
      <c r="B39" s="1">
        <f>VLOOKUP(A39,'feuille de base Mars 2016'!B:C,2,FALSE)</f>
        <v>12.81</v>
      </c>
      <c r="C39" s="1">
        <f>VLOOKUP(A39,'feuille de base Mars 2016'!B:F,5,FALSE)</f>
        <v>0</v>
      </c>
      <c r="D39" s="1">
        <f t="shared" si="2"/>
        <v>0</v>
      </c>
      <c r="E39" s="1">
        <f t="shared" si="6"/>
        <v>0</v>
      </c>
      <c r="F39" s="1">
        <v>34.799999999999997</v>
      </c>
      <c r="G39" s="1">
        <v>418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1" t="s">
        <v>98</v>
      </c>
      <c r="B40" s="1">
        <f>VLOOKUP(A40,'feuille de base Mars 2016'!B:C,2,FALSE)</f>
        <v>17.68</v>
      </c>
      <c r="C40" s="1">
        <f>VLOOKUP(A40,'feuille de base Mars 2016'!B:F,5,FALSE)</f>
        <v>0</v>
      </c>
      <c r="D40" s="1">
        <f t="shared" si="2"/>
        <v>0</v>
      </c>
      <c r="E40" s="1">
        <f t="shared" si="6"/>
        <v>0</v>
      </c>
      <c r="F40" s="1">
        <v>34.799999999999997</v>
      </c>
      <c r="G40" s="1">
        <v>418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25">
      <c r="A41" s="1" t="s">
        <v>99</v>
      </c>
      <c r="B41" s="1">
        <f>VLOOKUP(A41,'feuille de base Mars 2016'!B:C,2,FALSE)</f>
        <v>23.4</v>
      </c>
      <c r="C41" s="1">
        <f>VLOOKUP(A41,'feuille de base Mars 2016'!B:F,5,FALSE)</f>
        <v>0</v>
      </c>
      <c r="D41" s="1">
        <f t="shared" si="2"/>
        <v>0</v>
      </c>
      <c r="E41" s="1">
        <f t="shared" si="6"/>
        <v>0</v>
      </c>
      <c r="F41" s="1">
        <v>34.799999999999997</v>
      </c>
      <c r="G41" s="1">
        <v>418</v>
      </c>
      <c r="H41" s="1"/>
      <c r="I41" s="1"/>
      <c r="J41" s="1"/>
      <c r="K41" s="1"/>
      <c r="L41" s="1"/>
      <c r="M41" s="1"/>
      <c r="N41" s="1"/>
      <c r="O41" s="1">
        <v>0</v>
      </c>
      <c r="P41" s="1"/>
      <c r="Q41" s="1"/>
      <c r="R41" s="1"/>
      <c r="S41" s="1"/>
      <c r="T41" s="1"/>
      <c r="U41" s="1"/>
    </row>
    <row r="42" spans="1:21" x14ac:dyDescent="0.25">
      <c r="A42" s="1" t="s">
        <v>100</v>
      </c>
      <c r="B42" s="1">
        <f>VLOOKUP(A42,'feuille de base Mars 2016'!B:C,2,FALSE)</f>
        <v>44.8</v>
      </c>
      <c r="C42" s="1">
        <f>VLOOKUP(A42,'feuille de base Mars 2016'!B:F,5,FALSE)</f>
        <v>0</v>
      </c>
      <c r="D42" s="1">
        <f t="shared" si="2"/>
        <v>0</v>
      </c>
      <c r="E42" s="1">
        <f t="shared" si="6"/>
        <v>0</v>
      </c>
      <c r="F42" s="1">
        <v>34.799999999999997</v>
      </c>
      <c r="G42" s="1">
        <v>418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25">
      <c r="A43" s="1" t="s">
        <v>101</v>
      </c>
      <c r="B43" s="1">
        <f>VLOOKUP(A43,'feuille de base Mars 2016'!B:C,2,FALSE)</f>
        <v>21.65</v>
      </c>
      <c r="C43" s="1">
        <f>VLOOKUP(A43,'feuille de base Mars 2016'!B:F,5,FALSE)</f>
        <v>0</v>
      </c>
      <c r="D43" s="1">
        <f t="shared" si="2"/>
        <v>0</v>
      </c>
      <c r="E43" s="1">
        <f t="shared" si="6"/>
        <v>0</v>
      </c>
      <c r="F43" s="1">
        <v>34.799999999999997</v>
      </c>
      <c r="G43" s="1">
        <v>418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25">
      <c r="A44" s="1" t="s">
        <v>102</v>
      </c>
      <c r="B44" s="1">
        <f>VLOOKUP(A44,'feuille de base Mars 2016'!B:C,2,FALSE)</f>
        <v>13.87</v>
      </c>
      <c r="C44" s="1">
        <f>VLOOKUP(A44,'feuille de base Mars 2016'!B:F,5,FALSE)</f>
        <v>0</v>
      </c>
      <c r="D44" s="1">
        <f t="shared" si="2"/>
        <v>0</v>
      </c>
      <c r="E44" s="1">
        <f t="shared" si="6"/>
        <v>0</v>
      </c>
      <c r="F44" s="1">
        <v>34.799999999999997</v>
      </c>
      <c r="G44" s="1">
        <v>418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25">
      <c r="A45" s="1" t="s">
        <v>103</v>
      </c>
      <c r="B45" s="1">
        <f>VLOOKUP(A45,'feuille de base Mars 2016'!B:C,2,FALSE)</f>
        <v>37.229880000000009</v>
      </c>
      <c r="C45" s="1">
        <f>VLOOKUP(A45,'feuille de base Mars 2016'!B:F,5,FALSE)</f>
        <v>1.06E-2</v>
      </c>
      <c r="D45" s="1">
        <f t="shared" si="2"/>
        <v>368.88</v>
      </c>
      <c r="E45" s="1">
        <f t="shared" si="6"/>
        <v>13.733358134400003</v>
      </c>
      <c r="F45" s="1">
        <v>34.799999999999997</v>
      </c>
      <c r="G45" s="1">
        <v>418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25">
      <c r="A46" s="1" t="s">
        <v>104</v>
      </c>
      <c r="B46" s="1">
        <f>VLOOKUP(A46,'feuille de base Mars 2016'!B:C,2,FALSE)</f>
        <v>36.799999999999997</v>
      </c>
      <c r="C46" s="1">
        <f>VLOOKUP(A46,'feuille de base Mars 2016'!B:F,5,FALSE)</f>
        <v>0</v>
      </c>
      <c r="D46" s="1">
        <f t="shared" si="2"/>
        <v>0</v>
      </c>
      <c r="E46" s="1">
        <f t="shared" si="6"/>
        <v>0</v>
      </c>
      <c r="F46" s="1">
        <v>34.799999999999997</v>
      </c>
      <c r="G46" s="1">
        <v>418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25">
      <c r="A47" s="1" t="s">
        <v>105</v>
      </c>
      <c r="B47" s="1">
        <f>VLOOKUP(A47,'feuille de base Mars 2016'!B:C,2,FALSE)</f>
        <v>12.922400000000001</v>
      </c>
      <c r="C47" s="1">
        <f>VLOOKUP(A47,'feuille de base Mars 2016'!B:F,5,FALSE)</f>
        <v>0</v>
      </c>
      <c r="D47" s="1">
        <f t="shared" si="2"/>
        <v>0</v>
      </c>
      <c r="E47" s="1">
        <f t="shared" si="6"/>
        <v>0</v>
      </c>
      <c r="F47" s="1">
        <v>34.799999999999997</v>
      </c>
      <c r="G47" s="1">
        <v>418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25">
      <c r="A48" s="1" t="s">
        <v>106</v>
      </c>
      <c r="B48" s="1">
        <f>VLOOKUP(A48,'feuille de base Mars 2016'!B:C,2,FALSE)</f>
        <v>13.5</v>
      </c>
      <c r="C48" s="1">
        <f>VLOOKUP(A48,'feuille de base Mars 2016'!B:F,5,FALSE)</f>
        <v>0</v>
      </c>
      <c r="D48" s="1">
        <f t="shared" si="2"/>
        <v>0</v>
      </c>
      <c r="E48" s="1">
        <f t="shared" si="6"/>
        <v>0</v>
      </c>
      <c r="F48" s="1">
        <v>34.799999999999997</v>
      </c>
      <c r="G48" s="1">
        <v>418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5">
      <c r="A49" s="1" t="s">
        <v>107</v>
      </c>
      <c r="B49" s="1">
        <f>VLOOKUP(A49,'feuille de base Mars 2016'!B:C,2,FALSE)</f>
        <v>36.650600000000004</v>
      </c>
      <c r="C49" s="1">
        <f>VLOOKUP(A49,'feuille de base Mars 2016'!B:F,5,FALSE)</f>
        <v>0</v>
      </c>
      <c r="D49" s="1">
        <f t="shared" si="2"/>
        <v>0</v>
      </c>
      <c r="E49" s="1">
        <f t="shared" si="6"/>
        <v>0</v>
      </c>
      <c r="F49" s="1">
        <v>34.799999999999997</v>
      </c>
      <c r="G49" s="1">
        <v>418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25">
      <c r="A50" s="1" t="s">
        <v>108</v>
      </c>
      <c r="B50" s="1">
        <f>VLOOKUP(A50,'feuille de base Mars 2016'!B:C,2,FALSE)</f>
        <v>13.145200000000003</v>
      </c>
      <c r="C50" s="1">
        <f>VLOOKUP(A50,'feuille de base Mars 2016'!B:F,5,FALSE)</f>
        <v>0</v>
      </c>
      <c r="D50" s="1">
        <f t="shared" si="2"/>
        <v>0</v>
      </c>
      <c r="E50" s="1">
        <f t="shared" si="6"/>
        <v>0</v>
      </c>
      <c r="F50" s="1">
        <v>34.799999999999997</v>
      </c>
      <c r="G50" s="1">
        <v>418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25">
      <c r="A51" s="1" t="s">
        <v>109</v>
      </c>
      <c r="B51" s="1">
        <f>VLOOKUP(A51,'feuille de base Mars 2016'!B:C,2,FALSE)</f>
        <v>88.006000000000014</v>
      </c>
      <c r="C51" s="1">
        <f>VLOOKUP(A51,'feuille de base Mars 2016'!B:F,5,FALSE)</f>
        <v>0</v>
      </c>
      <c r="D51" s="1">
        <f t="shared" si="2"/>
        <v>0</v>
      </c>
      <c r="E51" s="1">
        <f t="shared" si="6"/>
        <v>0</v>
      </c>
      <c r="F51" s="1">
        <v>34.799999999999997</v>
      </c>
      <c r="G51" s="1">
        <v>418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25">
      <c r="A52" s="1" t="s">
        <v>110</v>
      </c>
      <c r="B52" s="1">
        <f>VLOOKUP(A52,'feuille de base Mars 2016'!B:C,2,FALSE)</f>
        <v>64.849999999999994</v>
      </c>
      <c r="C52" s="1">
        <f>VLOOKUP(A52,'feuille de base Mars 2016'!B:F,5,FALSE)</f>
        <v>0</v>
      </c>
      <c r="D52" s="1">
        <f t="shared" si="2"/>
        <v>0</v>
      </c>
      <c r="E52" s="1">
        <f t="shared" si="6"/>
        <v>0</v>
      </c>
      <c r="F52" s="1">
        <v>34.799999999999997</v>
      </c>
      <c r="G52" s="1">
        <v>418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25">
      <c r="A53" s="1" t="s">
        <v>111</v>
      </c>
      <c r="B53" s="1">
        <f>VLOOKUP(A53,'feuille de base Mars 2016'!B:C,2,FALSE)</f>
        <v>37.096200000000003</v>
      </c>
      <c r="C53" s="1">
        <f>VLOOKUP(A53,'feuille de base Mars 2016'!B:F,5,FALSE)</f>
        <v>0</v>
      </c>
      <c r="D53" s="1">
        <f t="shared" si="2"/>
        <v>0</v>
      </c>
      <c r="E53" s="1">
        <f t="shared" si="6"/>
        <v>0</v>
      </c>
      <c r="F53" s="1">
        <v>34.799999999999997</v>
      </c>
      <c r="G53" s="1">
        <v>418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25">
      <c r="A54" s="1" t="s">
        <v>112</v>
      </c>
      <c r="B54" s="1">
        <f>VLOOKUP(A54,'feuille de base Mars 2016'!B:C,2,FALSE)</f>
        <v>80.631320000000002</v>
      </c>
      <c r="C54" s="1">
        <f>VLOOKUP(A54,'feuille de base Mars 2016'!B:F,5,FALSE)</f>
        <v>0</v>
      </c>
      <c r="D54" s="1">
        <f t="shared" si="2"/>
        <v>0</v>
      </c>
      <c r="E54" s="1">
        <f t="shared" si="6"/>
        <v>0</v>
      </c>
      <c r="F54" s="1">
        <v>34.799999999999997</v>
      </c>
      <c r="G54" s="1">
        <v>418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25">
      <c r="A55" s="1" t="s">
        <v>113</v>
      </c>
      <c r="B55" s="1">
        <f>VLOOKUP(A55,'feuille de base Mars 2016'!B:C,2,FALSE)</f>
        <v>48.3476</v>
      </c>
      <c r="C55" s="1">
        <f>VLOOKUP(A55,'feuille de base Mars 2016'!B:F,5,FALSE)</f>
        <v>1.1000000000000001E-3</v>
      </c>
      <c r="D55" s="1">
        <f t="shared" si="2"/>
        <v>38.28</v>
      </c>
      <c r="E55" s="1">
        <f t="shared" si="6"/>
        <v>1.8507461280000002</v>
      </c>
      <c r="F55" s="1">
        <v>34.799999999999997</v>
      </c>
      <c r="G55" s="1">
        <v>418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25">
      <c r="A56" s="1" t="s">
        <v>114</v>
      </c>
      <c r="B56" s="1">
        <f>VLOOKUP(A56,'feuille de base Mars 2016'!B:C,2,FALSE)</f>
        <v>29.98</v>
      </c>
      <c r="C56" s="1">
        <f>VLOOKUP(A56,'feuille de base Mars 2016'!B:F,5,FALSE)</f>
        <v>0</v>
      </c>
      <c r="D56" s="1">
        <f t="shared" si="2"/>
        <v>0</v>
      </c>
      <c r="E56" s="1">
        <f t="shared" si="6"/>
        <v>0</v>
      </c>
      <c r="F56" s="1">
        <v>34.799999999999997</v>
      </c>
      <c r="G56" s="1">
        <v>418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25">
      <c r="A57" s="1" t="s">
        <v>115</v>
      </c>
      <c r="B57" s="1">
        <f>VLOOKUP(A57,'feuille de base Mars 2016'!B:C,2,FALSE)</f>
        <v>40.200000000000003</v>
      </c>
      <c r="C57" s="1">
        <f>VLOOKUP(A57,'feuille de base Mars 2016'!B:F,5,FALSE)</f>
        <v>0</v>
      </c>
      <c r="D57" s="1">
        <f t="shared" si="2"/>
        <v>0</v>
      </c>
      <c r="E57" s="1">
        <f t="shared" si="6"/>
        <v>0</v>
      </c>
      <c r="F57" s="1">
        <v>34.799999999999997</v>
      </c>
      <c r="G57" s="1">
        <v>418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25">
      <c r="A58" s="1" t="s">
        <v>116</v>
      </c>
      <c r="B58" s="1">
        <f>VLOOKUP(A58,'feuille de base Mars 2016'!B:C,2,FALSE)</f>
        <v>10.026000000000002</v>
      </c>
      <c r="C58" s="1">
        <f>VLOOKUP(A58,'feuille de base Mars 2016'!B:F,5,FALSE)</f>
        <v>0</v>
      </c>
      <c r="D58" s="1">
        <f t="shared" si="2"/>
        <v>0</v>
      </c>
      <c r="E58" s="1">
        <f t="shared" si="6"/>
        <v>0</v>
      </c>
      <c r="F58" s="1">
        <v>34.799999999999997</v>
      </c>
      <c r="G58" s="1">
        <v>418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25">
      <c r="A59" s="1" t="s">
        <v>117</v>
      </c>
      <c r="B59" s="1">
        <f>VLOOKUP(A59,'feuille de base Mars 2016'!B:C,2,FALSE)</f>
        <v>19.66</v>
      </c>
      <c r="C59" s="1">
        <f>VLOOKUP(A59,'feuille de base Mars 2016'!B:F,5,FALSE)</f>
        <v>0</v>
      </c>
      <c r="D59" s="1">
        <f t="shared" si="2"/>
        <v>0</v>
      </c>
      <c r="E59" s="1">
        <f t="shared" si="6"/>
        <v>0</v>
      </c>
      <c r="F59" s="1">
        <v>34.799999999999997</v>
      </c>
      <c r="G59" s="1">
        <v>418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25">
      <c r="A60" s="1" t="s">
        <v>118</v>
      </c>
      <c r="B60" s="1">
        <f>VLOOKUP(A60,'feuille de base Mars 2016'!B:C,2,FALSE)</f>
        <v>35.22</v>
      </c>
      <c r="C60" s="1">
        <f>VLOOKUP(A60,'feuille de base Mars 2016'!B:F,5,FALSE)</f>
        <v>0</v>
      </c>
      <c r="D60" s="1">
        <f t="shared" si="2"/>
        <v>0</v>
      </c>
      <c r="E60" s="1">
        <f t="shared" si="6"/>
        <v>0</v>
      </c>
      <c r="F60" s="1">
        <v>34.799999999999997</v>
      </c>
      <c r="G60" s="1">
        <v>418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25">
      <c r="A61" s="28" t="s">
        <v>119</v>
      </c>
      <c r="B61" s="1">
        <f>VLOOKUP(A61,'feuille de base Mars 2016'!B:C,2,FALSE)</f>
        <v>1.45</v>
      </c>
      <c r="C61" s="1">
        <f>VLOOKUP(A61,'feuille de base Mars 2016'!B:F,5,FALSE)</f>
        <v>2</v>
      </c>
      <c r="D61" s="1">
        <f>(C61*G61)</f>
        <v>836</v>
      </c>
      <c r="E61" s="1">
        <f t="shared" si="6"/>
        <v>1.2121999999999999</v>
      </c>
      <c r="F61" s="1">
        <v>34.799999999999997</v>
      </c>
      <c r="G61" s="1">
        <v>418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25">
      <c r="A62" s="28" t="s">
        <v>120</v>
      </c>
      <c r="B62" s="1">
        <f>VLOOKUP(A62,'feuille de base Mars 2016'!B:C,2,FALSE)</f>
        <v>7.798</v>
      </c>
      <c r="C62" s="1">
        <f>VLOOKUP(A62,'feuille de base Mars 2016'!B:F,5,FALSE)</f>
        <v>0.01</v>
      </c>
      <c r="D62" s="1">
        <f>(C62*F62)*1000</f>
        <v>348</v>
      </c>
      <c r="E62" s="1">
        <f t="shared" si="6"/>
        <v>2.7137039999999999</v>
      </c>
      <c r="F62" s="1">
        <v>34.799999999999997</v>
      </c>
      <c r="G62" s="1">
        <v>418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25">
      <c r="A63" s="28" t="s">
        <v>121</v>
      </c>
      <c r="B63" s="1">
        <f>VLOOKUP(A63,'feuille de base Mars 2016'!B:C,2,FALSE)</f>
        <v>8.3550000000000004</v>
      </c>
      <c r="C63" s="1">
        <f>VLOOKUP(A63,'feuille de base Mars 2016'!B:F,5,FALSE)</f>
        <v>0.01</v>
      </c>
      <c r="D63" s="1">
        <f>(C63*F63)*1000</f>
        <v>348</v>
      </c>
      <c r="E63" s="1">
        <f t="shared" si="6"/>
        <v>2.90754</v>
      </c>
      <c r="F63" s="1">
        <v>34.799999999999997</v>
      </c>
      <c r="G63" s="1">
        <v>418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25">
      <c r="A64" s="28" t="s">
        <v>122</v>
      </c>
      <c r="B64" s="1">
        <f>VLOOKUP(A64,'feuille de base Mars 2016'!B:C,2,FALSE)</f>
        <v>13.613799999999999</v>
      </c>
      <c r="C64" s="1">
        <f>VLOOKUP(A64,'feuille de base Mars 2016'!B:F,5,FALSE)</f>
        <v>1</v>
      </c>
      <c r="D64" s="1">
        <f>(C64*G64)</f>
        <v>418</v>
      </c>
      <c r="E64" s="1">
        <f t="shared" si="6"/>
        <v>5.6905683999999992</v>
      </c>
      <c r="F64" s="1">
        <v>34.799999999999997</v>
      </c>
      <c r="G64" s="1">
        <v>418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28" t="s">
        <v>123</v>
      </c>
      <c r="B65" s="1">
        <f>VLOOKUP(A65,'feuille de base Mars 2016'!B:C,2,FALSE)</f>
        <v>8.02</v>
      </c>
      <c r="C65" s="1">
        <f>VLOOKUP(A65,'feuille de base Mars 2016'!B:F,5,FALSE)</f>
        <v>0.5</v>
      </c>
      <c r="D65" s="1">
        <f>(C65*G65)</f>
        <v>209</v>
      </c>
      <c r="E65" s="1">
        <f t="shared" si="6"/>
        <v>1.6761799999999998</v>
      </c>
      <c r="F65" s="1">
        <v>34.799999999999997</v>
      </c>
      <c r="G65" s="1">
        <v>418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28" t="s">
        <v>126</v>
      </c>
      <c r="B66" s="1">
        <f>VLOOKUP(A66,'feuille de base Mars 2016'!B:C,2,FALSE)</f>
        <v>0.77</v>
      </c>
      <c r="C66" s="1">
        <f>VLOOKUP(A66,'feuille de base Mars 2016'!B:F,5,FALSE)</f>
        <v>0</v>
      </c>
      <c r="D66" s="1"/>
      <c r="E66" s="1"/>
      <c r="F66" s="1">
        <v>34.799999999999997</v>
      </c>
      <c r="G66" s="1">
        <v>418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28" t="s">
        <v>124</v>
      </c>
      <c r="B67" s="1">
        <f>VLOOKUP(A67,'feuille de base Mars 2016'!B:C,2,FALSE)</f>
        <v>1.45</v>
      </c>
      <c r="C67" s="1">
        <f>VLOOKUP(A67,'feuille de base Mars 2016'!B:F,5,FALSE)</f>
        <v>2</v>
      </c>
      <c r="D67" s="1">
        <f>(C67*G67)</f>
        <v>836</v>
      </c>
      <c r="E67" s="1">
        <f t="shared" ref="E67:E72" si="7">(D67/1000)*B67</f>
        <v>1.2121999999999999</v>
      </c>
      <c r="F67" s="1">
        <v>34.799999999999997</v>
      </c>
      <c r="G67" s="1">
        <v>418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28" t="s">
        <v>125</v>
      </c>
      <c r="B68" s="1">
        <f>VLOOKUP(A68,'feuille de base Mars 2016'!B:C,2,FALSE)</f>
        <v>3.2519999999999998</v>
      </c>
      <c r="C68" s="1">
        <f>VLOOKUP(A68,'feuille de base Mars 2016'!B:F,5,FALSE)</f>
        <v>0</v>
      </c>
      <c r="D68" s="1">
        <f>(C68*F68)*1000</f>
        <v>0</v>
      </c>
      <c r="E68" s="1">
        <f t="shared" si="7"/>
        <v>0</v>
      </c>
      <c r="F68" s="1">
        <v>34.799999999999997</v>
      </c>
      <c r="G68" s="1">
        <v>418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28" t="s">
        <v>127</v>
      </c>
      <c r="B69" s="1">
        <f>VLOOKUP(A69,'feuille de base Mars 2016'!B:C,2,FALSE)</f>
        <v>1.4</v>
      </c>
      <c r="C69" s="1">
        <f>VLOOKUP(A69,'feuille de base Mars 2016'!B:F,5,FALSE)</f>
        <v>0</v>
      </c>
      <c r="D69" s="1">
        <f>(C69*G69)</f>
        <v>0</v>
      </c>
      <c r="E69" s="1">
        <f t="shared" si="7"/>
        <v>0</v>
      </c>
      <c r="F69" s="1">
        <v>34.799999999999997</v>
      </c>
      <c r="G69" s="1">
        <v>418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28" t="s">
        <v>134</v>
      </c>
      <c r="B70" s="1">
        <f>VLOOKUP(A70,'feuille de base Mars 2016'!B:C,2,FALSE)</f>
        <v>7.35</v>
      </c>
      <c r="C70" s="1">
        <f>VLOOKUP(A70,'feuille de base Mars 2016'!B:F,5,FALSE)</f>
        <v>0</v>
      </c>
      <c r="D70" s="1">
        <f>(C70*G70)</f>
        <v>0</v>
      </c>
      <c r="E70" s="1">
        <f t="shared" si="7"/>
        <v>0</v>
      </c>
      <c r="F70" s="1">
        <v>34.799999999999997</v>
      </c>
      <c r="G70" s="1">
        <v>418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28" t="s">
        <v>135</v>
      </c>
      <c r="B71" s="1">
        <f>VLOOKUP(A71,'feuille de base Mars 2016'!B:C,2,FALSE)</f>
        <v>4.2332000000000001</v>
      </c>
      <c r="C71" s="1">
        <f>VLOOKUP(A71,'feuille de base Mars 2016'!B:F,5,FALSE)</f>
        <v>0</v>
      </c>
      <c r="D71" s="1">
        <f>(C71*G71)</f>
        <v>0</v>
      </c>
      <c r="E71" s="1">
        <f t="shared" si="7"/>
        <v>0</v>
      </c>
      <c r="F71" s="1">
        <v>34.799999999999997</v>
      </c>
      <c r="G71" s="1">
        <v>418</v>
      </c>
      <c r="H71" s="1"/>
      <c r="I71" s="1"/>
      <c r="J71" s="1"/>
      <c r="K71" s="1"/>
      <c r="L71" s="1"/>
      <c r="M71" s="1"/>
      <c r="N71" s="1"/>
      <c r="O71" s="28">
        <f>SUM(O22:O70)</f>
        <v>211599.95999999996</v>
      </c>
      <c r="P71" s="28">
        <f>O71/3600</f>
        <v>58.777766666666658</v>
      </c>
      <c r="Q71" s="28">
        <f>SUM(Q22:Q24)</f>
        <v>3.3833333333333333</v>
      </c>
      <c r="R71" s="28"/>
      <c r="S71" s="28"/>
      <c r="T71" s="28">
        <f>SUM(T22:T25)</f>
        <v>15.736335694444442</v>
      </c>
      <c r="U71" s="1"/>
    </row>
    <row r="72" spans="1:21" x14ac:dyDescent="0.25">
      <c r="A72" s="28" t="s">
        <v>138</v>
      </c>
      <c r="B72" s="1">
        <f>VLOOKUP(A72,'feuille de base Mars 2016'!B:C,2,FALSE)</f>
        <v>6.6412000000000004</v>
      </c>
      <c r="C72" s="1">
        <f>VLOOKUP(A72,'feuille de base Mars 2016'!B:F,5,FALSE)</f>
        <v>0</v>
      </c>
      <c r="D72" s="1">
        <f>(C72*G72)</f>
        <v>0</v>
      </c>
      <c r="E72" s="1">
        <f t="shared" si="7"/>
        <v>0</v>
      </c>
      <c r="F72" s="1">
        <v>34.799999999999997</v>
      </c>
      <c r="G72" s="1">
        <v>418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6"/>
      <c r="B73" s="16"/>
      <c r="C73" s="16"/>
      <c r="D73" s="16"/>
      <c r="E73" s="29">
        <f>SUM(E22:E72)</f>
        <v>66.237760662399992</v>
      </c>
      <c r="F73" s="16"/>
      <c r="G73" s="16"/>
      <c r="H73" s="16"/>
      <c r="I73" s="16"/>
      <c r="J73" s="16"/>
      <c r="K73" s="16"/>
      <c r="L73" s="16"/>
      <c r="M73" s="16"/>
      <c r="N73" s="16"/>
    </row>
    <row r="74" spans="1:21" x14ac:dyDescent="0.25">
      <c r="A74" s="54" t="s">
        <v>185</v>
      </c>
      <c r="B74" s="54">
        <f>E73+T71+L23</f>
        <v>89.52402445684443</v>
      </c>
      <c r="C74" s="16"/>
      <c r="D74" s="16"/>
      <c r="E74" s="29"/>
      <c r="F74" s="16"/>
      <c r="G74" s="16"/>
      <c r="H74" s="16"/>
      <c r="I74" s="16"/>
      <c r="J74" s="16"/>
      <c r="K74" s="16"/>
      <c r="L74" s="16"/>
      <c r="M74" s="16"/>
      <c r="N74" s="16"/>
    </row>
    <row r="75" spans="1:21" x14ac:dyDescent="0.25">
      <c r="A75" s="16"/>
      <c r="B75" s="16"/>
      <c r="C75" s="16"/>
      <c r="D75" s="16"/>
      <c r="E75" s="29"/>
      <c r="F75" s="16"/>
      <c r="G75" s="16"/>
      <c r="H75" s="16"/>
      <c r="I75" s="16"/>
      <c r="J75" s="16"/>
      <c r="K75" s="16"/>
      <c r="L75" s="16"/>
      <c r="M75" s="16"/>
      <c r="N75" s="16"/>
    </row>
    <row r="76" spans="1:21" x14ac:dyDescent="0.25">
      <c r="A76" s="56" t="s">
        <v>196</v>
      </c>
      <c r="B76" s="55">
        <f>E88+L86+T87</f>
        <v>13.78320645</v>
      </c>
      <c r="C76" s="30"/>
      <c r="D76" s="30"/>
      <c r="F76" s="30"/>
      <c r="G76" s="30"/>
      <c r="H76" s="30"/>
      <c r="I76" s="30"/>
      <c r="J76" s="30"/>
      <c r="K76" s="30"/>
      <c r="L76" s="30"/>
      <c r="M76" s="30"/>
      <c r="N76" s="30"/>
    </row>
    <row r="77" spans="1:21" x14ac:dyDescent="0.25">
      <c r="A77" s="34" t="s">
        <v>152</v>
      </c>
    </row>
    <row r="78" spans="1:21" x14ac:dyDescent="0.25">
      <c r="A78" s="32" t="s">
        <v>183</v>
      </c>
      <c r="B78" s="32"/>
      <c r="C78" s="32" t="s">
        <v>181</v>
      </c>
      <c r="D78" s="32"/>
      <c r="E78" s="32"/>
      <c r="F78" s="32"/>
      <c r="G78" s="32"/>
      <c r="H78" s="32"/>
      <c r="I78" s="32" t="s">
        <v>165</v>
      </c>
      <c r="J78" s="32" t="s">
        <v>180</v>
      </c>
      <c r="K78" s="32" t="s">
        <v>167</v>
      </c>
      <c r="L78" s="32" t="s">
        <v>168</v>
      </c>
      <c r="M78" s="32" t="s">
        <v>226</v>
      </c>
      <c r="N78" s="32" t="s">
        <v>169</v>
      </c>
      <c r="O78" s="32" t="s">
        <v>170</v>
      </c>
      <c r="P78" s="32" t="s">
        <v>171</v>
      </c>
      <c r="Q78" s="32" t="s">
        <v>172</v>
      </c>
      <c r="R78" s="32" t="s">
        <v>173</v>
      </c>
      <c r="S78" s="32" t="s">
        <v>174</v>
      </c>
      <c r="T78" s="32" t="s">
        <v>175</v>
      </c>
      <c r="U78" s="32"/>
    </row>
    <row r="79" spans="1:21" x14ac:dyDescent="0.25">
      <c r="A79" s="26" t="s">
        <v>139</v>
      </c>
      <c r="B79" s="1">
        <f>VLOOKUP(A79,'feuille de base Mars 2016'!B:C,2,FALSE)</f>
        <v>1.4</v>
      </c>
      <c r="C79" s="1">
        <f>VLOOKUP(A79,'feuille de base Mars 2016'!B:F,5,FALSE)</f>
        <v>2</v>
      </c>
      <c r="D79" s="1">
        <f>(C79*G79)</f>
        <v>858</v>
      </c>
      <c r="E79" s="1">
        <f t="shared" ref="E79:E80" si="8">(D79/1000)*B79</f>
        <v>1.2011999999999998</v>
      </c>
      <c r="F79" s="1">
        <v>39</v>
      </c>
      <c r="G79" s="1">
        <v>429</v>
      </c>
      <c r="H79" s="1"/>
      <c r="I79" s="1"/>
      <c r="J79" s="1">
        <f>429</f>
        <v>429</v>
      </c>
      <c r="K79" s="1">
        <f>(J79*3.33)/1000</f>
        <v>1.4285699999999999</v>
      </c>
      <c r="L79" s="1">
        <f>K79*0.11</f>
        <v>0.1571427</v>
      </c>
      <c r="M79" s="1">
        <f>(J79/1000)*5.5</f>
        <v>2.3595000000000002</v>
      </c>
      <c r="N79" s="30"/>
      <c r="O79" s="1">
        <f>(4.18*429*(40-22))</f>
        <v>32277.959999999995</v>
      </c>
      <c r="P79" s="1">
        <f>O79/3600</f>
        <v>8.9660999999999991</v>
      </c>
      <c r="Q79">
        <v>0.5</v>
      </c>
      <c r="R79" s="1"/>
      <c r="S79" s="1"/>
      <c r="T79" s="1">
        <f>Q79*P79*0.134</f>
        <v>0.6007287</v>
      </c>
      <c r="U79" s="1"/>
    </row>
    <row r="80" spans="1:21" x14ac:dyDescent="0.25">
      <c r="A80" s="26" t="s">
        <v>140</v>
      </c>
      <c r="B80" s="1">
        <f>VLOOKUP(A80,'feuille de base Mars 2016'!B:C,2,FALSE)</f>
        <v>7.1070000000000002</v>
      </c>
      <c r="C80" s="1">
        <f>VLOOKUP(A80,'feuille de base Mars 2016'!B:F,5,FALSE)</f>
        <v>0.04</v>
      </c>
      <c r="D80" s="1">
        <f>(C80*F80)*1000</f>
        <v>1560</v>
      </c>
      <c r="E80" s="1">
        <f t="shared" si="8"/>
        <v>11.086920000000001</v>
      </c>
      <c r="F80" s="1">
        <v>39</v>
      </c>
      <c r="G80" s="1">
        <v>429</v>
      </c>
      <c r="H80" s="1"/>
      <c r="I80" s="1"/>
      <c r="J80" s="1"/>
      <c r="K80" s="1"/>
      <c r="L80" s="1"/>
      <c r="M80" s="1"/>
      <c r="N80" s="30"/>
      <c r="P80" s="1">
        <f t="shared" ref="P80:P83" si="9">O80/3600</f>
        <v>0</v>
      </c>
      <c r="R80" s="1"/>
      <c r="S80" s="1"/>
      <c r="T80" s="1">
        <f t="shared" ref="T80:T83" si="10">Q80*P80*0.134</f>
        <v>0</v>
      </c>
      <c r="U80" s="1"/>
    </row>
    <row r="81" spans="1:21" x14ac:dyDescent="0.25">
      <c r="A81" s="26" t="s">
        <v>141</v>
      </c>
      <c r="B81" s="1">
        <f>VLOOKUP(A81,'feuille de base Mars 2016'!B:C,2,FALSE)</f>
        <v>0.77</v>
      </c>
      <c r="C81" s="1">
        <f>VLOOKUP(A81,'feuille de base Mars 2016'!B:F,5,FALSE)</f>
        <v>0</v>
      </c>
      <c r="D81" s="1">
        <f>C81*G81</f>
        <v>0</v>
      </c>
      <c r="E81" s="1">
        <f>(D81/1000)*B81</f>
        <v>0</v>
      </c>
      <c r="F81" s="1">
        <v>39</v>
      </c>
      <c r="G81" s="1">
        <v>429</v>
      </c>
      <c r="H81" s="1"/>
      <c r="I81" s="1"/>
      <c r="J81" s="1"/>
      <c r="K81" s="1"/>
      <c r="L81" s="1">
        <f>(J79/1000)*1.19</f>
        <v>0.51051000000000002</v>
      </c>
      <c r="M81" s="1"/>
      <c r="N81" s="30"/>
      <c r="P81" s="1">
        <f t="shared" si="9"/>
        <v>0</v>
      </c>
      <c r="R81" s="1"/>
      <c r="S81" s="1"/>
      <c r="T81" s="1">
        <f t="shared" si="10"/>
        <v>0</v>
      </c>
      <c r="U81" s="1"/>
    </row>
    <row r="82" spans="1:21" x14ac:dyDescent="0.25">
      <c r="A82" s="26" t="s">
        <v>142</v>
      </c>
      <c r="B82" s="1">
        <f>VLOOKUP(A82,'feuille de base Mars 2016'!B:C,2,FALSE)</f>
        <v>10.130000000000001</v>
      </c>
      <c r="C82" s="1">
        <f>VLOOKUP(A82,'feuille de base Mars 2016'!B:F,5,FALSE)</f>
        <v>0</v>
      </c>
      <c r="D82" s="1">
        <f>(C82*F82)*1000</f>
        <v>0</v>
      </c>
      <c r="E82" s="1">
        <f>(D82/1000)*B82</f>
        <v>0</v>
      </c>
      <c r="F82" s="1">
        <v>39</v>
      </c>
      <c r="G82" s="1">
        <v>429</v>
      </c>
      <c r="H82" s="1"/>
      <c r="I82" s="1"/>
      <c r="J82" s="1"/>
      <c r="K82" s="1"/>
      <c r="L82" s="1"/>
      <c r="M82" s="1"/>
      <c r="N82" s="30"/>
      <c r="P82" s="1">
        <f t="shared" si="9"/>
        <v>0</v>
      </c>
      <c r="R82" s="1"/>
      <c r="S82" s="1"/>
      <c r="T82" s="1">
        <f t="shared" si="10"/>
        <v>0</v>
      </c>
      <c r="U82" s="1"/>
    </row>
    <row r="83" spans="1:21" x14ac:dyDescent="0.25">
      <c r="A83" s="26" t="s">
        <v>143</v>
      </c>
      <c r="B83" s="1">
        <f>VLOOKUP(A83,'feuille de base Mars 2016'!B:C,2,FALSE)</f>
        <v>7.35</v>
      </c>
      <c r="C83" s="1">
        <f>VLOOKUP(A83,'feuille de base Mars 2016'!B:F,5,FALSE)</f>
        <v>0</v>
      </c>
      <c r="D83" s="1">
        <f>C83*G83</f>
        <v>0</v>
      </c>
      <c r="E83" s="1">
        <f>(D83/1000)*B83</f>
        <v>0</v>
      </c>
      <c r="F83" s="1">
        <v>39</v>
      </c>
      <c r="G83" s="1">
        <v>429</v>
      </c>
      <c r="H83" s="1"/>
      <c r="I83" s="1"/>
      <c r="J83" s="1"/>
      <c r="K83" s="1"/>
      <c r="L83" s="1"/>
      <c r="M83" s="1"/>
      <c r="N83" s="30"/>
      <c r="P83" s="1">
        <f t="shared" si="9"/>
        <v>0</v>
      </c>
      <c r="R83" s="1"/>
      <c r="S83" s="1"/>
      <c r="T83" s="1">
        <f t="shared" si="10"/>
        <v>0</v>
      </c>
      <c r="U83" s="1"/>
    </row>
    <row r="84" spans="1:21" x14ac:dyDescent="0.25">
      <c r="A84" s="26" t="s">
        <v>146</v>
      </c>
      <c r="B84" s="1">
        <f>VLOOKUP(A84,'feuille de base Mars 2016'!B:C,2,FALSE)</f>
        <v>0.77</v>
      </c>
      <c r="C84" s="1">
        <f>VLOOKUP(A84,'feuille de base Mars 2016'!B:F,5,FALSE)</f>
        <v>0</v>
      </c>
      <c r="D84" s="1">
        <f>C84*G84</f>
        <v>0</v>
      </c>
      <c r="E84" s="1">
        <f>(D84/1000)*B84</f>
        <v>0</v>
      </c>
      <c r="F84" s="1">
        <v>39</v>
      </c>
      <c r="G84" s="1">
        <v>429</v>
      </c>
      <c r="H84" s="1"/>
      <c r="I84" s="1"/>
      <c r="J84" s="1"/>
      <c r="K84" s="1"/>
      <c r="L84" s="1"/>
      <c r="M84" s="1"/>
      <c r="N84" s="30"/>
      <c r="P84" s="1"/>
      <c r="R84" s="1"/>
      <c r="S84" s="1"/>
      <c r="T84" s="1">
        <f>Q84*P84*0.134</f>
        <v>0</v>
      </c>
      <c r="U84" s="1"/>
    </row>
    <row r="85" spans="1:21" x14ac:dyDescent="0.25">
      <c r="A85" s="26" t="s">
        <v>147</v>
      </c>
      <c r="B85" s="1">
        <f>VLOOKUP(A85,'feuille de base Mars 2016'!B:C,2,FALSE)</f>
        <v>1.45</v>
      </c>
      <c r="C85" s="1">
        <f>VLOOKUP(A85,'feuille de base Mars 2016'!B:F,5,FALSE)</f>
        <v>0.3</v>
      </c>
      <c r="D85" s="1">
        <f>(C85*G85)</f>
        <v>128.69999999999999</v>
      </c>
      <c r="E85" s="1">
        <f>(D85/1000)*B85</f>
        <v>0.18661499999999998</v>
      </c>
      <c r="F85" s="1">
        <v>39</v>
      </c>
      <c r="G85" s="1">
        <v>429</v>
      </c>
      <c r="H85" s="1"/>
      <c r="I85" s="1"/>
      <c r="J85" s="1"/>
      <c r="K85" s="1"/>
      <c r="L85" s="1"/>
      <c r="M85" s="1"/>
      <c r="N85" s="30"/>
      <c r="P85" s="1"/>
      <c r="R85" s="1"/>
      <c r="S85" s="1"/>
      <c r="T85" s="1"/>
      <c r="U85" s="1"/>
    </row>
    <row r="86" spans="1:21" x14ac:dyDescent="0.25">
      <c r="A86" s="26" t="s">
        <v>148</v>
      </c>
      <c r="B86" s="1">
        <f>VLOOKUP(A86,'feuille de base Mars 2016'!B:C,2,FALSE)</f>
        <v>4.9000000000000004</v>
      </c>
      <c r="C86" s="1">
        <f>VLOOKUP(A86,'feuille de base Mars 2016'!B:F,5,FALSE)</f>
        <v>0</v>
      </c>
      <c r="D86" s="1">
        <f>C86*F86</f>
        <v>0</v>
      </c>
      <c r="E86" s="1">
        <f t="shared" ref="E86:E87" si="11">(D86/1000)*B86</f>
        <v>0</v>
      </c>
      <c r="F86" s="1">
        <v>39</v>
      </c>
      <c r="G86" s="1">
        <v>429</v>
      </c>
      <c r="H86" s="1"/>
      <c r="I86" s="1"/>
      <c r="J86" s="1"/>
      <c r="K86" s="1"/>
      <c r="L86" s="1">
        <f>SUM(L79:L81)</f>
        <v>0.66765269999999999</v>
      </c>
      <c r="M86" s="1"/>
      <c r="N86" s="30"/>
      <c r="P86" s="1"/>
      <c r="R86" s="1"/>
      <c r="S86" s="1"/>
      <c r="T86" s="1"/>
      <c r="U86" s="1"/>
    </row>
    <row r="87" spans="1:21" x14ac:dyDescent="0.25">
      <c r="A87" s="26" t="s">
        <v>149</v>
      </c>
      <c r="B87" s="1">
        <f>VLOOKUP(A87,'feuille de base Mars 2016'!B:C,2,FALSE)</f>
        <v>1.335</v>
      </c>
      <c r="C87" s="1">
        <f>VLOOKUP(A87,'feuille de base Mars 2016'!B:F,5,FALSE)</f>
        <v>7.0000000000000007E-2</v>
      </c>
      <c r="D87" s="26">
        <f>C87*G87</f>
        <v>30.03</v>
      </c>
      <c r="E87" s="26">
        <f t="shared" si="11"/>
        <v>4.0090050000000002E-2</v>
      </c>
      <c r="F87" s="1">
        <v>39</v>
      </c>
      <c r="G87" s="1">
        <v>429</v>
      </c>
      <c r="H87" s="26"/>
      <c r="I87" s="26"/>
      <c r="J87" s="26"/>
      <c r="K87" s="26"/>
      <c r="L87" s="26"/>
      <c r="M87" s="26"/>
      <c r="N87" s="26"/>
      <c r="O87" s="26">
        <f>SUM(O79:O86)</f>
        <v>32277.959999999995</v>
      </c>
      <c r="P87" s="26">
        <f>O87/3600</f>
        <v>8.9660999999999991</v>
      </c>
      <c r="Q87" s="26">
        <f>SUM(Q79:Q86)</f>
        <v>0.5</v>
      </c>
      <c r="R87" s="26"/>
      <c r="S87" s="26"/>
      <c r="T87" s="26">
        <f>P87*0.134*Q87</f>
        <v>0.6007287</v>
      </c>
      <c r="U87" s="26"/>
    </row>
    <row r="88" spans="1:21" x14ac:dyDescent="0.25">
      <c r="A88" s="17"/>
      <c r="B88" s="17"/>
      <c r="C88" s="33"/>
      <c r="D88" s="17"/>
      <c r="E88" s="34">
        <f>SUM(E79:E87)</f>
        <v>12.514825050000001</v>
      </c>
      <c r="F88" s="17"/>
      <c r="G88" s="17"/>
      <c r="H88" s="17"/>
      <c r="I88" s="17"/>
      <c r="J88" s="17"/>
      <c r="K88" s="17"/>
      <c r="L88" s="17"/>
      <c r="M88" s="17"/>
      <c r="N88" s="17"/>
    </row>
  </sheetData>
  <conditionalFormatting sqref="Q42:Q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8">
    <dataValidation type="list" allowBlank="1" showInputMessage="1" showErrorMessage="1" sqref="B20 B78">
      <formula1>INDIRECT("listeprixcolorants[prix colorants]")</formula1>
    </dataValidation>
    <dataValidation type="list" allowBlank="1" showInputMessage="1" showErrorMessage="1" sqref="B16:B19">
      <formula1>listeprixprodprepa</formula1>
    </dataValidation>
    <dataValidation type="list" allowBlank="1" showInputMessage="1" showErrorMessage="1" sqref="C15:C20">
      <formula1>listepourprodprep</formula1>
    </dataValidation>
    <dataValidation type="list" allowBlank="1" showInputMessage="1" showErrorMessage="1" sqref="A61:A72">
      <formula1>prodteinture</formula1>
    </dataValidation>
    <dataValidation type="list" allowBlank="1" showInputMessage="1" showErrorMessage="1" sqref="A73:A76">
      <formula1>listeprodteint</formula1>
    </dataValidation>
    <dataValidation type="list" allowBlank="1" showInputMessage="1" showErrorMessage="1" sqref="A79:A87">
      <formula1>prodfix</formula1>
    </dataValidation>
    <dataValidation type="list" allowBlank="1" showInputMessage="1" showErrorMessage="1" sqref="A7:A13">
      <formula1>preparation</formula1>
    </dataValidation>
    <dataValidation type="list" allowBlank="1" showInputMessage="1" showErrorMessage="1" sqref="A22:A60">
      <formula1>colorant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6"/>
  <sheetViews>
    <sheetView workbookViewId="0">
      <selection activeCell="A17" sqref="A17"/>
    </sheetView>
  </sheetViews>
  <sheetFormatPr baseColWidth="10" defaultRowHeight="15" x14ac:dyDescent="0.25"/>
  <cols>
    <col min="1" max="1" width="45" customWidth="1"/>
  </cols>
  <sheetData>
    <row r="1" spans="1:1" x14ac:dyDescent="0.25">
      <c r="A1" t="s">
        <v>239</v>
      </c>
    </row>
    <row r="2" spans="1:1" x14ac:dyDescent="0.25">
      <c r="A2" t="s">
        <v>240</v>
      </c>
    </row>
    <row r="3" spans="1:1" x14ac:dyDescent="0.25">
      <c r="A3" t="s">
        <v>241</v>
      </c>
    </row>
    <row r="4" spans="1:1" x14ac:dyDescent="0.25">
      <c r="A4" t="s">
        <v>242</v>
      </c>
    </row>
    <row r="5" spans="1:1" x14ac:dyDescent="0.25">
      <c r="A5" t="s">
        <v>243</v>
      </c>
    </row>
    <row r="6" spans="1:1" x14ac:dyDescent="0.25">
      <c r="A6" t="s">
        <v>244</v>
      </c>
    </row>
    <row r="7" spans="1:1" x14ac:dyDescent="0.25">
      <c r="A7" t="s">
        <v>245</v>
      </c>
    </row>
    <row r="8" spans="1:1" x14ac:dyDescent="0.25">
      <c r="A8" t="s">
        <v>246</v>
      </c>
    </row>
    <row r="9" spans="1:1" x14ac:dyDescent="0.25">
      <c r="A9" t="s">
        <v>247</v>
      </c>
    </row>
    <row r="10" spans="1:1" x14ac:dyDescent="0.25">
      <c r="A10" t="s">
        <v>248</v>
      </c>
    </row>
    <row r="11" spans="1:1" x14ac:dyDescent="0.25">
      <c r="A11" t="s">
        <v>249</v>
      </c>
    </row>
    <row r="12" spans="1:1" x14ac:dyDescent="0.25">
      <c r="A12" t="s">
        <v>250</v>
      </c>
    </row>
    <row r="13" spans="1:1" x14ac:dyDescent="0.25">
      <c r="A13" t="s">
        <v>251</v>
      </c>
    </row>
    <row r="14" spans="1:1" x14ac:dyDescent="0.25">
      <c r="A14" t="s">
        <v>252</v>
      </c>
    </row>
    <row r="15" spans="1:1" x14ac:dyDescent="0.25">
      <c r="A15" t="s">
        <v>253</v>
      </c>
    </row>
    <row r="16" spans="1:1" x14ac:dyDescent="0.25">
      <c r="A16" t="s">
        <v>254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88"/>
  <sheetViews>
    <sheetView topLeftCell="B1" workbookViewId="0">
      <selection activeCell="B2" sqref="B2"/>
    </sheetView>
  </sheetViews>
  <sheetFormatPr baseColWidth="10" defaultColWidth="11.42578125" defaultRowHeight="15" x14ac:dyDescent="0.25"/>
  <cols>
    <col min="1" max="1" width="28.5703125" customWidth="1"/>
    <col min="2" max="2" width="22.42578125" customWidth="1"/>
    <col min="3" max="3" width="26.85546875" customWidth="1"/>
    <col min="4" max="4" width="26" customWidth="1"/>
    <col min="5" max="5" width="30" customWidth="1"/>
    <col min="6" max="6" width="21.5703125" customWidth="1"/>
    <col min="10" max="11" width="23.5703125" customWidth="1"/>
    <col min="12" max="12" width="18" customWidth="1"/>
    <col min="13" max="13" width="26.140625" customWidth="1"/>
    <col min="14" max="14" width="27.42578125" customWidth="1"/>
    <col min="15" max="15" width="29" customWidth="1"/>
    <col min="16" max="16" width="27.140625" customWidth="1"/>
    <col min="17" max="17" width="19.7109375" customWidth="1"/>
  </cols>
  <sheetData>
    <row r="1" spans="1:21" x14ac:dyDescent="0.25">
      <c r="E1" s="1" t="s">
        <v>154</v>
      </c>
      <c r="F1" s="1">
        <v>11.1</v>
      </c>
      <c r="I1" s="24" t="s">
        <v>155</v>
      </c>
      <c r="J1" s="24">
        <f>B2+B74+B76</f>
        <v>81.26261582851852</v>
      </c>
    </row>
    <row r="2" spans="1:21" x14ac:dyDescent="0.25">
      <c r="A2" s="55" t="s">
        <v>213</v>
      </c>
      <c r="B2" s="55">
        <f>E14+L13+T13</f>
        <v>75.360260555925933</v>
      </c>
      <c r="E2" s="1" t="s">
        <v>156</v>
      </c>
      <c r="F2" s="1">
        <f>88.2*8</f>
        <v>705.6</v>
      </c>
    </row>
    <row r="3" spans="1:21" x14ac:dyDescent="0.25">
      <c r="E3" s="1" t="s">
        <v>215</v>
      </c>
      <c r="F3" s="25"/>
    </row>
    <row r="5" spans="1:21" x14ac:dyDescent="0.25">
      <c r="A5" s="26" t="s">
        <v>150</v>
      </c>
    </row>
    <row r="6" spans="1:21" x14ac:dyDescent="0.25">
      <c r="A6" s="26" t="s">
        <v>182</v>
      </c>
      <c r="B6" s="26" t="s">
        <v>158</v>
      </c>
      <c r="C6" s="26" t="s">
        <v>159</v>
      </c>
      <c r="D6" s="26" t="s">
        <v>160</v>
      </c>
      <c r="E6" s="26" t="s">
        <v>161</v>
      </c>
      <c r="F6" s="26" t="s">
        <v>162</v>
      </c>
      <c r="G6" s="27" t="s">
        <v>163</v>
      </c>
      <c r="H6" s="27" t="s">
        <v>164</v>
      </c>
      <c r="I6" s="26" t="s">
        <v>165</v>
      </c>
      <c r="J6" s="26" t="s">
        <v>166</v>
      </c>
      <c r="K6" s="26" t="s">
        <v>167</v>
      </c>
      <c r="L6" s="26" t="s">
        <v>168</v>
      </c>
      <c r="M6" s="26" t="s">
        <v>226</v>
      </c>
      <c r="N6" s="26" t="s">
        <v>169</v>
      </c>
      <c r="O6" s="26" t="s">
        <v>170</v>
      </c>
      <c r="P6" s="26" t="s">
        <v>171</v>
      </c>
      <c r="Q6" s="26" t="s">
        <v>172</v>
      </c>
      <c r="R6" s="26" t="s">
        <v>173</v>
      </c>
      <c r="S6" s="26" t="s">
        <v>174</v>
      </c>
      <c r="T6" s="26" t="s">
        <v>175</v>
      </c>
      <c r="U6" s="1"/>
    </row>
    <row r="7" spans="1:21" x14ac:dyDescent="0.25">
      <c r="A7" s="26" t="s">
        <v>69</v>
      </c>
      <c r="B7" s="1">
        <f>VLOOKUP(A7,'feuille de base Mars 2016'!B:C,2,FALSE)</f>
        <v>1.45</v>
      </c>
      <c r="C7" s="1">
        <f>VLOOKUP(A7,'feuille de base Mars 2016'!B:G,6,FALSE)</f>
        <v>2</v>
      </c>
      <c r="D7" s="1">
        <f>(C7*G7)</f>
        <v>176.4</v>
      </c>
      <c r="E7" s="1">
        <f>(D7/1000)*B7</f>
        <v>0.25578000000000001</v>
      </c>
      <c r="F7" s="1">
        <v>11.1</v>
      </c>
      <c r="G7" s="1">
        <v>88.2</v>
      </c>
      <c r="H7" s="1">
        <f>SUM(212+306+306)</f>
        <v>824</v>
      </c>
      <c r="I7" s="1">
        <v>1.35</v>
      </c>
      <c r="J7" s="1">
        <v>352.6</v>
      </c>
      <c r="K7" s="1">
        <f>(J7*3.33)/1000</f>
        <v>1.174158</v>
      </c>
      <c r="L7" s="1">
        <f>K7*0.11</f>
        <v>0.12915738000000002</v>
      </c>
      <c r="M7" s="1">
        <f>(J7/1000)*5.5</f>
        <v>1.9393000000000002</v>
      </c>
      <c r="O7" s="1">
        <f>(((4.18*88.2*(35-22))))</f>
        <v>4792.7879999999996</v>
      </c>
      <c r="P7" s="1">
        <f>O7/3600</f>
        <v>1.3313299999999999</v>
      </c>
      <c r="Q7" s="1">
        <f>15/60</f>
        <v>0.25</v>
      </c>
      <c r="R7" s="1"/>
      <c r="S7" s="1"/>
      <c r="T7" s="1">
        <f>P7*Q7*0.17</f>
        <v>5.6581525000000001E-2</v>
      </c>
      <c r="U7" s="1"/>
    </row>
    <row r="8" spans="1:21" x14ac:dyDescent="0.25">
      <c r="A8" s="26" t="s">
        <v>70</v>
      </c>
      <c r="B8" s="1">
        <f>VLOOKUP(A8,'feuille de base Mars 2016'!B:C,2,FALSE)</f>
        <v>7.3529999999999998</v>
      </c>
      <c r="C8" s="1">
        <f>VLOOKUP(A8,'feuille de base Mars 2016'!B:G,6,FALSE)</f>
        <v>0.02</v>
      </c>
      <c r="D8" s="1">
        <f>(C8*F8)*1000</f>
        <v>222</v>
      </c>
      <c r="E8" s="1">
        <f t="shared" ref="E8:E13" si="0">(D8/1000)*B8</f>
        <v>1.632366</v>
      </c>
      <c r="F8" s="1">
        <v>11.1</v>
      </c>
      <c r="G8" s="1">
        <v>88.2</v>
      </c>
      <c r="I8" s="1"/>
      <c r="J8" s="1"/>
      <c r="K8" s="1"/>
      <c r="L8" s="1"/>
      <c r="M8" s="1"/>
      <c r="O8" s="1">
        <f>(4.18*4288.2*(70-35))</f>
        <v>627363.66</v>
      </c>
      <c r="P8" s="1">
        <f t="shared" ref="P8:P12" si="1">O8/3600</f>
        <v>174.26768333333334</v>
      </c>
      <c r="Q8" s="1">
        <f>25/60</f>
        <v>0.41666666666666669</v>
      </c>
      <c r="R8" s="1"/>
      <c r="S8" s="1"/>
      <c r="T8" s="1">
        <f t="shared" ref="T8:T13" si="2">P8*Q8*0.17</f>
        <v>12.343960902777781</v>
      </c>
      <c r="U8" s="1"/>
    </row>
    <row r="9" spans="1:21" x14ac:dyDescent="0.25">
      <c r="A9" s="26" t="s">
        <v>72</v>
      </c>
      <c r="B9" s="1">
        <f>VLOOKUP(A9,'feuille de base Mars 2016'!B:C,2,FALSE)</f>
        <v>0.77</v>
      </c>
      <c r="C9" s="1">
        <f>VLOOKUP(A9,'feuille de base Mars 2016'!B:G,6,FALSE)</f>
        <v>3</v>
      </c>
      <c r="D9" s="1">
        <f>(C9*G9)</f>
        <v>264.60000000000002</v>
      </c>
      <c r="E9" s="1">
        <f t="shared" si="0"/>
        <v>0.20374200000000001</v>
      </c>
      <c r="F9" s="1">
        <v>11.1</v>
      </c>
      <c r="G9" s="1">
        <v>88.2</v>
      </c>
      <c r="I9" s="1"/>
      <c r="J9" s="1"/>
      <c r="K9" s="1"/>
      <c r="L9" s="1"/>
      <c r="M9" s="1"/>
      <c r="O9" s="1">
        <f>(4.18*88.1*(98-70))</f>
        <v>10311.223999999998</v>
      </c>
      <c r="P9" s="1">
        <f t="shared" si="1"/>
        <v>2.8642288888888885</v>
      </c>
      <c r="Q9" s="1">
        <f>30/60</f>
        <v>0.5</v>
      </c>
      <c r="R9" s="1"/>
      <c r="S9" s="1"/>
      <c r="T9" s="1">
        <f t="shared" si="2"/>
        <v>0.24345945555555554</v>
      </c>
      <c r="U9" s="1"/>
    </row>
    <row r="10" spans="1:21" x14ac:dyDescent="0.25">
      <c r="A10" s="26" t="s">
        <v>73</v>
      </c>
      <c r="B10" s="1">
        <f>VLOOKUP(A10,'feuille de base Mars 2016'!B:C,2,FALSE)</f>
        <v>1.45</v>
      </c>
      <c r="C10" s="1">
        <f>VLOOKUP(A10,'feuille de base Mars 2016'!B:G,6,FALSE)</f>
        <v>2</v>
      </c>
      <c r="D10" s="1">
        <f>(C10*G10)</f>
        <v>176.4</v>
      </c>
      <c r="E10" s="1">
        <f>(D10/1000)*B10</f>
        <v>0.25578000000000001</v>
      </c>
      <c r="F10" s="1">
        <v>11.1</v>
      </c>
      <c r="G10" s="1">
        <v>88.2</v>
      </c>
      <c r="I10" s="1"/>
      <c r="J10" s="1"/>
      <c r="K10" s="1"/>
      <c r="L10" s="1"/>
      <c r="M10" s="1"/>
      <c r="O10" s="1">
        <f>4.18*88.2*(98-80)</f>
        <v>6636.1679999999997</v>
      </c>
      <c r="P10" s="1">
        <f t="shared" si="1"/>
        <v>1.8433799999999998</v>
      </c>
      <c r="Q10" s="1">
        <f>10/60</f>
        <v>0.16666666666666666</v>
      </c>
      <c r="R10" s="1"/>
      <c r="S10" s="1"/>
      <c r="T10" s="1">
        <f t="shared" si="2"/>
        <v>5.2229099999999994E-2</v>
      </c>
      <c r="U10" s="1"/>
    </row>
    <row r="11" spans="1:21" x14ac:dyDescent="0.25">
      <c r="A11" s="26" t="s">
        <v>76</v>
      </c>
      <c r="B11" s="1">
        <f>VLOOKUP(A11,'feuille de base Mars 2016'!B:C,2,FALSE)</f>
        <v>6.4610000000000003</v>
      </c>
      <c r="C11" s="1">
        <f>VLOOKUP(A11,'feuille de base Mars 2016'!B:G,6,FALSE)</f>
        <v>10</v>
      </c>
      <c r="D11" s="1">
        <f>(C11*G11)</f>
        <v>882</v>
      </c>
      <c r="E11" s="1">
        <f t="shared" si="0"/>
        <v>5.6986020000000002</v>
      </c>
      <c r="F11" s="1">
        <v>11.1</v>
      </c>
      <c r="G11" s="1">
        <v>88.2</v>
      </c>
      <c r="I11" s="1"/>
      <c r="J11" s="1"/>
      <c r="K11" s="1"/>
      <c r="L11" s="1"/>
      <c r="M11" s="1"/>
      <c r="O11" s="1">
        <f>4.18*88.2*(70-25)*2</f>
        <v>33180.839999999997</v>
      </c>
      <c r="P11" s="1">
        <f t="shared" si="1"/>
        <v>9.216899999999999</v>
      </c>
      <c r="Q11" s="1">
        <f>20/60</f>
        <v>0.33333333333333331</v>
      </c>
      <c r="R11" s="1"/>
      <c r="S11" s="1"/>
      <c r="T11" s="1">
        <f t="shared" si="2"/>
        <v>0.52229099999999995</v>
      </c>
      <c r="U11" s="1"/>
    </row>
    <row r="12" spans="1:21" x14ac:dyDescent="0.25">
      <c r="A12" s="26" t="s">
        <v>74</v>
      </c>
      <c r="B12" s="1">
        <f>VLOOKUP(A12,'feuille de base Mars 2016'!B:C,2,FALSE)</f>
        <v>8.02</v>
      </c>
      <c r="C12" s="1">
        <f>VLOOKUP(A12,'feuille de base Mars 2016'!B:G,6,FALSE)</f>
        <v>0</v>
      </c>
      <c r="D12" s="1">
        <f>(C12*G12)</f>
        <v>0</v>
      </c>
      <c r="E12" s="1">
        <f t="shared" si="0"/>
        <v>0</v>
      </c>
      <c r="F12" s="1">
        <v>11.1</v>
      </c>
      <c r="G12" s="1">
        <v>88.2</v>
      </c>
      <c r="I12" s="1"/>
      <c r="J12" s="1"/>
      <c r="K12" s="1"/>
      <c r="L12" s="1"/>
      <c r="M12" s="1"/>
      <c r="O12" s="1">
        <f>88.2*4.18*(40-25)</f>
        <v>5530.1399999999994</v>
      </c>
      <c r="P12" s="1">
        <f t="shared" si="1"/>
        <v>1.5361499999999999</v>
      </c>
      <c r="Q12" s="1">
        <f>10/60</f>
        <v>0.16666666666666666</v>
      </c>
      <c r="R12" s="1"/>
      <c r="S12" s="1"/>
      <c r="T12" s="1">
        <f t="shared" si="2"/>
        <v>4.3524249999999993E-2</v>
      </c>
      <c r="U12" s="1"/>
    </row>
    <row r="13" spans="1:21" x14ac:dyDescent="0.25">
      <c r="A13" s="26" t="s">
        <v>76</v>
      </c>
      <c r="B13" s="1">
        <f>VLOOKUP(A13,'feuille de base Mars 2016'!B:C,2,FALSE)</f>
        <v>6.4610000000000003</v>
      </c>
      <c r="C13" s="1">
        <f>VLOOKUP(A13,'feuille de base Mars 2016'!B:G,6,FALSE)</f>
        <v>10</v>
      </c>
      <c r="D13" s="1">
        <f>(C13*G13)</f>
        <v>882</v>
      </c>
      <c r="E13" s="1">
        <f t="shared" si="0"/>
        <v>5.6986020000000002</v>
      </c>
      <c r="F13" s="1">
        <v>11.1</v>
      </c>
      <c r="G13" s="1">
        <v>88.2</v>
      </c>
      <c r="I13" s="1"/>
      <c r="J13" s="1"/>
      <c r="K13" s="1"/>
      <c r="L13" s="1">
        <f>SUM(L7:L12,M7)</f>
        <v>2.0684573800000003</v>
      </c>
      <c r="M13" s="1"/>
      <c r="O13" s="1">
        <f>SUM(O7:O12)</f>
        <v>687814.82</v>
      </c>
      <c r="P13" s="1">
        <f>SUM(P7:P12)</f>
        <v>191.05967222222222</v>
      </c>
      <c r="Q13" s="1">
        <f>SUM(Q7:Q12)</f>
        <v>1.8333333333333335</v>
      </c>
      <c r="R13" s="1"/>
      <c r="S13" s="1"/>
      <c r="T13" s="1">
        <f t="shared" si="2"/>
        <v>59.546931175925934</v>
      </c>
      <c r="U13" s="1"/>
    </row>
    <row r="14" spans="1:21" x14ac:dyDescent="0.25">
      <c r="A14" s="17"/>
      <c r="E14" s="17">
        <f>SUM(E7:E13)</f>
        <v>13.744872000000001</v>
      </c>
      <c r="L14" s="17"/>
      <c r="M14" s="17"/>
    </row>
    <row r="20" spans="1:21" x14ac:dyDescent="0.25">
      <c r="A20" s="16" t="s">
        <v>151</v>
      </c>
    </row>
    <row r="21" spans="1:21" x14ac:dyDescent="0.25">
      <c r="A21" s="35" t="s">
        <v>13</v>
      </c>
      <c r="B21" s="28" t="s">
        <v>176</v>
      </c>
      <c r="C21" s="28" t="s">
        <v>177</v>
      </c>
      <c r="D21" s="28" t="s">
        <v>178</v>
      </c>
      <c r="E21" s="28" t="s">
        <v>176</v>
      </c>
      <c r="F21" s="28" t="s">
        <v>162</v>
      </c>
      <c r="G21" s="28" t="s">
        <v>179</v>
      </c>
      <c r="H21" s="28"/>
      <c r="I21" s="28" t="s">
        <v>165</v>
      </c>
      <c r="J21" s="28" t="s">
        <v>180</v>
      </c>
      <c r="K21" s="28" t="s">
        <v>167</v>
      </c>
      <c r="L21" s="28" t="s">
        <v>168</v>
      </c>
      <c r="M21" s="28" t="s">
        <v>226</v>
      </c>
      <c r="N21" s="28" t="s">
        <v>169</v>
      </c>
      <c r="O21" s="28" t="s">
        <v>170</v>
      </c>
      <c r="P21" s="28" t="s">
        <v>171</v>
      </c>
      <c r="Q21" s="28" t="s">
        <v>172</v>
      </c>
      <c r="R21" s="28" t="s">
        <v>173</v>
      </c>
      <c r="S21" s="28" t="s">
        <v>174</v>
      </c>
      <c r="T21" s="28" t="s">
        <v>175</v>
      </c>
      <c r="U21" s="28"/>
    </row>
    <row r="22" spans="1:21" x14ac:dyDescent="0.25">
      <c r="A22" s="1" t="s">
        <v>80</v>
      </c>
      <c r="B22" s="1">
        <f>VLOOKUP(A22,'feuille de base Mars 2016'!B:C,2,FALSE)</f>
        <v>194.78</v>
      </c>
      <c r="C22" s="1">
        <f>VLOOKUP(A22,'feuille de base Mars 2016'!B:G,6,FALSE)</f>
        <v>0</v>
      </c>
      <c r="D22" s="1">
        <f t="shared" ref="D22:D60" si="3">(C22*F22)*1000</f>
        <v>0</v>
      </c>
      <c r="E22" s="1">
        <f t="shared" ref="E22:E36" si="4">(D22*F22)/1000</f>
        <v>0</v>
      </c>
      <c r="F22" s="1">
        <v>11.1</v>
      </c>
      <c r="G22" s="1">
        <v>88.2</v>
      </c>
      <c r="H22" s="1"/>
      <c r="I22" s="1">
        <v>0.33</v>
      </c>
      <c r="J22" s="1">
        <v>352.6</v>
      </c>
      <c r="K22" s="1">
        <f>(J22*3.33)/1000</f>
        <v>1.174158</v>
      </c>
      <c r="L22" s="1">
        <f>K22*0.11</f>
        <v>0.12915738000000002</v>
      </c>
      <c r="M22" s="1">
        <f>(J22/1000)*5.5</f>
        <v>1.9393000000000002</v>
      </c>
      <c r="N22" s="1"/>
      <c r="O22" s="1">
        <f>(4.18*88.1*(340-25))</f>
        <v>116001.26999999997</v>
      </c>
      <c r="P22" s="1">
        <f>O22/3600</f>
        <v>32.222574999999992</v>
      </c>
      <c r="Q22" s="1">
        <f>15/60</f>
        <v>0.25</v>
      </c>
      <c r="R22" s="1"/>
      <c r="S22" s="1"/>
      <c r="T22" s="1">
        <f>Q22*P22*0.17</f>
        <v>1.3694594374999998</v>
      </c>
      <c r="U22" s="1"/>
    </row>
    <row r="23" spans="1:21" x14ac:dyDescent="0.25">
      <c r="A23" s="1" t="s">
        <v>81</v>
      </c>
      <c r="B23" s="1">
        <f>VLOOKUP(A23,'feuille de base Mars 2016'!B:C,2,FALSE)</f>
        <v>76.37</v>
      </c>
      <c r="C23" s="1">
        <f>VLOOKUP(A23,'feuille de base Mars 2016'!B:G,6,FALSE)</f>
        <v>0</v>
      </c>
      <c r="D23" s="1">
        <f t="shared" si="3"/>
        <v>0</v>
      </c>
      <c r="E23" s="1">
        <f t="shared" si="4"/>
        <v>0</v>
      </c>
      <c r="F23" s="1">
        <v>11.1</v>
      </c>
      <c r="G23" s="1">
        <v>88.2</v>
      </c>
      <c r="H23" s="1"/>
      <c r="I23" s="1">
        <v>1.83</v>
      </c>
      <c r="J23" s="1"/>
      <c r="K23" s="1"/>
      <c r="L23" s="36">
        <f>(L22+M22)</f>
        <v>2.0684573800000003</v>
      </c>
      <c r="M23" s="1"/>
      <c r="N23" s="1"/>
      <c r="O23" s="64">
        <f>0.166*4.18*(80-25)</f>
        <v>38.163399999999996</v>
      </c>
      <c r="P23" s="1">
        <f>Q22/3600</f>
        <v>6.9444444444444444E-5</v>
      </c>
      <c r="Q23" s="1">
        <f>145/60</f>
        <v>2.4166666666666665</v>
      </c>
      <c r="R23" s="1"/>
      <c r="S23" s="1"/>
      <c r="T23" s="1">
        <f t="shared" ref="T23:T27" si="5">Q23*P23*0.17</f>
        <v>2.8530092592592593E-5</v>
      </c>
      <c r="U23" s="1"/>
    </row>
    <row r="24" spans="1:21" x14ac:dyDescent="0.25">
      <c r="A24" s="1" t="s">
        <v>82</v>
      </c>
      <c r="B24" s="1">
        <f>VLOOKUP(A24,'feuille de base Mars 2016'!B:C,2,FALSE)</f>
        <v>50.86524</v>
      </c>
      <c r="C24" s="1">
        <f>VLOOKUP(A24,'feuille de base Mars 2016'!B:G,6,FALSE)</f>
        <v>0</v>
      </c>
      <c r="D24" s="1">
        <f>(C24*F24)*1000</f>
        <v>0</v>
      </c>
      <c r="E24" s="1">
        <f t="shared" si="4"/>
        <v>0</v>
      </c>
      <c r="F24" s="1">
        <v>11.1</v>
      </c>
      <c r="G24" s="1">
        <v>88.2</v>
      </c>
      <c r="H24" s="1"/>
      <c r="I24" s="1">
        <v>0.16</v>
      </c>
      <c r="J24" s="1"/>
      <c r="K24" s="1"/>
      <c r="L24" s="1"/>
      <c r="M24" s="1"/>
      <c r="N24" s="1"/>
      <c r="O24" s="1">
        <f>88.2*4.18*(98-35)</f>
        <v>23226.588</v>
      </c>
      <c r="P24" s="1">
        <f t="shared" ref="P24:P27" si="6">O24/3600</f>
        <v>6.4518300000000002</v>
      </c>
      <c r="Q24" s="1">
        <f>15/60</f>
        <v>0.25</v>
      </c>
      <c r="R24" s="1"/>
      <c r="S24" s="1"/>
      <c r="T24" s="1">
        <f t="shared" si="5"/>
        <v>0.27420277500000001</v>
      </c>
      <c r="U24" s="1"/>
    </row>
    <row r="25" spans="1:21" x14ac:dyDescent="0.25">
      <c r="A25" s="1" t="s">
        <v>83</v>
      </c>
      <c r="B25" s="1">
        <f>VLOOKUP(A25,'feuille de base Mars 2016'!B:C,2,FALSE)</f>
        <v>56.493000000000002</v>
      </c>
      <c r="C25" s="1">
        <f>VLOOKUP(A25,'feuille de base Mars 2016'!B:G,6,FALSE)</f>
        <v>0</v>
      </c>
      <c r="D25" s="1">
        <f t="shared" si="3"/>
        <v>0</v>
      </c>
      <c r="E25" s="1">
        <f t="shared" si="4"/>
        <v>0</v>
      </c>
      <c r="F25" s="1">
        <v>11.1</v>
      </c>
      <c r="G25" s="1">
        <v>88.2</v>
      </c>
      <c r="H25" s="1"/>
      <c r="I25" s="1"/>
      <c r="J25" s="1"/>
      <c r="K25" s="1"/>
      <c r="L25" s="1"/>
      <c r="M25" s="1"/>
      <c r="N25" s="1"/>
      <c r="O25" s="28">
        <f>(4.18*88.2*(98-80))</f>
        <v>6636.1679999999997</v>
      </c>
      <c r="P25" s="1">
        <f t="shared" si="6"/>
        <v>1.8433799999999998</v>
      </c>
      <c r="Q25" s="1">
        <f>15/60</f>
        <v>0.25</v>
      </c>
      <c r="R25" s="1"/>
      <c r="S25" s="1"/>
      <c r="T25" s="1">
        <f t="shared" si="5"/>
        <v>7.8343650000000001E-2</v>
      </c>
      <c r="U25" s="1"/>
    </row>
    <row r="26" spans="1:21" x14ac:dyDescent="0.25">
      <c r="A26" s="1" t="s">
        <v>84</v>
      </c>
      <c r="B26" s="1">
        <f>VLOOKUP(A26,'feuille de base Mars 2016'!B:C,2,FALSE)</f>
        <v>56.83</v>
      </c>
      <c r="C26" s="1">
        <f>VLOOKUP(A26,'feuille de base Mars 2016'!B:G,6,FALSE)</f>
        <v>0</v>
      </c>
      <c r="D26" s="1">
        <f t="shared" si="3"/>
        <v>0</v>
      </c>
      <c r="E26" s="1">
        <f t="shared" si="4"/>
        <v>0</v>
      </c>
      <c r="F26" s="1">
        <v>11.1</v>
      </c>
      <c r="G26" s="1">
        <v>88.2</v>
      </c>
      <c r="H26" s="1"/>
      <c r="I26" s="1"/>
      <c r="J26" s="1"/>
      <c r="K26" s="1"/>
      <c r="L26" s="1"/>
      <c r="M26" s="1"/>
      <c r="N26" s="1"/>
      <c r="O26" s="1">
        <f>88.2*4.18*(35-25)*2</f>
        <v>7373.5199999999995</v>
      </c>
      <c r="P26" s="1">
        <f t="shared" si="6"/>
        <v>2.0482</v>
      </c>
      <c r="Q26" s="1">
        <f>20/60</f>
        <v>0.33333333333333331</v>
      </c>
      <c r="R26" s="1"/>
      <c r="S26" s="1"/>
      <c r="T26" s="1">
        <f t="shared" si="5"/>
        <v>0.11606466666666666</v>
      </c>
      <c r="U26" s="1"/>
    </row>
    <row r="27" spans="1:21" x14ac:dyDescent="0.25">
      <c r="A27" s="1" t="s">
        <v>85</v>
      </c>
      <c r="B27" s="1">
        <f>VLOOKUP(A27,'feuille de base Mars 2016'!B:C,2,FALSE)</f>
        <v>33.15</v>
      </c>
      <c r="C27" s="1">
        <f>VLOOKUP(A27,'feuille de base Mars 2016'!B:G,6,FALSE)</f>
        <v>0</v>
      </c>
      <c r="D27" s="1">
        <f t="shared" si="3"/>
        <v>0</v>
      </c>
      <c r="E27" s="1">
        <f t="shared" si="4"/>
        <v>0</v>
      </c>
      <c r="F27" s="1">
        <v>11.1</v>
      </c>
      <c r="G27" s="1">
        <v>88.2</v>
      </c>
      <c r="H27" s="1"/>
      <c r="I27" s="1"/>
      <c r="J27" s="1"/>
      <c r="K27" s="1"/>
      <c r="L27" s="1"/>
      <c r="M27" s="1"/>
      <c r="N27" s="1"/>
      <c r="O27" s="1">
        <f>88.2*4.18*(40-25)</f>
        <v>5530.1399999999994</v>
      </c>
      <c r="P27" s="1">
        <f t="shared" si="6"/>
        <v>1.5361499999999999</v>
      </c>
      <c r="Q27" s="1">
        <f>20/60</f>
        <v>0.33333333333333331</v>
      </c>
      <c r="R27" s="1"/>
      <c r="S27" s="1"/>
      <c r="T27" s="1">
        <f t="shared" si="5"/>
        <v>8.7048499999999987E-2</v>
      </c>
      <c r="U27" s="1"/>
    </row>
    <row r="28" spans="1:21" x14ac:dyDescent="0.25">
      <c r="A28" s="1" t="s">
        <v>86</v>
      </c>
      <c r="B28" s="1">
        <f>VLOOKUP(A28,'feuille de base Mars 2016'!B:C,2,FALSE)</f>
        <v>42.26</v>
      </c>
      <c r="C28" s="1">
        <f>VLOOKUP(A28,'feuille de base Mars 2016'!B:G,6,FALSE)</f>
        <v>0</v>
      </c>
      <c r="D28" s="1">
        <f t="shared" si="3"/>
        <v>0</v>
      </c>
      <c r="E28" s="1">
        <f t="shared" si="4"/>
        <v>0</v>
      </c>
      <c r="F28" s="1">
        <v>11.1</v>
      </c>
      <c r="G28" s="1">
        <v>88.2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1" t="s">
        <v>87</v>
      </c>
      <c r="B29" s="1">
        <f>VLOOKUP(A29,'feuille de base Mars 2016'!B:C,2,FALSE)</f>
        <v>51.12</v>
      </c>
      <c r="C29" s="1">
        <f>VLOOKUP(A29,'feuille de base Mars 2016'!B:G,6,FALSE)</f>
        <v>0</v>
      </c>
      <c r="D29" s="1">
        <f t="shared" si="3"/>
        <v>0</v>
      </c>
      <c r="E29" s="1">
        <f t="shared" si="4"/>
        <v>0</v>
      </c>
      <c r="F29" s="1">
        <v>11.1</v>
      </c>
      <c r="G29" s="1">
        <v>88.2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1" t="s">
        <v>88</v>
      </c>
      <c r="B30" s="1">
        <f>VLOOKUP(A30,'feuille de base Mars 2016'!B:C,2,FALSE)</f>
        <v>0</v>
      </c>
      <c r="C30" s="1">
        <f>VLOOKUP(A30,'feuille de base Mars 2016'!B:G,6,FALSE)</f>
        <v>0</v>
      </c>
      <c r="D30" s="1">
        <f t="shared" si="3"/>
        <v>0</v>
      </c>
      <c r="E30" s="1">
        <f t="shared" si="4"/>
        <v>0</v>
      </c>
      <c r="F30" s="1">
        <v>11.1</v>
      </c>
      <c r="G30" s="1">
        <v>88.2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1" t="s">
        <v>89</v>
      </c>
      <c r="B31" s="1">
        <f>VLOOKUP(A31,'feuille de base Mars 2016'!B:C,2,FALSE)</f>
        <v>39.799999999999997</v>
      </c>
      <c r="C31" s="1">
        <f>VLOOKUP(A31,'feuille de base Mars 2016'!B:G,6,FALSE)</f>
        <v>0</v>
      </c>
      <c r="D31" s="1">
        <f t="shared" si="3"/>
        <v>0</v>
      </c>
      <c r="E31" s="1">
        <f t="shared" si="4"/>
        <v>0</v>
      </c>
      <c r="F31" s="1">
        <v>11.1</v>
      </c>
      <c r="G31" s="1">
        <v>88.2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1" t="s">
        <v>90</v>
      </c>
      <c r="B32" s="1">
        <f>VLOOKUP(A32,'feuille de base Mars 2016'!B:C,2,FALSE)</f>
        <v>37.43</v>
      </c>
      <c r="C32" s="1">
        <f>VLOOKUP(A32,'feuille de base Mars 2016'!B:G,6,FALSE)</f>
        <v>0</v>
      </c>
      <c r="D32" s="1">
        <f t="shared" si="3"/>
        <v>0</v>
      </c>
      <c r="E32" s="1">
        <f t="shared" si="4"/>
        <v>0</v>
      </c>
      <c r="F32" s="1">
        <v>11.1</v>
      </c>
      <c r="G32" s="1">
        <v>88.2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1" t="s">
        <v>91</v>
      </c>
      <c r="B33" s="1">
        <f>VLOOKUP(A33,'feuille de base Mars 2016'!B:C,2,FALSE)</f>
        <v>43.412580000000005</v>
      </c>
      <c r="C33" s="1">
        <f>VLOOKUP(A33,'feuille de base Mars 2016'!B:G,6,FALSE)</f>
        <v>0</v>
      </c>
      <c r="D33" s="1">
        <f t="shared" si="3"/>
        <v>0</v>
      </c>
      <c r="E33" s="1">
        <f t="shared" si="4"/>
        <v>0</v>
      </c>
      <c r="F33" s="1">
        <v>11.1</v>
      </c>
      <c r="G33" s="1">
        <v>88.2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1" t="s">
        <v>92</v>
      </c>
      <c r="B34" s="1">
        <f>VLOOKUP(A34,'feuille de base Mars 2016'!B:C,2,FALSE)</f>
        <v>60.57</v>
      </c>
      <c r="C34" s="1">
        <f>VLOOKUP(A34,'feuille de base Mars 2016'!B:G,6,FALSE)</f>
        <v>0</v>
      </c>
      <c r="D34" s="1">
        <f t="shared" si="3"/>
        <v>0</v>
      </c>
      <c r="E34" s="1">
        <f t="shared" si="4"/>
        <v>0</v>
      </c>
      <c r="F34" s="1">
        <v>11.1</v>
      </c>
      <c r="G34" s="1">
        <v>88.2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1" t="s">
        <v>93</v>
      </c>
      <c r="B35" s="1">
        <f>VLOOKUP(A35,'feuille de base Mars 2016'!B:C,2,FALSE)</f>
        <v>63.36</v>
      </c>
      <c r="C35" s="1">
        <f>VLOOKUP(A35,'feuille de base Mars 2016'!B:G,6,FALSE)</f>
        <v>0</v>
      </c>
      <c r="D35" s="1">
        <f t="shared" si="3"/>
        <v>0</v>
      </c>
      <c r="E35" s="1">
        <f t="shared" si="4"/>
        <v>0</v>
      </c>
      <c r="F35" s="1">
        <v>11.1</v>
      </c>
      <c r="G35" s="1">
        <v>88.2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5">
      <c r="A36" s="1" t="s">
        <v>94</v>
      </c>
      <c r="B36" s="1">
        <f>VLOOKUP(A36,'feuille de base Mars 2016'!B:C,2,FALSE)</f>
        <v>31.45</v>
      </c>
      <c r="C36" s="1">
        <f>VLOOKUP(A36,'feuille de base Mars 2016'!B:G,6,FALSE)</f>
        <v>0</v>
      </c>
      <c r="D36" s="1">
        <f t="shared" si="3"/>
        <v>0</v>
      </c>
      <c r="E36" s="1">
        <f t="shared" si="4"/>
        <v>0</v>
      </c>
      <c r="F36" s="1">
        <v>11.1</v>
      </c>
      <c r="G36" s="1">
        <v>88.2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5">
      <c r="A37" s="1" t="s">
        <v>95</v>
      </c>
      <c r="B37" s="1">
        <f>VLOOKUP(A37,'feuille de base Mars 2016'!B:C,2,FALSE)</f>
        <v>66.45</v>
      </c>
      <c r="C37" s="1">
        <f>VLOOKUP(A37,'feuille de base Mars 2016'!B:G,6,FALSE)</f>
        <v>0</v>
      </c>
      <c r="D37" s="1">
        <f t="shared" si="3"/>
        <v>0</v>
      </c>
      <c r="E37" s="1">
        <f t="shared" ref="E37:E65" si="7">(D37/1000)*B37</f>
        <v>0</v>
      </c>
      <c r="F37" s="1">
        <v>11.1</v>
      </c>
      <c r="G37" s="1">
        <v>88.2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5">
      <c r="A38" s="1" t="s">
        <v>96</v>
      </c>
      <c r="B38" s="1">
        <f>VLOOKUP(A38,'feuille de base Mars 2016'!B:C,2,FALSE)</f>
        <v>40.816960000000002</v>
      </c>
      <c r="C38" s="1">
        <f>VLOOKUP(A38,'feuille de base Mars 2016'!B:G,6,FALSE)</f>
        <v>0</v>
      </c>
      <c r="D38" s="1">
        <f t="shared" si="3"/>
        <v>0</v>
      </c>
      <c r="E38" s="1">
        <f t="shared" si="7"/>
        <v>0</v>
      </c>
      <c r="F38" s="1">
        <v>11.1</v>
      </c>
      <c r="G38" s="1">
        <v>88.2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5">
      <c r="A39" s="1" t="s">
        <v>97</v>
      </c>
      <c r="B39" s="1">
        <f>VLOOKUP(A39,'feuille de base Mars 2016'!B:C,2,FALSE)</f>
        <v>12.81</v>
      </c>
      <c r="C39" s="1">
        <f>VLOOKUP(A39,'feuille de base Mars 2016'!B:G,6,FALSE)</f>
        <v>0</v>
      </c>
      <c r="D39" s="1">
        <f t="shared" si="3"/>
        <v>0</v>
      </c>
      <c r="E39" s="1">
        <f t="shared" si="7"/>
        <v>0</v>
      </c>
      <c r="F39" s="1">
        <v>11.1</v>
      </c>
      <c r="G39" s="1">
        <v>88.2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1" t="s">
        <v>98</v>
      </c>
      <c r="B40" s="1">
        <f>VLOOKUP(A40,'feuille de base Mars 2016'!B:C,2,FALSE)</f>
        <v>17.68</v>
      </c>
      <c r="C40" s="1">
        <f>VLOOKUP(A40,'feuille de base Mars 2016'!B:G,6,FALSE)</f>
        <v>0</v>
      </c>
      <c r="D40" s="1">
        <f t="shared" si="3"/>
        <v>0</v>
      </c>
      <c r="E40" s="1">
        <f t="shared" si="7"/>
        <v>0</v>
      </c>
      <c r="F40" s="1">
        <v>11.1</v>
      </c>
      <c r="G40" s="1">
        <v>88.2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25">
      <c r="A41" s="1" t="s">
        <v>99</v>
      </c>
      <c r="B41" s="1">
        <f>VLOOKUP(A41,'feuille de base Mars 2016'!B:C,2,FALSE)</f>
        <v>23.4</v>
      </c>
      <c r="C41" s="1">
        <f>VLOOKUP(A41,'feuille de base Mars 2016'!B:G,6,FALSE)</f>
        <v>0</v>
      </c>
      <c r="D41" s="1">
        <f t="shared" si="3"/>
        <v>0</v>
      </c>
      <c r="E41" s="1">
        <f t="shared" si="7"/>
        <v>0</v>
      </c>
      <c r="F41" s="1">
        <v>11.1</v>
      </c>
      <c r="G41" s="1">
        <v>88.2</v>
      </c>
      <c r="H41" s="1"/>
      <c r="I41" s="1"/>
      <c r="J41" s="1"/>
      <c r="K41" s="1"/>
      <c r="L41" s="1"/>
      <c r="M41" s="1"/>
      <c r="N41" s="1"/>
      <c r="O41" s="1">
        <v>0</v>
      </c>
      <c r="P41" s="1"/>
      <c r="Q41" s="1"/>
      <c r="R41" s="1"/>
      <c r="S41" s="1"/>
      <c r="T41" s="1"/>
      <c r="U41" s="1"/>
    </row>
    <row r="42" spans="1:21" x14ac:dyDescent="0.25">
      <c r="A42" s="1" t="s">
        <v>100</v>
      </c>
      <c r="B42" s="1">
        <f>VLOOKUP(A42,'feuille de base Mars 2016'!B:C,2,FALSE)</f>
        <v>44.8</v>
      </c>
      <c r="C42" s="1">
        <f>VLOOKUP(A42,'feuille de base Mars 2016'!B:G,6,FALSE)</f>
        <v>0</v>
      </c>
      <c r="D42" s="1">
        <f t="shared" si="3"/>
        <v>0</v>
      </c>
      <c r="E42" s="1">
        <f t="shared" si="7"/>
        <v>0</v>
      </c>
      <c r="F42" s="1">
        <v>11.1</v>
      </c>
      <c r="G42" s="1">
        <v>88.2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25">
      <c r="A43" s="1" t="s">
        <v>101</v>
      </c>
      <c r="B43" s="1">
        <f>VLOOKUP(A43,'feuille de base Mars 2016'!B:C,2,FALSE)</f>
        <v>21.65</v>
      </c>
      <c r="C43" s="1">
        <f>VLOOKUP(A43,'feuille de base Mars 2016'!B:G,6,FALSE)</f>
        <v>0</v>
      </c>
      <c r="D43" s="1">
        <f t="shared" si="3"/>
        <v>0</v>
      </c>
      <c r="E43" s="1">
        <f t="shared" si="7"/>
        <v>0</v>
      </c>
      <c r="F43" s="1">
        <v>11.1</v>
      </c>
      <c r="G43" s="1">
        <v>88.2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25">
      <c r="A44" s="1" t="s">
        <v>102</v>
      </c>
      <c r="B44" s="1">
        <f>VLOOKUP(A44,'feuille de base Mars 2016'!B:C,2,FALSE)</f>
        <v>13.87</v>
      </c>
      <c r="C44" s="1">
        <f>VLOOKUP(A44,'feuille de base Mars 2016'!B:G,6,FALSE)</f>
        <v>0</v>
      </c>
      <c r="D44" s="1">
        <f t="shared" si="3"/>
        <v>0</v>
      </c>
      <c r="E44" s="1">
        <f t="shared" si="7"/>
        <v>0</v>
      </c>
      <c r="F44" s="1">
        <v>11.1</v>
      </c>
      <c r="G44" s="1">
        <v>88.2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25">
      <c r="A45" s="1" t="s">
        <v>103</v>
      </c>
      <c r="B45" s="1">
        <f>VLOOKUP(A45,'feuille de base Mars 2016'!B:C,2,FALSE)</f>
        <v>37.229880000000009</v>
      </c>
      <c r="C45" s="1">
        <f>VLOOKUP(A45,'feuille de base Mars 2016'!B:G,6,FALSE)</f>
        <v>0</v>
      </c>
      <c r="D45" s="1">
        <f t="shared" si="3"/>
        <v>0</v>
      </c>
      <c r="E45" s="1">
        <f t="shared" si="7"/>
        <v>0</v>
      </c>
      <c r="F45" s="1">
        <v>11.1</v>
      </c>
      <c r="G45" s="1">
        <v>88.2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25">
      <c r="A46" s="1" t="s">
        <v>104</v>
      </c>
      <c r="B46" s="1">
        <f>VLOOKUP(A46,'feuille de base Mars 2016'!B:C,2,FALSE)</f>
        <v>36.799999999999997</v>
      </c>
      <c r="C46" s="1">
        <f>VLOOKUP(A46,'feuille de base Mars 2016'!B:G,6,FALSE)</f>
        <v>0</v>
      </c>
      <c r="D46" s="1">
        <f t="shared" si="3"/>
        <v>0</v>
      </c>
      <c r="E46" s="1">
        <f t="shared" si="7"/>
        <v>0</v>
      </c>
      <c r="F46" s="1">
        <v>11.1</v>
      </c>
      <c r="G46" s="1">
        <v>88.2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25">
      <c r="A47" s="1" t="s">
        <v>105</v>
      </c>
      <c r="B47" s="1">
        <f>VLOOKUP(A47,'feuille de base Mars 2016'!B:C,2,FALSE)</f>
        <v>12.922400000000001</v>
      </c>
      <c r="C47" s="1">
        <f>VLOOKUP(A47,'feuille de base Mars 2016'!B:G,6,FALSE)</f>
        <v>0</v>
      </c>
      <c r="D47" s="1">
        <f t="shared" si="3"/>
        <v>0</v>
      </c>
      <c r="E47" s="1">
        <f t="shared" si="7"/>
        <v>0</v>
      </c>
      <c r="F47" s="1">
        <v>11.1</v>
      </c>
      <c r="G47" s="1">
        <v>88.2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25">
      <c r="A48" s="1" t="s">
        <v>106</v>
      </c>
      <c r="B48" s="1">
        <f>VLOOKUP(A48,'feuille de base Mars 2016'!B:C,2,FALSE)</f>
        <v>13.5</v>
      </c>
      <c r="C48" s="1">
        <f>VLOOKUP(A48,'feuille de base Mars 2016'!B:G,6,FALSE)</f>
        <v>0</v>
      </c>
      <c r="D48" s="1">
        <f t="shared" si="3"/>
        <v>0</v>
      </c>
      <c r="E48" s="1">
        <f t="shared" si="7"/>
        <v>0</v>
      </c>
      <c r="F48" s="1">
        <v>11.1</v>
      </c>
      <c r="G48" s="1">
        <v>88.2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5">
      <c r="A49" s="1" t="s">
        <v>107</v>
      </c>
      <c r="B49" s="1">
        <f>VLOOKUP(A49,'feuille de base Mars 2016'!B:C,2,FALSE)</f>
        <v>36.650600000000004</v>
      </c>
      <c r="C49" s="1">
        <f>VLOOKUP(A49,'feuille de base Mars 2016'!B:G,6,FALSE)</f>
        <v>0</v>
      </c>
      <c r="D49" s="1">
        <f t="shared" si="3"/>
        <v>0</v>
      </c>
      <c r="E49" s="1">
        <f t="shared" si="7"/>
        <v>0</v>
      </c>
      <c r="F49" s="1">
        <v>11.1</v>
      </c>
      <c r="G49" s="1">
        <v>88.2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25">
      <c r="A50" s="1" t="s">
        <v>108</v>
      </c>
      <c r="B50" s="1">
        <f>VLOOKUP(A50,'feuille de base Mars 2016'!B:C,2,FALSE)</f>
        <v>13.145200000000003</v>
      </c>
      <c r="C50" s="1">
        <f>VLOOKUP(A50,'feuille de base Mars 2016'!B:G,6,FALSE)</f>
        <v>0</v>
      </c>
      <c r="D50" s="1">
        <f t="shared" si="3"/>
        <v>0</v>
      </c>
      <c r="E50" s="1">
        <f t="shared" si="7"/>
        <v>0</v>
      </c>
      <c r="F50" s="1">
        <v>11.1</v>
      </c>
      <c r="G50" s="1">
        <v>88.2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25">
      <c r="A51" s="1" t="s">
        <v>109</v>
      </c>
      <c r="B51" s="1">
        <f>VLOOKUP(A51,'feuille de base Mars 2016'!B:C,2,FALSE)</f>
        <v>88.006000000000014</v>
      </c>
      <c r="C51" s="1">
        <f>VLOOKUP(A51,'feuille de base Mars 2016'!B:G,6,FALSE)</f>
        <v>0</v>
      </c>
      <c r="D51" s="1">
        <f t="shared" si="3"/>
        <v>0</v>
      </c>
      <c r="E51" s="1">
        <f t="shared" si="7"/>
        <v>0</v>
      </c>
      <c r="F51" s="1">
        <v>11.1</v>
      </c>
      <c r="G51" s="1">
        <v>88.2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25">
      <c r="A52" s="1" t="s">
        <v>110</v>
      </c>
      <c r="B52" s="1">
        <f>VLOOKUP(A52,'feuille de base Mars 2016'!B:C,2,FALSE)</f>
        <v>64.849999999999994</v>
      </c>
      <c r="C52" s="1">
        <f>VLOOKUP(A52,'feuille de base Mars 2016'!B:G,6,FALSE)</f>
        <v>0</v>
      </c>
      <c r="D52" s="1">
        <f t="shared" si="3"/>
        <v>0</v>
      </c>
      <c r="E52" s="1">
        <f t="shared" si="7"/>
        <v>0</v>
      </c>
      <c r="F52" s="1">
        <v>11.1</v>
      </c>
      <c r="G52" s="1">
        <v>88.2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25">
      <c r="A53" s="1" t="s">
        <v>111</v>
      </c>
      <c r="B53" s="1">
        <f>VLOOKUP(A53,'feuille de base Mars 2016'!B:C,2,FALSE)</f>
        <v>37.096200000000003</v>
      </c>
      <c r="C53" s="1">
        <f>VLOOKUP(A53,'feuille de base Mars 2016'!B:G,6,FALSE)</f>
        <v>0</v>
      </c>
      <c r="D53" s="1">
        <f t="shared" si="3"/>
        <v>0</v>
      </c>
      <c r="E53" s="1">
        <f t="shared" si="7"/>
        <v>0</v>
      </c>
      <c r="F53" s="1">
        <v>11.1</v>
      </c>
      <c r="G53" s="1">
        <v>88.2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25">
      <c r="A54" s="1" t="s">
        <v>112</v>
      </c>
      <c r="B54" s="1">
        <f>VLOOKUP(A54,'feuille de base Mars 2016'!B:C,2,FALSE)</f>
        <v>80.631320000000002</v>
      </c>
      <c r="C54" s="1">
        <f>VLOOKUP(A54,'feuille de base Mars 2016'!B:G,6,FALSE)</f>
        <v>0</v>
      </c>
      <c r="D54" s="1">
        <f t="shared" si="3"/>
        <v>0</v>
      </c>
      <c r="E54" s="1">
        <f t="shared" si="7"/>
        <v>0</v>
      </c>
      <c r="F54" s="1">
        <v>11.1</v>
      </c>
      <c r="G54" s="1">
        <v>88.2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25">
      <c r="A55" s="1" t="s">
        <v>113</v>
      </c>
      <c r="B55" s="1">
        <f>VLOOKUP(A55,'feuille de base Mars 2016'!B:C,2,FALSE)</f>
        <v>48.3476</v>
      </c>
      <c r="C55" s="1">
        <f>VLOOKUP(A55,'feuille de base Mars 2016'!B:G,6,FALSE)</f>
        <v>0</v>
      </c>
      <c r="D55" s="1">
        <f t="shared" si="3"/>
        <v>0</v>
      </c>
      <c r="E55" s="1">
        <f t="shared" si="7"/>
        <v>0</v>
      </c>
      <c r="F55" s="1">
        <v>11.1</v>
      </c>
      <c r="G55" s="1">
        <v>88.2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25">
      <c r="A56" s="1" t="s">
        <v>114</v>
      </c>
      <c r="B56" s="1">
        <f>VLOOKUP(A56,'feuille de base Mars 2016'!B:C,2,FALSE)</f>
        <v>29.98</v>
      </c>
      <c r="C56" s="1">
        <f>VLOOKUP(A56,'feuille de base Mars 2016'!B:G,6,FALSE)</f>
        <v>0</v>
      </c>
      <c r="D56" s="1">
        <f t="shared" si="3"/>
        <v>0</v>
      </c>
      <c r="E56" s="1">
        <f t="shared" si="7"/>
        <v>0</v>
      </c>
      <c r="F56" s="1">
        <v>11.1</v>
      </c>
      <c r="G56" s="1">
        <v>88.2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25">
      <c r="A57" s="1" t="s">
        <v>115</v>
      </c>
      <c r="B57" s="1">
        <f>VLOOKUP(A57,'feuille de base Mars 2016'!B:C,2,FALSE)</f>
        <v>40.200000000000003</v>
      </c>
      <c r="C57" s="1">
        <f>VLOOKUP(A57,'feuille de base Mars 2016'!B:G,6,FALSE)</f>
        <v>0</v>
      </c>
      <c r="D57" s="1">
        <f t="shared" si="3"/>
        <v>0</v>
      </c>
      <c r="E57" s="1">
        <f t="shared" si="7"/>
        <v>0</v>
      </c>
      <c r="F57" s="1">
        <v>11.1</v>
      </c>
      <c r="G57" s="1">
        <v>88.2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25">
      <c r="A58" s="1" t="s">
        <v>116</v>
      </c>
      <c r="B58" s="1">
        <f>VLOOKUP(A58,'feuille de base Mars 2016'!B:C,2,FALSE)</f>
        <v>10.026000000000002</v>
      </c>
      <c r="C58" s="1">
        <f>VLOOKUP(A58,'feuille de base Mars 2016'!B:G,6,FALSE)</f>
        <v>1.1999999999999999E-3</v>
      </c>
      <c r="D58" s="1">
        <f t="shared" si="3"/>
        <v>13.319999999999999</v>
      </c>
      <c r="E58" s="1">
        <f>(D58/1000)*B58</f>
        <v>0.13354632</v>
      </c>
      <c r="F58" s="1">
        <v>11.1</v>
      </c>
      <c r="G58" s="1">
        <v>88.2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25">
      <c r="A59" s="1" t="s">
        <v>117</v>
      </c>
      <c r="B59" s="1">
        <f>VLOOKUP(A59,'feuille de base Mars 2016'!B:C,2,FALSE)</f>
        <v>19.66</v>
      </c>
      <c r="C59" s="1">
        <f>VLOOKUP(A59,'feuille de base Mars 2016'!B:G,6,FALSE)</f>
        <v>0</v>
      </c>
      <c r="D59" s="1">
        <f t="shared" si="3"/>
        <v>0</v>
      </c>
      <c r="E59" s="1">
        <f t="shared" si="7"/>
        <v>0</v>
      </c>
      <c r="F59" s="1">
        <v>11.1</v>
      </c>
      <c r="G59" s="1">
        <v>88.2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25">
      <c r="A60" s="1" t="s">
        <v>118</v>
      </c>
      <c r="B60" s="1">
        <f>VLOOKUP(A60,'feuille de base Mars 2016'!B:C,2,FALSE)</f>
        <v>35.22</v>
      </c>
      <c r="C60" s="1">
        <f>VLOOKUP(A60,'feuille de base Mars 2016'!B:G,6,FALSE)</f>
        <v>0</v>
      </c>
      <c r="D60" s="1">
        <f t="shared" si="3"/>
        <v>0</v>
      </c>
      <c r="E60" s="1">
        <f t="shared" si="7"/>
        <v>0</v>
      </c>
      <c r="F60" s="1">
        <v>11.1</v>
      </c>
      <c r="G60" s="1">
        <v>88.2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25">
      <c r="A61" s="28" t="s">
        <v>119</v>
      </c>
      <c r="B61" s="1">
        <f>VLOOKUP(A61,'feuille de base Mars 2016'!B:C,2,FALSE)</f>
        <v>1.45</v>
      </c>
      <c r="C61" s="1">
        <f>VLOOKUP(A61,'feuille de base Mars 2016'!B:G,6,FALSE)</f>
        <v>0</v>
      </c>
      <c r="D61" s="1">
        <f>(C61*G61)</f>
        <v>0</v>
      </c>
      <c r="E61" s="1">
        <f t="shared" si="7"/>
        <v>0</v>
      </c>
      <c r="F61" s="1">
        <v>11.1</v>
      </c>
      <c r="G61" s="1">
        <v>88.2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25">
      <c r="A62" s="28" t="s">
        <v>120</v>
      </c>
      <c r="B62" s="1">
        <f>VLOOKUP(A62,'feuille de base Mars 2016'!B:C,2,FALSE)</f>
        <v>7.798</v>
      </c>
      <c r="C62" s="1">
        <f>VLOOKUP(A62,'feuille de base Mars 2016'!B:G,6,FALSE)</f>
        <v>0</v>
      </c>
      <c r="D62" s="1">
        <f>(C62*F62)*1000</f>
        <v>0</v>
      </c>
      <c r="E62" s="1">
        <f t="shared" si="7"/>
        <v>0</v>
      </c>
      <c r="F62" s="1">
        <v>11.1</v>
      </c>
      <c r="G62" s="1">
        <v>88.2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25">
      <c r="A63" s="28" t="s">
        <v>121</v>
      </c>
      <c r="B63" s="1">
        <f>VLOOKUP(A63,'feuille de base Mars 2016'!B:C,2,FALSE)</f>
        <v>8.3550000000000004</v>
      </c>
      <c r="C63" s="1">
        <f>VLOOKUP(A63,'feuille de base Mars 2016'!B:G,6,FALSE)</f>
        <v>0</v>
      </c>
      <c r="D63" s="1">
        <f>(C63*F63)*1000</f>
        <v>0</v>
      </c>
      <c r="E63" s="1">
        <f t="shared" si="7"/>
        <v>0</v>
      </c>
      <c r="F63" s="1">
        <v>11.1</v>
      </c>
      <c r="G63" s="1">
        <v>88.2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25">
      <c r="A64" s="28" t="s">
        <v>122</v>
      </c>
      <c r="B64" s="1">
        <f>VLOOKUP(A64,'feuille de base Mars 2016'!B:C,2,FALSE)</f>
        <v>13.613799999999999</v>
      </c>
      <c r="C64" s="1">
        <f>VLOOKUP(A64,'feuille de base Mars 2016'!B:G,6,FALSE)</f>
        <v>0.5</v>
      </c>
      <c r="D64" s="1">
        <f>(C64*G64)</f>
        <v>44.1</v>
      </c>
      <c r="E64" s="1">
        <f>(D64/1000)*B64</f>
        <v>0.60036857999999993</v>
      </c>
      <c r="F64" s="1">
        <v>11.1</v>
      </c>
      <c r="G64" s="1">
        <v>88.2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28" t="s">
        <v>123</v>
      </c>
      <c r="B65" s="1">
        <f>VLOOKUP(A65,'feuille de base Mars 2016'!B:C,2,FALSE)</f>
        <v>8.02</v>
      </c>
      <c r="C65" s="1">
        <f>VLOOKUP(A65,'feuille de base Mars 2016'!B:G,6,FALSE)</f>
        <v>0</v>
      </c>
      <c r="D65" s="1">
        <f>(C65*G65)</f>
        <v>0</v>
      </c>
      <c r="E65" s="1">
        <f t="shared" si="7"/>
        <v>0</v>
      </c>
      <c r="F65" s="1">
        <v>11.1</v>
      </c>
      <c r="G65" s="1">
        <v>88.2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28" t="s">
        <v>126</v>
      </c>
      <c r="B66" s="1">
        <f>VLOOKUP(A66,'feuille de base Mars 2016'!B:C,2,FALSE)</f>
        <v>0.77</v>
      </c>
      <c r="C66" s="1">
        <f>VLOOKUP(A66,'feuille de base Mars 2016'!B:G,6,FALSE)</f>
        <v>0</v>
      </c>
      <c r="D66" s="1"/>
      <c r="E66" s="1"/>
      <c r="F66" s="1">
        <v>11.1</v>
      </c>
      <c r="G66" s="1">
        <v>88.2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28" t="s">
        <v>124</v>
      </c>
      <c r="B67" s="1">
        <f>VLOOKUP(A67,'feuille de base Mars 2016'!B:C,2,FALSE)</f>
        <v>1.45</v>
      </c>
      <c r="C67" s="1">
        <f>VLOOKUP(A67,'feuille de base Mars 2016'!B:G,6,FALSE)</f>
        <v>0.4</v>
      </c>
      <c r="D67" s="1">
        <f>(C67*G67)</f>
        <v>35.28</v>
      </c>
      <c r="E67" s="1">
        <f t="shared" ref="E67:E72" si="8">(D67/1000)*B67</f>
        <v>5.1156E-2</v>
      </c>
      <c r="F67" s="1">
        <v>11.1</v>
      </c>
      <c r="G67" s="1">
        <v>88.2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28" t="s">
        <v>125</v>
      </c>
      <c r="B68" s="1">
        <f>VLOOKUP(A68,'feuille de base Mars 2016'!B:C,2,FALSE)</f>
        <v>3.2519999999999998</v>
      </c>
      <c r="C68" s="1">
        <f>VLOOKUP(A68,'feuille de base Mars 2016'!B:G,6,FALSE)</f>
        <v>0</v>
      </c>
      <c r="D68" s="1">
        <f>(C68*F68)*1000</f>
        <v>0</v>
      </c>
      <c r="E68" s="1">
        <f t="shared" si="8"/>
        <v>0</v>
      </c>
      <c r="F68" s="1">
        <v>11.1</v>
      </c>
      <c r="G68" s="1">
        <v>88.2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28" t="s">
        <v>217</v>
      </c>
      <c r="B69" s="1">
        <f>VLOOKUP(A69,'feuille de base Mars 2016'!B:C,2,FALSE)</f>
        <v>4.9000000000000004</v>
      </c>
      <c r="C69" s="1">
        <f>VLOOKUP(A69,'feuille de base Mars 2016'!B:G,6,FALSE)</f>
        <v>7.0000000000000007E-2</v>
      </c>
      <c r="D69" s="1">
        <f>(C69*G69)</f>
        <v>6.1740000000000004</v>
      </c>
      <c r="E69" s="1">
        <f t="shared" si="8"/>
        <v>3.0252600000000004E-2</v>
      </c>
      <c r="F69" s="1">
        <v>11.1</v>
      </c>
      <c r="G69" s="1">
        <v>88.2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28" t="s">
        <v>134</v>
      </c>
      <c r="B70" s="1">
        <f>VLOOKUP(A70,'feuille de base Mars 2016'!B:C,2,FALSE)</f>
        <v>7.35</v>
      </c>
      <c r="C70" s="1">
        <f>VLOOKUP(A70,'feuille de base Mars 2016'!B:G,6,FALSE)</f>
        <v>2</v>
      </c>
      <c r="D70" s="1">
        <f>(C70*G70)</f>
        <v>176.4</v>
      </c>
      <c r="E70" s="1">
        <f t="shared" si="8"/>
        <v>1.29654</v>
      </c>
      <c r="F70" s="1">
        <v>11.1</v>
      </c>
      <c r="G70" s="1">
        <v>88.2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28" t="s">
        <v>135</v>
      </c>
      <c r="B71" s="1">
        <f>VLOOKUP(A71,'feuille de base Mars 2016'!B:C,2,FALSE)</f>
        <v>4.2332000000000001</v>
      </c>
      <c r="C71" s="1">
        <f>VLOOKUP(A71,'feuille de base Mars 2016'!B:G,6,FALSE)</f>
        <v>0</v>
      </c>
      <c r="D71" s="1">
        <f>(C71*G71)</f>
        <v>0</v>
      </c>
      <c r="E71" s="1">
        <f t="shared" si="8"/>
        <v>0</v>
      </c>
      <c r="F71" s="1">
        <v>11.1</v>
      </c>
      <c r="G71" s="1">
        <v>88.2</v>
      </c>
      <c r="H71" s="1"/>
      <c r="I71" s="1"/>
      <c r="J71" s="1"/>
      <c r="K71" s="1"/>
      <c r="L71" s="1"/>
      <c r="M71" s="1"/>
      <c r="N71" s="1"/>
      <c r="O71" s="28">
        <f>SUM(O22:O70)</f>
        <v>158805.84939999995</v>
      </c>
      <c r="P71" s="28">
        <f>O71/3600</f>
        <v>44.112735944444431</v>
      </c>
      <c r="Q71" s="28">
        <f>SUM(Q22:Q24)</f>
        <v>2.9166666666666665</v>
      </c>
      <c r="R71" s="28"/>
      <c r="S71" s="28"/>
      <c r="T71" s="28">
        <f>SUM(T22:T25)</f>
        <v>1.7220343925925925</v>
      </c>
      <c r="U71" s="1"/>
    </row>
    <row r="72" spans="1:21" x14ac:dyDescent="0.25">
      <c r="A72" s="28" t="s">
        <v>138</v>
      </c>
      <c r="B72" s="1">
        <f>VLOOKUP(A72,'feuille de base Mars 2016'!B:C,2,FALSE)</f>
        <v>6.6412000000000004</v>
      </c>
      <c r="C72" s="1">
        <f>VLOOKUP(A72,'feuille de base Mars 2016'!B:G,6,FALSE)</f>
        <v>0</v>
      </c>
      <c r="D72" s="1">
        <f>(C72*G72)</f>
        <v>0</v>
      </c>
      <c r="E72" s="1">
        <f t="shared" si="8"/>
        <v>0</v>
      </c>
      <c r="F72" s="1">
        <v>11.1</v>
      </c>
      <c r="G72" s="1">
        <v>88.2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6"/>
      <c r="B73" s="16"/>
      <c r="C73" s="16"/>
      <c r="D73" s="16"/>
      <c r="E73" s="29">
        <f>SUM(E22:E72)</f>
        <v>2.1118635000000001</v>
      </c>
      <c r="F73" s="16"/>
      <c r="G73" s="16"/>
      <c r="H73" s="16"/>
      <c r="I73" s="16"/>
      <c r="J73" s="16"/>
      <c r="K73" s="16"/>
      <c r="L73" s="16"/>
      <c r="M73" s="16"/>
      <c r="N73" s="16"/>
    </row>
    <row r="74" spans="1:21" x14ac:dyDescent="0.25">
      <c r="A74" s="54" t="s">
        <v>185</v>
      </c>
      <c r="B74" s="54">
        <f>E73+T71+L23</f>
        <v>5.902355272592593</v>
      </c>
      <c r="C74" s="16"/>
      <c r="D74" s="16"/>
      <c r="E74" s="29"/>
      <c r="F74" s="16"/>
      <c r="G74" s="16"/>
      <c r="H74" s="16"/>
      <c r="I74" s="16"/>
      <c r="J74" s="16"/>
      <c r="K74" s="16"/>
      <c r="L74" s="16"/>
      <c r="M74" s="16"/>
      <c r="N74" s="16"/>
    </row>
    <row r="75" spans="1:21" x14ac:dyDescent="0.25">
      <c r="A75" s="16"/>
      <c r="B75" s="16"/>
      <c r="C75" s="16"/>
      <c r="D75" s="16"/>
      <c r="E75" s="29"/>
      <c r="F75" s="16"/>
      <c r="G75" s="16"/>
      <c r="H75" s="16"/>
      <c r="I75" s="16"/>
      <c r="J75" s="16"/>
      <c r="K75" s="16"/>
      <c r="L75" s="16"/>
      <c r="M75" s="16"/>
      <c r="N75" s="16"/>
    </row>
    <row r="76" spans="1:21" x14ac:dyDescent="0.25">
      <c r="A76" s="56" t="s">
        <v>196</v>
      </c>
      <c r="B76" s="55">
        <f>E88+L86+T87</f>
        <v>0</v>
      </c>
      <c r="C76" s="30"/>
      <c r="D76" s="30"/>
      <c r="F76" s="30"/>
      <c r="G76" s="30"/>
      <c r="H76" s="30"/>
      <c r="I76" s="30"/>
      <c r="J76" s="30"/>
      <c r="K76" s="30"/>
      <c r="L76" s="30"/>
      <c r="M76" s="30"/>
      <c r="N76" s="30"/>
    </row>
    <row r="77" spans="1:21" x14ac:dyDescent="0.25">
      <c r="A77" s="34" t="s">
        <v>152</v>
      </c>
    </row>
    <row r="78" spans="1:21" x14ac:dyDescent="0.25">
      <c r="A78" s="32" t="s">
        <v>183</v>
      </c>
      <c r="B78" s="32"/>
      <c r="C78" s="32" t="s">
        <v>181</v>
      </c>
      <c r="D78" s="32"/>
      <c r="E78" s="32"/>
      <c r="F78" s="32"/>
      <c r="G78" s="32"/>
      <c r="H78" s="32"/>
      <c r="I78" s="32" t="s">
        <v>165</v>
      </c>
      <c r="J78" s="32" t="s">
        <v>180</v>
      </c>
      <c r="K78" s="32" t="s">
        <v>167</v>
      </c>
      <c r="L78" s="32" t="s">
        <v>168</v>
      </c>
      <c r="M78" s="32" t="s">
        <v>226</v>
      </c>
      <c r="N78" s="32" t="s">
        <v>169</v>
      </c>
      <c r="O78" s="32" t="s">
        <v>170</v>
      </c>
      <c r="P78" s="32" t="s">
        <v>171</v>
      </c>
      <c r="Q78" s="32" t="s">
        <v>172</v>
      </c>
      <c r="R78" s="32" t="s">
        <v>173</v>
      </c>
      <c r="S78" s="32" t="s">
        <v>174</v>
      </c>
      <c r="T78" s="32" t="s">
        <v>175</v>
      </c>
      <c r="U78" s="32"/>
    </row>
    <row r="79" spans="1:21" x14ac:dyDescent="0.25">
      <c r="A79" s="26" t="s">
        <v>139</v>
      </c>
      <c r="B79" s="1">
        <f>VLOOKUP(A79,'feuille de base Mars 2016'!B:C,2,FALSE)</f>
        <v>1.4</v>
      </c>
      <c r="C79" s="1">
        <f>VLOOKUP(A79,'feuille de base Mars 2016'!B:G,6,FALSE)</f>
        <v>0</v>
      </c>
      <c r="D79" s="1">
        <f>(C79*G79)</f>
        <v>0</v>
      </c>
      <c r="E79" s="1">
        <f t="shared" ref="E79:E80" si="9">(D79/1000)*B79</f>
        <v>0</v>
      </c>
      <c r="F79" s="1">
        <v>11.1</v>
      </c>
      <c r="G79" s="1">
        <f>4*88.2</f>
        <v>352.8</v>
      </c>
      <c r="H79" s="1"/>
      <c r="I79" s="1"/>
      <c r="J79" s="1"/>
      <c r="K79" s="1">
        <f>(J79*3.33)/1000</f>
        <v>0</v>
      </c>
      <c r="L79" s="1">
        <f>K79*0.11</f>
        <v>0</v>
      </c>
      <c r="M79" s="1">
        <f>(J79/1000)*1.19</f>
        <v>0</v>
      </c>
      <c r="N79" s="30"/>
      <c r="O79" s="1"/>
      <c r="P79" s="1">
        <f>O79/3600</f>
        <v>0</v>
      </c>
      <c r="Q79">
        <v>0.5</v>
      </c>
      <c r="R79" s="1"/>
      <c r="S79" s="1"/>
      <c r="T79" s="1">
        <f>Q79*P79*0.134</f>
        <v>0</v>
      </c>
      <c r="U79" s="1"/>
    </row>
    <row r="80" spans="1:21" x14ac:dyDescent="0.25">
      <c r="A80" s="26" t="s">
        <v>140</v>
      </c>
      <c r="B80" s="1">
        <f>VLOOKUP(A80,'feuille de base Mars 2016'!B:C,2,FALSE)</f>
        <v>7.1070000000000002</v>
      </c>
      <c r="C80" s="1">
        <f>VLOOKUP(A80,'feuille de base Mars 2016'!B:G,6,FALSE)</f>
        <v>0</v>
      </c>
      <c r="D80" s="1">
        <f>(C80*F80)*1000</f>
        <v>0</v>
      </c>
      <c r="E80" s="1">
        <f t="shared" si="9"/>
        <v>0</v>
      </c>
      <c r="F80" s="1">
        <v>11.1</v>
      </c>
      <c r="G80" s="1">
        <f t="shared" ref="G80:G87" si="10">4*88.2</f>
        <v>352.8</v>
      </c>
      <c r="H80" s="1"/>
      <c r="I80" s="1"/>
      <c r="J80" s="1"/>
      <c r="K80" s="1"/>
      <c r="L80" s="1"/>
      <c r="M80" s="1"/>
      <c r="N80" s="30"/>
      <c r="P80" s="1">
        <f t="shared" ref="P80:P83" si="11">O80/3600</f>
        <v>0</v>
      </c>
      <c r="R80" s="1"/>
      <c r="S80" s="1"/>
      <c r="T80" s="1">
        <f t="shared" ref="T80:T83" si="12">Q80*P80*0.134</f>
        <v>0</v>
      </c>
      <c r="U80" s="1"/>
    </row>
    <row r="81" spans="1:21" x14ac:dyDescent="0.25">
      <c r="A81" s="26" t="s">
        <v>141</v>
      </c>
      <c r="B81" s="1">
        <f>VLOOKUP(A81,'feuille de base Mars 2016'!B:C,2,FALSE)</f>
        <v>0.77</v>
      </c>
      <c r="C81" s="1">
        <f>VLOOKUP(A81,'feuille de base Mars 2016'!B:G,6,FALSE)</f>
        <v>0</v>
      </c>
      <c r="D81" s="1">
        <f>C81*G81</f>
        <v>0</v>
      </c>
      <c r="E81" s="1">
        <f t="shared" ref="E81:E86" si="13">(D81/1000)*B81</f>
        <v>0</v>
      </c>
      <c r="F81" s="1">
        <v>11.1</v>
      </c>
      <c r="G81" s="1">
        <f t="shared" si="10"/>
        <v>352.8</v>
      </c>
      <c r="H81" s="1"/>
      <c r="I81" s="1"/>
      <c r="J81" s="1"/>
      <c r="K81" s="1"/>
      <c r="L81" s="1">
        <f>(J79/1000)*1.19</f>
        <v>0</v>
      </c>
      <c r="M81" s="1"/>
      <c r="N81" s="30"/>
      <c r="P81" s="1">
        <f t="shared" si="11"/>
        <v>0</v>
      </c>
      <c r="R81" s="1"/>
      <c r="S81" s="1"/>
      <c r="T81" s="1">
        <f t="shared" si="12"/>
        <v>0</v>
      </c>
      <c r="U81" s="1"/>
    </row>
    <row r="82" spans="1:21" x14ac:dyDescent="0.25">
      <c r="A82" s="26" t="s">
        <v>142</v>
      </c>
      <c r="B82" s="1">
        <f>VLOOKUP(A82,'feuille de base Mars 2016'!B:C,2,FALSE)</f>
        <v>10.130000000000001</v>
      </c>
      <c r="C82" s="1">
        <f>VLOOKUP(A82,'feuille de base Mars 2016'!B:G,6,FALSE)</f>
        <v>0</v>
      </c>
      <c r="D82" s="1">
        <f>(C82*F82)*1000</f>
        <v>0</v>
      </c>
      <c r="E82" s="1">
        <f t="shared" si="13"/>
        <v>0</v>
      </c>
      <c r="F82" s="1">
        <v>11.1</v>
      </c>
      <c r="G82" s="1">
        <f t="shared" si="10"/>
        <v>352.8</v>
      </c>
      <c r="H82" s="1"/>
      <c r="I82" s="1"/>
      <c r="J82" s="1"/>
      <c r="K82" s="1"/>
      <c r="L82" s="1"/>
      <c r="M82" s="1"/>
      <c r="N82" s="30"/>
      <c r="P82" s="1">
        <f t="shared" si="11"/>
        <v>0</v>
      </c>
      <c r="R82" s="1"/>
      <c r="S82" s="1"/>
      <c r="T82" s="1">
        <f t="shared" si="12"/>
        <v>0</v>
      </c>
      <c r="U82" s="1"/>
    </row>
    <row r="83" spans="1:21" x14ac:dyDescent="0.25">
      <c r="A83" s="26" t="s">
        <v>143</v>
      </c>
      <c r="B83" s="1">
        <f>VLOOKUP(A83,'feuille de base Mars 2016'!B:C,2,FALSE)</f>
        <v>7.35</v>
      </c>
      <c r="C83" s="1">
        <f>VLOOKUP(A83,'feuille de base Mars 2016'!B:G,6,FALSE)</f>
        <v>0</v>
      </c>
      <c r="D83" s="1">
        <f>C83*G83</f>
        <v>0</v>
      </c>
      <c r="E83" s="1">
        <f t="shared" si="13"/>
        <v>0</v>
      </c>
      <c r="F83" s="1">
        <v>11.1</v>
      </c>
      <c r="G83" s="1">
        <f t="shared" si="10"/>
        <v>352.8</v>
      </c>
      <c r="H83" s="1"/>
      <c r="I83" s="1"/>
      <c r="J83" s="1"/>
      <c r="K83" s="1"/>
      <c r="L83" s="1"/>
      <c r="M83" s="1"/>
      <c r="N83" s="30"/>
      <c r="P83" s="1">
        <f t="shared" si="11"/>
        <v>0</v>
      </c>
      <c r="R83" s="1"/>
      <c r="S83" s="1"/>
      <c r="T83" s="1">
        <f t="shared" si="12"/>
        <v>0</v>
      </c>
      <c r="U83" s="1"/>
    </row>
    <row r="84" spans="1:21" x14ac:dyDescent="0.25">
      <c r="A84" s="26" t="s">
        <v>146</v>
      </c>
      <c r="B84" s="1">
        <f>VLOOKUP(A84,'feuille de base Mars 2016'!B:C,2,FALSE)</f>
        <v>0.77</v>
      </c>
      <c r="C84" s="1">
        <f>VLOOKUP(A84,'feuille de base Mars 2016'!B:G,6,FALSE)</f>
        <v>0</v>
      </c>
      <c r="D84" s="1">
        <f>C84*G84</f>
        <v>0</v>
      </c>
      <c r="E84" s="1">
        <f t="shared" si="13"/>
        <v>0</v>
      </c>
      <c r="F84" s="1">
        <v>11.1</v>
      </c>
      <c r="G84" s="1">
        <f t="shared" si="10"/>
        <v>352.8</v>
      </c>
      <c r="H84" s="1"/>
      <c r="I84" s="1"/>
      <c r="J84" s="1"/>
      <c r="K84" s="1"/>
      <c r="L84" s="1"/>
      <c r="M84" s="1"/>
      <c r="N84" s="30"/>
      <c r="P84" s="1"/>
      <c r="R84" s="1"/>
      <c r="S84" s="1"/>
      <c r="T84" s="1">
        <f>Q84*P84*0.134</f>
        <v>0</v>
      </c>
      <c r="U84" s="1"/>
    </row>
    <row r="85" spans="1:21" x14ac:dyDescent="0.25">
      <c r="A85" s="26" t="s">
        <v>147</v>
      </c>
      <c r="B85" s="1">
        <f>VLOOKUP(A85,'feuille de base Mars 2016'!B:C,2,FALSE)</f>
        <v>1.45</v>
      </c>
      <c r="C85" s="1">
        <f>VLOOKUP(A85,'feuille de base Mars 2016'!B:G,6,FALSE)</f>
        <v>0</v>
      </c>
      <c r="D85" s="1">
        <f>(C85*G85)</f>
        <v>0</v>
      </c>
      <c r="E85" s="1">
        <f t="shared" si="13"/>
        <v>0</v>
      </c>
      <c r="F85" s="1">
        <v>11.1</v>
      </c>
      <c r="G85" s="1">
        <f t="shared" si="10"/>
        <v>352.8</v>
      </c>
      <c r="H85" s="1"/>
      <c r="I85" s="1"/>
      <c r="J85" s="1"/>
      <c r="K85" s="1"/>
      <c r="L85" s="1"/>
      <c r="M85" s="1"/>
      <c r="N85" s="30"/>
      <c r="P85" s="1"/>
      <c r="R85" s="1"/>
      <c r="S85" s="1"/>
      <c r="T85" s="1"/>
      <c r="U85" s="1"/>
    </row>
    <row r="86" spans="1:21" x14ac:dyDescent="0.25">
      <c r="A86" s="26" t="s">
        <v>148</v>
      </c>
      <c r="B86" s="1">
        <f>VLOOKUP(A86,'feuille de base Mars 2016'!B:C,2,FALSE)</f>
        <v>4.9000000000000004</v>
      </c>
      <c r="C86" s="1">
        <f>VLOOKUP(A86,'feuille de base Mars 2016'!B:G,6,FALSE)</f>
        <v>0</v>
      </c>
      <c r="D86" s="1">
        <f>C86*F86*1000</f>
        <v>0</v>
      </c>
      <c r="E86" s="1">
        <f t="shared" si="13"/>
        <v>0</v>
      </c>
      <c r="F86" s="1">
        <v>11.1</v>
      </c>
      <c r="G86" s="1">
        <f t="shared" si="10"/>
        <v>352.8</v>
      </c>
      <c r="H86" s="1"/>
      <c r="I86" s="1"/>
      <c r="J86" s="1"/>
      <c r="K86" s="1"/>
      <c r="L86" s="1">
        <f>SUM(L79:L81)</f>
        <v>0</v>
      </c>
      <c r="M86" s="1"/>
      <c r="N86" s="30"/>
      <c r="P86" s="1"/>
      <c r="R86" s="1"/>
      <c r="S86" s="1"/>
      <c r="T86" s="1"/>
      <c r="U86" s="1"/>
    </row>
    <row r="87" spans="1:21" x14ac:dyDescent="0.25">
      <c r="A87" s="26" t="s">
        <v>149</v>
      </c>
      <c r="B87" s="1">
        <f>VLOOKUP(A87,'feuille de base Mars 2016'!B:C,2,FALSE)</f>
        <v>1.335</v>
      </c>
      <c r="C87" s="1">
        <f>VLOOKUP(A87,'feuille de base Mars 2016'!B:G,6,FALSE)</f>
        <v>0</v>
      </c>
      <c r="D87" s="26">
        <f>C87*G87</f>
        <v>0</v>
      </c>
      <c r="E87" s="26">
        <f t="shared" ref="E87" si="14">(D87/1000)*B87</f>
        <v>0</v>
      </c>
      <c r="F87" s="1">
        <v>11.1</v>
      </c>
      <c r="G87" s="1">
        <f t="shared" si="10"/>
        <v>352.8</v>
      </c>
      <c r="H87" s="26"/>
      <c r="I87" s="26"/>
      <c r="J87" s="26"/>
      <c r="K87" s="26"/>
      <c r="L87" s="26"/>
      <c r="M87" s="26"/>
      <c r="N87" s="26"/>
      <c r="O87" s="26">
        <f>SUM(O79:O86)</f>
        <v>0</v>
      </c>
      <c r="P87" s="26">
        <f>O87/3600</f>
        <v>0</v>
      </c>
      <c r="Q87" s="26">
        <f>SUM(Q79:Q86)</f>
        <v>0.5</v>
      </c>
      <c r="R87" s="26"/>
      <c r="S87" s="26"/>
      <c r="T87" s="26">
        <f>P87*0.134*Q87</f>
        <v>0</v>
      </c>
      <c r="U87" s="26"/>
    </row>
    <row r="88" spans="1:21" x14ac:dyDescent="0.25">
      <c r="A88" s="17"/>
      <c r="B88" s="17"/>
      <c r="C88" s="33"/>
      <c r="D88" s="17"/>
      <c r="E88" s="34">
        <f>SUM(E79:E87)</f>
        <v>0</v>
      </c>
      <c r="F88" s="17"/>
      <c r="G88" s="17"/>
      <c r="H88" s="17"/>
      <c r="I88" s="17"/>
      <c r="J88" s="17"/>
      <c r="K88" s="17"/>
      <c r="L88" s="17"/>
      <c r="M88" s="17"/>
      <c r="N88" s="17"/>
    </row>
  </sheetData>
  <conditionalFormatting sqref="Q42:Q4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7">
    <dataValidation type="list" allowBlank="1" showInputMessage="1" showErrorMessage="1" sqref="A22:A60">
      <formula1>colorant</formula1>
    </dataValidation>
    <dataValidation type="list" allowBlank="1" showInputMessage="1" showErrorMessage="1" sqref="A7:A13">
      <formula1>preparation</formula1>
    </dataValidation>
    <dataValidation type="list" allowBlank="1" showInputMessage="1" showErrorMessage="1" sqref="A79:A87">
      <formula1>prodfix</formula1>
    </dataValidation>
    <dataValidation type="list" allowBlank="1" showInputMessage="1" showErrorMessage="1" sqref="A73:A76">
      <formula1>listeprodteint</formula1>
    </dataValidation>
    <dataValidation type="list" allowBlank="1" showInputMessage="1" showErrorMessage="1" sqref="C15:C20">
      <formula1>listepourprodprep</formula1>
    </dataValidation>
    <dataValidation type="list" allowBlank="1" showInputMessage="1" showErrorMessage="1" sqref="B16:B19">
      <formula1>listeprixprodprepa</formula1>
    </dataValidation>
    <dataValidation type="list" allowBlank="1" showInputMessage="1" showErrorMessage="1" sqref="B20 B78">
      <formula1>INDIRECT("listeprixcolorants[prix colorants]")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de base Mars 2016'!$B$52:$B$73</xm:f>
          </x14:formula1>
          <xm:sqref>A61:A72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3" sqref="D3"/>
    </sheetView>
  </sheetViews>
  <sheetFormatPr baseColWidth="10" defaultRowHeight="15" x14ac:dyDescent="0.25"/>
  <cols>
    <col min="1" max="1" width="36.42578125" customWidth="1"/>
    <col min="2" max="2" width="62" customWidth="1"/>
    <col min="3" max="3" width="30.85546875" customWidth="1"/>
    <col min="4" max="9" width="11.5703125" customWidth="1"/>
  </cols>
  <sheetData>
    <row r="1" spans="1:3" ht="30.75" thickBot="1" x14ac:dyDescent="0.3">
      <c r="A1" s="71"/>
      <c r="B1" s="72" t="s">
        <v>262</v>
      </c>
      <c r="C1" s="72" t="s">
        <v>263</v>
      </c>
    </row>
    <row r="2" spans="1:3" ht="45" x14ac:dyDescent="0.25">
      <c r="A2" s="79" t="s">
        <v>264</v>
      </c>
      <c r="B2" s="73" t="s">
        <v>265</v>
      </c>
      <c r="C2" s="73" t="s">
        <v>268</v>
      </c>
    </row>
    <row r="3" spans="1:3" ht="68.25" customHeight="1" x14ac:dyDescent="0.25">
      <c r="A3" s="78"/>
      <c r="B3" s="74" t="s">
        <v>266</v>
      </c>
      <c r="C3" s="74" t="s">
        <v>269</v>
      </c>
    </row>
    <row r="4" spans="1:3" ht="30" x14ac:dyDescent="0.25">
      <c r="A4" s="78"/>
      <c r="B4" s="74" t="s">
        <v>267</v>
      </c>
      <c r="C4" s="74" t="s">
        <v>270</v>
      </c>
    </row>
    <row r="5" spans="1:3" ht="44.25" customHeight="1" thickBot="1" x14ac:dyDescent="0.3">
      <c r="A5" s="80"/>
      <c r="B5" s="75"/>
      <c r="C5" s="76"/>
    </row>
    <row r="6" spans="1:3" ht="48" customHeight="1" x14ac:dyDescent="0.25">
      <c r="A6" s="79" t="s">
        <v>271</v>
      </c>
      <c r="B6" s="73" t="s">
        <v>272</v>
      </c>
      <c r="C6" s="73" t="s">
        <v>275</v>
      </c>
    </row>
    <row r="7" spans="1:3" ht="30.75" customHeight="1" x14ac:dyDescent="0.25">
      <c r="A7" s="78"/>
      <c r="B7" s="73" t="s">
        <v>273</v>
      </c>
      <c r="C7" s="74" t="s">
        <v>276</v>
      </c>
    </row>
    <row r="8" spans="1:3" ht="28.5" customHeight="1" x14ac:dyDescent="0.25">
      <c r="A8" s="78"/>
      <c r="B8" s="77" t="s">
        <v>274</v>
      </c>
      <c r="C8" s="77" t="s">
        <v>277</v>
      </c>
    </row>
    <row r="9" spans="1:3" ht="15.75" thickBot="1" x14ac:dyDescent="0.3">
      <c r="A9" s="80"/>
      <c r="B9" s="75"/>
      <c r="C9" s="76"/>
    </row>
  </sheetData>
  <mergeCells count="2">
    <mergeCell ref="A2:A5"/>
    <mergeCell ref="A6:A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FENETRE PRINCIPALE Mars 2016</vt:lpstr>
      <vt:lpstr>fenetre calcul </vt:lpstr>
      <vt:lpstr>feuille de base Mars 2016</vt:lpstr>
      <vt:lpstr>PAM Clair U404-10 13-05-15</vt:lpstr>
      <vt:lpstr>peau doré C28-02  13-05-15</vt:lpstr>
      <vt:lpstr>LYTESS NOIR NR-7,5% 9-03-16</vt:lpstr>
      <vt:lpstr>CHAIR B19-13</vt:lpstr>
      <vt:lpstr>Feuil1</vt:lpstr>
      <vt:lpstr>PEAU U93-2 15-03-16 ACIDE</vt:lpstr>
      <vt:lpstr>C10-08 BLEU12 11-03-2016</vt:lpstr>
      <vt:lpstr>feuille récapitulative</vt:lpstr>
      <vt:lpstr>liste recette</vt:lpstr>
      <vt:lpstr>Blanc-0,13 12-03-16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2016-03-14T08:56:01Z</dcterms:created>
  <dcterms:modified xsi:type="dcterms:W3CDTF">2016-03-29T16:40:30Z</dcterms:modified>
</cp:coreProperties>
</file>