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0" yWindow="2865" windowWidth="8445" windowHeight="8685" tabRatio="825"/>
  </bookViews>
  <sheets>
    <sheet name="Recherche" sheetId="872" r:id="rId1"/>
    <sheet name="280116anc" sheetId="832" state="hidden" r:id="rId2"/>
    <sheet name="010316" sheetId="856" r:id="rId3"/>
    <sheet name="020316" sheetId="857" r:id="rId4"/>
    <sheet name="030316" sheetId="858" r:id="rId5"/>
    <sheet name="040316" sheetId="859" r:id="rId6"/>
    <sheet name="070316" sheetId="860" r:id="rId7"/>
    <sheet name="080316" sheetId="861" r:id="rId8"/>
    <sheet name="090316" sheetId="862" r:id="rId9"/>
    <sheet name="100316" sheetId="863" r:id="rId10"/>
  </sheets>
  <definedNames>
    <definedName name="_xlnm._FilterDatabase" localSheetId="2" hidden="1">'010316'!$B$3:$T$79</definedName>
    <definedName name="_xlnm._FilterDatabase" localSheetId="3" hidden="1">'020316'!$B$3:$T$65</definedName>
    <definedName name="_xlnm._FilterDatabase" localSheetId="4" hidden="1">'030316'!$B$3:$T$50</definedName>
    <definedName name="_xlnm._FilterDatabase" localSheetId="5" hidden="1">'040316'!$B$3:$T$46</definedName>
    <definedName name="_xlnm._FilterDatabase" localSheetId="6" hidden="1">'070316'!$B$3:$T$33</definedName>
    <definedName name="_xlnm._FilterDatabase" localSheetId="7" hidden="1">'080316'!$B$3:$T$33</definedName>
    <definedName name="_xlnm._FilterDatabase" localSheetId="8" hidden="1">'090316'!$B$3:$T$44</definedName>
    <definedName name="_xlnm._FilterDatabase" localSheetId="9" hidden="1">'100316'!$B$3:$T$41</definedName>
    <definedName name="_xlnm._FilterDatabase" localSheetId="1" hidden="1">'280116anc'!$B$3:$T$40</definedName>
    <definedName name="_xlnm.Print_Titles" localSheetId="2">'010316'!$3:$3</definedName>
    <definedName name="_xlnm.Print_Titles" localSheetId="3">'020316'!$3:$3</definedName>
    <definedName name="_xlnm.Print_Titles" localSheetId="4">'030316'!$3:$3</definedName>
    <definedName name="_xlnm.Print_Titles" localSheetId="5">'040316'!$3:$3</definedName>
    <definedName name="_xlnm.Print_Titles" localSheetId="6">'070316'!$3:$3</definedName>
    <definedName name="_xlnm.Print_Titles" localSheetId="7">'080316'!$3:$3</definedName>
    <definedName name="_xlnm.Print_Titles" localSheetId="8">'090316'!$3:$3</definedName>
    <definedName name="_xlnm.Print_Titles" localSheetId="9">'100316'!$3:$3</definedName>
    <definedName name="_xlnm.Print_Titles" localSheetId="1">'280116anc'!$3:$3</definedName>
    <definedName name="_xlnm.Print_Area" localSheetId="2">'010316'!$B:$N</definedName>
    <definedName name="_xlnm.Print_Area" localSheetId="3">'020316'!$B:$N</definedName>
    <definedName name="_xlnm.Print_Area" localSheetId="4">'030316'!$B:$N</definedName>
    <definedName name="_xlnm.Print_Area" localSheetId="5">'040316'!$B:$N</definedName>
    <definedName name="_xlnm.Print_Area" localSheetId="6">'070316'!$B:$N</definedName>
    <definedName name="_xlnm.Print_Area" localSheetId="7">'080316'!$B:$N</definedName>
    <definedName name="_xlnm.Print_Area" localSheetId="8">'090316'!$B:$N</definedName>
    <definedName name="_xlnm.Print_Area" localSheetId="9">'100316'!$B:$N</definedName>
    <definedName name="_xlnm.Print_Area" localSheetId="1">'280116anc'!$B$3:$Q$40</definedName>
  </definedNames>
  <calcPr calcId="145621"/>
</workbook>
</file>

<file path=xl/calcChain.xml><?xml version="1.0" encoding="utf-8"?>
<calcChain xmlns="http://schemas.openxmlformats.org/spreadsheetml/2006/main">
  <c r="T34" i="863" l="1"/>
  <c r="T35" i="863"/>
  <c r="T36" i="863"/>
  <c r="T37" i="863"/>
  <c r="T38" i="863"/>
  <c r="T39" i="863"/>
  <c r="T40" i="863"/>
  <c r="T41" i="863"/>
  <c r="T19" i="863"/>
  <c r="T20" i="863"/>
  <c r="T21" i="863"/>
  <c r="T22" i="863"/>
  <c r="T23" i="863"/>
  <c r="T24" i="863"/>
  <c r="T25" i="863"/>
  <c r="T26" i="863"/>
  <c r="T27" i="863"/>
  <c r="T28" i="863"/>
  <c r="T29" i="863"/>
  <c r="T30" i="863"/>
  <c r="T31" i="863"/>
  <c r="T32" i="863"/>
  <c r="T33" i="863"/>
  <c r="T5" i="863"/>
  <c r="T6" i="863"/>
  <c r="T7" i="863"/>
  <c r="T8" i="863"/>
  <c r="T9" i="863"/>
  <c r="T10" i="863"/>
  <c r="T11" i="863"/>
  <c r="T12" i="863"/>
  <c r="T13" i="863"/>
  <c r="T14" i="863"/>
  <c r="T15" i="863"/>
  <c r="T16" i="863"/>
  <c r="T17" i="863"/>
  <c r="T18" i="863"/>
  <c r="Q24" i="863"/>
  <c r="Q25" i="863"/>
  <c r="Q26" i="863"/>
  <c r="Q27" i="863"/>
  <c r="Q28" i="863"/>
  <c r="Q29" i="863"/>
  <c r="Q30" i="863"/>
  <c r="Q31" i="863"/>
  <c r="Q32" i="863"/>
  <c r="Q33" i="863"/>
  <c r="Q34" i="863"/>
  <c r="Q35" i="863"/>
  <c r="Q36" i="863"/>
  <c r="Q37" i="863"/>
  <c r="Q38" i="863"/>
  <c r="Q39" i="863"/>
  <c r="Q40" i="863"/>
  <c r="Q41" i="863"/>
  <c r="Q7" i="863"/>
  <c r="Q8" i="863"/>
  <c r="Q9" i="863"/>
  <c r="Q10" i="863"/>
  <c r="Q11" i="863"/>
  <c r="Q12" i="863"/>
  <c r="Q13" i="863"/>
  <c r="Q14" i="863"/>
  <c r="Q15" i="863"/>
  <c r="Q16" i="863"/>
  <c r="Q17" i="863"/>
  <c r="Q18" i="863"/>
  <c r="Q19" i="863"/>
  <c r="Q20" i="863"/>
  <c r="Q21" i="863"/>
  <c r="Q22" i="863"/>
  <c r="Q23" i="863"/>
  <c r="T4" i="863" l="1"/>
  <c r="Q4" i="863"/>
  <c r="Q5" i="863"/>
  <c r="Q6" i="863"/>
  <c r="Q6" i="862" l="1"/>
  <c r="T6" i="862"/>
  <c r="Q7" i="862"/>
  <c r="T7" i="862"/>
  <c r="Q8" i="862"/>
  <c r="T8" i="862"/>
  <c r="Q9" i="862"/>
  <c r="T9" i="862"/>
  <c r="S42" i="863" l="1"/>
  <c r="N42" i="863"/>
  <c r="M42" i="863"/>
  <c r="D42" i="863"/>
  <c r="C42" i="863"/>
  <c r="T42" i="863" l="1"/>
  <c r="Q42" i="863"/>
  <c r="Q30" i="862"/>
  <c r="T30" i="862"/>
  <c r="Q31" i="862"/>
  <c r="T31" i="862"/>
  <c r="Q32" i="862"/>
  <c r="T32" i="862"/>
  <c r="Q33" i="862"/>
  <c r="T33" i="862"/>
  <c r="Q34" i="862"/>
  <c r="T34" i="862"/>
  <c r="Q35" i="862"/>
  <c r="T35" i="862"/>
  <c r="Q36" i="862"/>
  <c r="T36" i="862"/>
  <c r="Q37" i="862"/>
  <c r="T37" i="862"/>
  <c r="Q38" i="862"/>
  <c r="T38" i="862"/>
  <c r="Q27" i="862" l="1"/>
  <c r="T27" i="862"/>
  <c r="Q28" i="862"/>
  <c r="T28" i="862"/>
  <c r="Q29" i="862"/>
  <c r="T29" i="862"/>
  <c r="S45" i="862"/>
  <c r="N45" i="862"/>
  <c r="M45" i="862"/>
  <c r="D45" i="862"/>
  <c r="C45" i="862"/>
  <c r="T44" i="862"/>
  <c r="Q44" i="862"/>
  <c r="T43" i="862"/>
  <c r="Q43" i="862"/>
  <c r="T42" i="862"/>
  <c r="Q42" i="862"/>
  <c r="T41" i="862"/>
  <c r="Q41" i="862"/>
  <c r="T40" i="862"/>
  <c r="Q40" i="862"/>
  <c r="T39" i="862"/>
  <c r="Q39" i="862"/>
  <c r="T26" i="862"/>
  <c r="Q26" i="862"/>
  <c r="T25" i="862"/>
  <c r="Q25" i="862"/>
  <c r="T24" i="862"/>
  <c r="Q24" i="862"/>
  <c r="T23" i="862"/>
  <c r="Q23" i="862"/>
  <c r="T22" i="862"/>
  <c r="Q22" i="862"/>
  <c r="T21" i="862"/>
  <c r="Q21" i="862"/>
  <c r="T20" i="862"/>
  <c r="Q20" i="862"/>
  <c r="T19" i="862"/>
  <c r="Q19" i="862"/>
  <c r="T18" i="862"/>
  <c r="Q18" i="862"/>
  <c r="T17" i="862"/>
  <c r="Q17" i="862"/>
  <c r="T16" i="862"/>
  <c r="Q16" i="862"/>
  <c r="T15" i="862"/>
  <c r="Q15" i="862"/>
  <c r="T14" i="862"/>
  <c r="Q14" i="862"/>
  <c r="T13" i="862"/>
  <c r="Q13" i="862"/>
  <c r="T12" i="862"/>
  <c r="Q12" i="862"/>
  <c r="T11" i="862"/>
  <c r="Q11" i="862"/>
  <c r="T10" i="862"/>
  <c r="Q10" i="862"/>
  <c r="T5" i="862"/>
  <c r="Q5" i="862"/>
  <c r="T4" i="862"/>
  <c r="Q4" i="862"/>
  <c r="Q45" i="862" l="1"/>
  <c r="T45" i="862"/>
  <c r="Q7" i="861"/>
  <c r="T7" i="861"/>
  <c r="Q13" i="861"/>
  <c r="T13" i="861"/>
  <c r="Q12" i="861"/>
  <c r="T12" i="861"/>
  <c r="Q15" i="861"/>
  <c r="T15" i="861"/>
  <c r="Q14" i="861"/>
  <c r="T14" i="861"/>
  <c r="Q8" i="861"/>
  <c r="T8" i="861"/>
  <c r="Q27" i="861"/>
  <c r="T27" i="861"/>
  <c r="Q6" i="861"/>
  <c r="T6" i="861"/>
  <c r="S34" i="861" l="1"/>
  <c r="N34" i="861"/>
  <c r="M34" i="861"/>
  <c r="D34" i="861"/>
  <c r="C34" i="861"/>
  <c r="T33" i="861"/>
  <c r="Q33" i="861"/>
  <c r="T32" i="861"/>
  <c r="Q32" i="861"/>
  <c r="T31" i="861"/>
  <c r="Q31" i="861"/>
  <c r="T30" i="861"/>
  <c r="Q30" i="861"/>
  <c r="T29" i="861"/>
  <c r="Q29" i="861"/>
  <c r="T28" i="861"/>
  <c r="Q28" i="861"/>
  <c r="T26" i="861"/>
  <c r="Q26" i="861"/>
  <c r="T25" i="861"/>
  <c r="Q25" i="861"/>
  <c r="T24" i="861"/>
  <c r="Q24" i="861"/>
  <c r="T23" i="861"/>
  <c r="Q23" i="861"/>
  <c r="T22" i="861"/>
  <c r="Q22" i="861"/>
  <c r="T21" i="861"/>
  <c r="Q21" i="861"/>
  <c r="T20" i="861"/>
  <c r="Q20" i="861"/>
  <c r="T19" i="861"/>
  <c r="Q19" i="861"/>
  <c r="T18" i="861"/>
  <c r="Q18" i="861"/>
  <c r="T17" i="861"/>
  <c r="Q17" i="861"/>
  <c r="T16" i="861"/>
  <c r="Q16" i="861"/>
  <c r="T11" i="861"/>
  <c r="Q11" i="861"/>
  <c r="T10" i="861"/>
  <c r="Q10" i="861"/>
  <c r="T9" i="861"/>
  <c r="Q9" i="861"/>
  <c r="T5" i="861"/>
  <c r="Q5" i="861"/>
  <c r="T4" i="861"/>
  <c r="Q4" i="861"/>
  <c r="T9" i="860"/>
  <c r="T10" i="860"/>
  <c r="T11" i="860"/>
  <c r="T12" i="860"/>
  <c r="T13" i="860"/>
  <c r="T14" i="860"/>
  <c r="T15" i="860"/>
  <c r="T16" i="860"/>
  <c r="T17" i="860"/>
  <c r="T18" i="860"/>
  <c r="T19" i="860"/>
  <c r="T20" i="860"/>
  <c r="T21" i="860"/>
  <c r="T22" i="860"/>
  <c r="T23" i="860"/>
  <c r="T24" i="860"/>
  <c r="T25" i="860"/>
  <c r="T26" i="860"/>
  <c r="T27" i="860"/>
  <c r="T28" i="860"/>
  <c r="T29" i="860"/>
  <c r="T30" i="860"/>
  <c r="T31" i="860"/>
  <c r="T32" i="860"/>
  <c r="T33" i="860"/>
  <c r="T4" i="860"/>
  <c r="T5" i="860"/>
  <c r="T6" i="860"/>
  <c r="T7" i="860"/>
  <c r="Q22" i="860"/>
  <c r="Q23" i="860"/>
  <c r="Q24" i="860"/>
  <c r="Q25" i="860"/>
  <c r="Q26" i="860"/>
  <c r="Q27" i="860"/>
  <c r="Q28" i="860"/>
  <c r="Q29" i="860"/>
  <c r="Q30" i="860"/>
  <c r="Q31" i="860"/>
  <c r="Q32" i="860"/>
  <c r="Q33" i="860"/>
  <c r="Q9" i="860"/>
  <c r="Q10" i="860"/>
  <c r="Q11" i="860"/>
  <c r="Q12" i="860"/>
  <c r="Q13" i="860"/>
  <c r="Q14" i="860"/>
  <c r="Q15" i="860"/>
  <c r="Q16" i="860"/>
  <c r="Q17" i="860"/>
  <c r="Q18" i="860"/>
  <c r="Q19" i="860"/>
  <c r="Q20" i="860"/>
  <c r="Q21" i="860"/>
  <c r="Q4" i="860"/>
  <c r="Q5" i="860"/>
  <c r="Q6" i="860"/>
  <c r="Q7" i="860"/>
  <c r="T34" i="861" l="1"/>
  <c r="Q34" i="861"/>
  <c r="T8" i="860"/>
  <c r="Q8" i="860"/>
  <c r="S34" i="860" l="1"/>
  <c r="N34" i="860"/>
  <c r="M34" i="860"/>
  <c r="D34" i="860"/>
  <c r="C34" i="860"/>
  <c r="Q34" i="860" l="1"/>
  <c r="T34" i="860"/>
  <c r="Q21" i="859"/>
  <c r="T21" i="859"/>
  <c r="Q22" i="859"/>
  <c r="T22" i="859"/>
  <c r="Q23" i="859"/>
  <c r="T23" i="859"/>
  <c r="Q24" i="859"/>
  <c r="T24" i="859"/>
  <c r="Q25" i="859"/>
  <c r="T25" i="859"/>
  <c r="Q6" i="859"/>
  <c r="T6" i="859"/>
  <c r="Q5" i="859"/>
  <c r="T5" i="859"/>
  <c r="Q29" i="859"/>
  <c r="T29" i="859"/>
  <c r="Q19" i="859"/>
  <c r="T19" i="859"/>
  <c r="S47" i="859" l="1"/>
  <c r="N47" i="859"/>
  <c r="M47" i="859"/>
  <c r="D47" i="859"/>
  <c r="C47" i="859"/>
  <c r="T46" i="859"/>
  <c r="Q46" i="859"/>
  <c r="T45" i="859"/>
  <c r="Q45" i="859"/>
  <c r="T44" i="859"/>
  <c r="Q44" i="859"/>
  <c r="T43" i="859"/>
  <c r="Q43" i="859"/>
  <c r="T42" i="859"/>
  <c r="Q42" i="859"/>
  <c r="T41" i="859"/>
  <c r="Q41" i="859"/>
  <c r="T40" i="859"/>
  <c r="Q40" i="859"/>
  <c r="T39" i="859"/>
  <c r="Q39" i="859"/>
  <c r="T38" i="859"/>
  <c r="Q38" i="859"/>
  <c r="T37" i="859"/>
  <c r="Q37" i="859"/>
  <c r="T36" i="859"/>
  <c r="Q36" i="859"/>
  <c r="T35" i="859"/>
  <c r="Q35" i="859"/>
  <c r="T34" i="859"/>
  <c r="Q34" i="859"/>
  <c r="T33" i="859"/>
  <c r="Q33" i="859"/>
  <c r="T32" i="859"/>
  <c r="Q32" i="859"/>
  <c r="T31" i="859"/>
  <c r="Q31" i="859"/>
  <c r="T30" i="859"/>
  <c r="Q30" i="859"/>
  <c r="T28" i="859"/>
  <c r="Q28" i="859"/>
  <c r="T27" i="859"/>
  <c r="Q27" i="859"/>
  <c r="T26" i="859"/>
  <c r="Q26" i="859"/>
  <c r="T20" i="859"/>
  <c r="Q20" i="859"/>
  <c r="T18" i="859"/>
  <c r="Q18" i="859"/>
  <c r="T17" i="859"/>
  <c r="Q17" i="859"/>
  <c r="T16" i="859"/>
  <c r="Q16" i="859"/>
  <c r="T15" i="859"/>
  <c r="Q15" i="859"/>
  <c r="T14" i="859"/>
  <c r="Q14" i="859"/>
  <c r="T13" i="859"/>
  <c r="Q13" i="859"/>
  <c r="T12" i="859"/>
  <c r="Q12" i="859"/>
  <c r="T11" i="859"/>
  <c r="Q11" i="859"/>
  <c r="T10" i="859"/>
  <c r="Q10" i="859"/>
  <c r="T9" i="859"/>
  <c r="Q9" i="859"/>
  <c r="T8" i="859"/>
  <c r="Q8" i="859"/>
  <c r="T7" i="859"/>
  <c r="Q7" i="859"/>
  <c r="T4" i="859"/>
  <c r="Q4" i="859"/>
  <c r="Q47" i="859" l="1"/>
  <c r="T47" i="859"/>
  <c r="Q32" i="858"/>
  <c r="T32" i="858"/>
  <c r="Q43" i="858" l="1"/>
  <c r="T43" i="858"/>
  <c r="Q44" i="858"/>
  <c r="T44" i="858"/>
  <c r="Q45" i="858"/>
  <c r="T45" i="858"/>
  <c r="Q20" i="858"/>
  <c r="T20" i="858"/>
  <c r="Q21" i="858"/>
  <c r="T21" i="858"/>
  <c r="Q22" i="858"/>
  <c r="T22" i="858"/>
  <c r="Q23" i="858"/>
  <c r="T23" i="858"/>
  <c r="Q33" i="858"/>
  <c r="T33" i="858"/>
  <c r="Q34" i="858"/>
  <c r="T34" i="858"/>
  <c r="Q31" i="858" l="1"/>
  <c r="T31" i="858"/>
  <c r="S51" i="858"/>
  <c r="N51" i="858"/>
  <c r="M51" i="858"/>
  <c r="D51" i="858"/>
  <c r="C51" i="858"/>
  <c r="T50" i="858"/>
  <c r="Q50" i="858"/>
  <c r="T49" i="858"/>
  <c r="Q49" i="858"/>
  <c r="T48" i="858"/>
  <c r="Q48" i="858"/>
  <c r="T47" i="858"/>
  <c r="Q47" i="858"/>
  <c r="T46" i="858"/>
  <c r="Q46" i="858"/>
  <c r="T42" i="858"/>
  <c r="Q42" i="858"/>
  <c r="T41" i="858"/>
  <c r="Q41" i="858"/>
  <c r="T40" i="858"/>
  <c r="Q40" i="858"/>
  <c r="T39" i="858"/>
  <c r="Q39" i="858"/>
  <c r="T38" i="858"/>
  <c r="Q38" i="858"/>
  <c r="T37" i="858"/>
  <c r="Q37" i="858"/>
  <c r="T36" i="858"/>
  <c r="Q36" i="858"/>
  <c r="T35" i="858"/>
  <c r="Q35" i="858"/>
  <c r="T30" i="858"/>
  <c r="Q30" i="858"/>
  <c r="T29" i="858"/>
  <c r="Q29" i="858"/>
  <c r="T28" i="858"/>
  <c r="Q28" i="858"/>
  <c r="T27" i="858"/>
  <c r="Q27" i="858"/>
  <c r="T26" i="858"/>
  <c r="Q26" i="858"/>
  <c r="T25" i="858"/>
  <c r="Q25" i="858"/>
  <c r="T24" i="858"/>
  <c r="Q24" i="858"/>
  <c r="T19" i="858"/>
  <c r="Q19" i="858"/>
  <c r="T18" i="858"/>
  <c r="Q18" i="858"/>
  <c r="T17" i="858"/>
  <c r="Q17" i="858"/>
  <c r="T16" i="858"/>
  <c r="Q16" i="858"/>
  <c r="T15" i="858"/>
  <c r="Q15" i="858"/>
  <c r="T14" i="858"/>
  <c r="Q14" i="858"/>
  <c r="T13" i="858"/>
  <c r="Q13" i="858"/>
  <c r="T12" i="858"/>
  <c r="Q12" i="858"/>
  <c r="T11" i="858"/>
  <c r="Q11" i="858"/>
  <c r="T10" i="858"/>
  <c r="Q10" i="858"/>
  <c r="T9" i="858"/>
  <c r="Q9" i="858"/>
  <c r="T8" i="858"/>
  <c r="Q8" i="858"/>
  <c r="T7" i="858"/>
  <c r="Q7" i="858"/>
  <c r="T6" i="858"/>
  <c r="Q6" i="858"/>
  <c r="T5" i="858"/>
  <c r="Q5" i="858"/>
  <c r="T4" i="858"/>
  <c r="Q4" i="858"/>
  <c r="Q51" i="858" l="1"/>
  <c r="T51" i="858"/>
  <c r="Q62" i="857"/>
  <c r="T62" i="857"/>
  <c r="Q64" i="857"/>
  <c r="T64" i="857"/>
  <c r="Q63" i="857"/>
  <c r="T63" i="857"/>
  <c r="Q61" i="857"/>
  <c r="T61" i="857"/>
  <c r="Q33" i="857"/>
  <c r="T33" i="857"/>
  <c r="Q32" i="857"/>
  <c r="T32" i="857"/>
  <c r="Q31" i="857"/>
  <c r="T31" i="857"/>
  <c r="S66" i="857" l="1"/>
  <c r="N66" i="857"/>
  <c r="M66" i="857"/>
  <c r="D66" i="857"/>
  <c r="C66" i="857"/>
  <c r="T65" i="857"/>
  <c r="Q65" i="857"/>
  <c r="T60" i="857"/>
  <c r="Q60" i="857"/>
  <c r="T59" i="857"/>
  <c r="Q59" i="857"/>
  <c r="T58" i="857"/>
  <c r="Q58" i="857"/>
  <c r="T57" i="857"/>
  <c r="Q57" i="857"/>
  <c r="T56" i="857"/>
  <c r="Q56" i="857"/>
  <c r="T55" i="857"/>
  <c r="Q55" i="857"/>
  <c r="T54" i="857"/>
  <c r="Q54" i="857"/>
  <c r="T53" i="857"/>
  <c r="Q53" i="857"/>
  <c r="T52" i="857"/>
  <c r="Q52" i="857"/>
  <c r="T51" i="857"/>
  <c r="Q51" i="857"/>
  <c r="T50" i="857"/>
  <c r="Q50" i="857"/>
  <c r="T49" i="857"/>
  <c r="Q49" i="857"/>
  <c r="T48" i="857"/>
  <c r="Q48" i="857"/>
  <c r="T47" i="857"/>
  <c r="Q47" i="857"/>
  <c r="T46" i="857"/>
  <c r="Q46" i="857"/>
  <c r="T45" i="857"/>
  <c r="Q45" i="857"/>
  <c r="T44" i="857"/>
  <c r="Q44" i="857"/>
  <c r="T43" i="857"/>
  <c r="Q43" i="857"/>
  <c r="T42" i="857"/>
  <c r="Q42" i="857"/>
  <c r="T41" i="857"/>
  <c r="Q41" i="857"/>
  <c r="T40" i="857"/>
  <c r="Q40" i="857"/>
  <c r="T39" i="857"/>
  <c r="Q39" i="857"/>
  <c r="T38" i="857"/>
  <c r="Q38" i="857"/>
  <c r="T37" i="857"/>
  <c r="Q37" i="857"/>
  <c r="T36" i="857"/>
  <c r="Q36" i="857"/>
  <c r="T35" i="857"/>
  <c r="Q35" i="857"/>
  <c r="T34" i="857"/>
  <c r="Q34" i="857"/>
  <c r="T30" i="857"/>
  <c r="Q30" i="857"/>
  <c r="T29" i="857"/>
  <c r="Q29" i="857"/>
  <c r="T28" i="857"/>
  <c r="Q28" i="857"/>
  <c r="T27" i="857"/>
  <c r="Q27" i="857"/>
  <c r="T26" i="857"/>
  <c r="Q26" i="857"/>
  <c r="T25" i="857"/>
  <c r="Q25" i="857"/>
  <c r="T24" i="857"/>
  <c r="Q24" i="857"/>
  <c r="T23" i="857"/>
  <c r="Q23" i="857"/>
  <c r="T22" i="857"/>
  <c r="Q22" i="857"/>
  <c r="T21" i="857"/>
  <c r="Q21" i="857"/>
  <c r="T20" i="857"/>
  <c r="Q20" i="857"/>
  <c r="T19" i="857"/>
  <c r="Q19" i="857"/>
  <c r="T18" i="857"/>
  <c r="Q18" i="857"/>
  <c r="T17" i="857"/>
  <c r="Q17" i="857"/>
  <c r="T16" i="857"/>
  <c r="Q16" i="857"/>
  <c r="T15" i="857"/>
  <c r="Q15" i="857"/>
  <c r="T14" i="857"/>
  <c r="Q14" i="857"/>
  <c r="T13" i="857"/>
  <c r="Q13" i="857"/>
  <c r="T12" i="857"/>
  <c r="Q12" i="857"/>
  <c r="T11" i="857"/>
  <c r="Q11" i="857"/>
  <c r="T10" i="857"/>
  <c r="Q10" i="857"/>
  <c r="T9" i="857"/>
  <c r="Q9" i="857"/>
  <c r="T8" i="857"/>
  <c r="Q8" i="857"/>
  <c r="T7" i="857"/>
  <c r="Q7" i="857"/>
  <c r="T6" i="857"/>
  <c r="Q6" i="857"/>
  <c r="T5" i="857"/>
  <c r="Q5" i="857"/>
  <c r="T4" i="857"/>
  <c r="Q4" i="857"/>
  <c r="T66" i="857" l="1"/>
  <c r="Q66" i="857"/>
  <c r="Q17" i="856"/>
  <c r="T17" i="856"/>
  <c r="Q18" i="856"/>
  <c r="T18" i="856"/>
  <c r="Q19" i="856"/>
  <c r="T19" i="856"/>
  <c r="Q79" i="856"/>
  <c r="T79" i="856"/>
  <c r="Q51" i="856"/>
  <c r="T51" i="856"/>
  <c r="Q53" i="856"/>
  <c r="T53" i="856"/>
  <c r="Q54" i="856"/>
  <c r="T54" i="856"/>
  <c r="Q55" i="856"/>
  <c r="T55" i="856"/>
  <c r="Q56" i="856"/>
  <c r="T56" i="856"/>
  <c r="Q16" i="856"/>
  <c r="T16" i="856"/>
  <c r="S80" i="856"/>
  <c r="N80" i="856"/>
  <c r="M80" i="856"/>
  <c r="D80" i="856"/>
  <c r="C80" i="856"/>
  <c r="T78" i="856"/>
  <c r="Q78" i="856"/>
  <c r="T77" i="856"/>
  <c r="Q77" i="856"/>
  <c r="T76" i="856"/>
  <c r="Q76" i="856"/>
  <c r="T75" i="856"/>
  <c r="Q75" i="856"/>
  <c r="T74" i="856"/>
  <c r="Q74" i="856"/>
  <c r="T73" i="856"/>
  <c r="Q73" i="856"/>
  <c r="T72" i="856"/>
  <c r="Q72" i="856"/>
  <c r="T71" i="856"/>
  <c r="Q71" i="856"/>
  <c r="T70" i="856"/>
  <c r="Q70" i="856"/>
  <c r="T69" i="856"/>
  <c r="Q69" i="856"/>
  <c r="T68" i="856"/>
  <c r="Q68" i="856"/>
  <c r="T67" i="856"/>
  <c r="Q67" i="856"/>
  <c r="T66" i="856"/>
  <c r="Q66" i="856"/>
  <c r="T65" i="856"/>
  <c r="Q65" i="856"/>
  <c r="T64" i="856"/>
  <c r="Q64" i="856"/>
  <c r="T63" i="856"/>
  <c r="Q63" i="856"/>
  <c r="T62" i="856"/>
  <c r="Q62" i="856"/>
  <c r="T61" i="856"/>
  <c r="Q61" i="856"/>
  <c r="T60" i="856"/>
  <c r="Q60" i="856"/>
  <c r="T59" i="856"/>
  <c r="Q59" i="856"/>
  <c r="T58" i="856"/>
  <c r="Q58" i="856"/>
  <c r="T57" i="856"/>
  <c r="Q57" i="856"/>
  <c r="T52" i="856"/>
  <c r="Q52" i="856"/>
  <c r="T50" i="856"/>
  <c r="Q50" i="856"/>
  <c r="T49" i="856"/>
  <c r="Q49" i="856"/>
  <c r="T48" i="856"/>
  <c r="Q48" i="856"/>
  <c r="T47" i="856"/>
  <c r="Q47" i="856"/>
  <c r="T46" i="856"/>
  <c r="Q46" i="856"/>
  <c r="T45" i="856"/>
  <c r="Q45" i="856"/>
  <c r="T44" i="856"/>
  <c r="Q44" i="856"/>
  <c r="T43" i="856"/>
  <c r="Q43" i="856"/>
  <c r="T42" i="856"/>
  <c r="Q42" i="856"/>
  <c r="T41" i="856"/>
  <c r="Q41" i="856"/>
  <c r="T40" i="856"/>
  <c r="Q40" i="856"/>
  <c r="T39" i="856"/>
  <c r="Q39" i="856"/>
  <c r="T38" i="856"/>
  <c r="Q38" i="856"/>
  <c r="T37" i="856"/>
  <c r="Q37" i="856"/>
  <c r="T36" i="856"/>
  <c r="Q36" i="856"/>
  <c r="T35" i="856"/>
  <c r="Q35" i="856"/>
  <c r="T34" i="856"/>
  <c r="Q34" i="856"/>
  <c r="T33" i="856"/>
  <c r="Q33" i="856"/>
  <c r="T32" i="856"/>
  <c r="Q32" i="856"/>
  <c r="T31" i="856"/>
  <c r="Q31" i="856"/>
  <c r="T30" i="856"/>
  <c r="Q30" i="856"/>
  <c r="T29" i="856"/>
  <c r="Q29" i="856"/>
  <c r="T28" i="856"/>
  <c r="Q28" i="856"/>
  <c r="T27" i="856"/>
  <c r="Q27" i="856"/>
  <c r="T26" i="856"/>
  <c r="Q26" i="856"/>
  <c r="T25" i="856"/>
  <c r="Q25" i="856"/>
  <c r="T24" i="856"/>
  <c r="Q24" i="856"/>
  <c r="T23" i="856"/>
  <c r="Q23" i="856"/>
  <c r="T22" i="856"/>
  <c r="Q22" i="856"/>
  <c r="T21" i="856"/>
  <c r="Q21" i="856"/>
  <c r="T20" i="856"/>
  <c r="Q20" i="856"/>
  <c r="T15" i="856"/>
  <c r="Q15" i="856"/>
  <c r="T14" i="856"/>
  <c r="Q14" i="856"/>
  <c r="T13" i="856"/>
  <c r="Q13" i="856"/>
  <c r="T12" i="856"/>
  <c r="Q12" i="856"/>
  <c r="T11" i="856"/>
  <c r="Q11" i="856"/>
  <c r="T10" i="856"/>
  <c r="Q10" i="856"/>
  <c r="T9" i="856"/>
  <c r="Q9" i="856"/>
  <c r="T8" i="856"/>
  <c r="Q8" i="856"/>
  <c r="T7" i="856"/>
  <c r="Q7" i="856"/>
  <c r="T6" i="856"/>
  <c r="Q6" i="856"/>
  <c r="T5" i="856"/>
  <c r="Q5" i="856"/>
  <c r="T4" i="856"/>
  <c r="Q4" i="856"/>
  <c r="T80" i="856" l="1"/>
  <c r="Q80" i="856"/>
  <c r="N41" i="832" l="1"/>
  <c r="M41" i="832"/>
  <c r="D41" i="832"/>
  <c r="C41" i="832"/>
  <c r="T40" i="832"/>
  <c r="Q40" i="832"/>
  <c r="T39" i="832"/>
  <c r="Q39" i="832"/>
  <c r="T38" i="832"/>
  <c r="Q38" i="832"/>
  <c r="T37" i="832"/>
  <c r="Q37" i="832"/>
  <c r="T36" i="832"/>
  <c r="Q36" i="832"/>
  <c r="T35" i="832"/>
  <c r="Q35" i="832"/>
  <c r="T34" i="832"/>
  <c r="Q34" i="832"/>
  <c r="T33" i="832"/>
  <c r="Q33" i="832"/>
  <c r="T32" i="832"/>
  <c r="Q32" i="832"/>
  <c r="T31" i="832"/>
  <c r="Q31" i="832"/>
  <c r="T30" i="832"/>
  <c r="Q30" i="832"/>
  <c r="T29" i="832"/>
  <c r="S29" i="832"/>
  <c r="S41" i="832" s="1"/>
  <c r="Q29" i="832"/>
  <c r="T28" i="832"/>
  <c r="Q28" i="832"/>
  <c r="T27" i="832"/>
  <c r="Q27" i="832"/>
  <c r="T26" i="832"/>
  <c r="Q26" i="832"/>
  <c r="T25" i="832"/>
  <c r="Q25" i="832"/>
  <c r="T24" i="832"/>
  <c r="Q24" i="832"/>
  <c r="T23" i="832"/>
  <c r="Q23" i="832"/>
  <c r="T22" i="832"/>
  <c r="Q22" i="832"/>
  <c r="T21" i="832"/>
  <c r="Q21" i="832"/>
  <c r="W20" i="832"/>
  <c r="T20" i="832"/>
  <c r="Q20" i="832"/>
  <c r="T19" i="832"/>
  <c r="Q19" i="832"/>
  <c r="T18" i="832"/>
  <c r="Q18" i="832"/>
  <c r="T17" i="832"/>
  <c r="Q17" i="832"/>
  <c r="T16" i="832"/>
  <c r="Q16" i="832"/>
  <c r="T15" i="832"/>
  <c r="Q15" i="832"/>
  <c r="T14" i="832"/>
  <c r="Q14" i="832"/>
  <c r="T13" i="832"/>
  <c r="Q13" i="832"/>
  <c r="T12" i="832"/>
  <c r="Q12" i="832"/>
  <c r="W11" i="832"/>
  <c r="T11" i="832"/>
  <c r="Q11" i="832"/>
  <c r="T10" i="832"/>
  <c r="Q10" i="832"/>
  <c r="T9" i="832"/>
  <c r="Q9" i="832"/>
  <c r="T8" i="832"/>
  <c r="Q8" i="832"/>
  <c r="T7" i="832"/>
  <c r="Q7" i="832"/>
  <c r="T6" i="832"/>
  <c r="Q6" i="832"/>
  <c r="T5" i="832"/>
  <c r="Q5" i="832"/>
  <c r="W4" i="832"/>
  <c r="T4" i="832"/>
  <c r="Q4" i="832"/>
  <c r="Q41" i="832" l="1"/>
  <c r="T41" i="832"/>
</calcChain>
</file>

<file path=xl/sharedStrings.xml><?xml version="1.0" encoding="utf-8"?>
<sst xmlns="http://schemas.openxmlformats.org/spreadsheetml/2006/main" count="2108" uniqueCount="220">
  <si>
    <t>Références</t>
  </si>
  <si>
    <t>Nombre de pièces</t>
  </si>
  <si>
    <t xml:space="preserve">Nombre de bacs </t>
  </si>
  <si>
    <t>N° de bacs</t>
  </si>
  <si>
    <t>Date d'isolement</t>
  </si>
  <si>
    <t>Date calibrage</t>
  </si>
  <si>
    <t xml:space="preserve">Localisation </t>
  </si>
  <si>
    <t>Causes</t>
  </si>
  <si>
    <t>OF</t>
  </si>
  <si>
    <t>OP</t>
  </si>
  <si>
    <t>Débloquées</t>
  </si>
  <si>
    <t xml:space="preserve">Rebutées </t>
  </si>
  <si>
    <t xml:space="preserve">Zone qualité </t>
  </si>
  <si>
    <t>Visuel</t>
  </si>
  <si>
    <t>Montage</t>
  </si>
  <si>
    <t>Total</t>
  </si>
  <si>
    <t>Montage + Visuel</t>
  </si>
  <si>
    <t>Moyen de tri</t>
  </si>
  <si>
    <t>Durée de tri (h)</t>
  </si>
  <si>
    <t>Commentaires</t>
  </si>
  <si>
    <t>Autre décision</t>
  </si>
  <si>
    <t>?</t>
  </si>
  <si>
    <t>Dérogation (décision client)</t>
  </si>
  <si>
    <t>Heures de tri</t>
  </si>
  <si>
    <t>Attente Dérogation</t>
  </si>
  <si>
    <t>Efficience tri</t>
  </si>
  <si>
    <t xml:space="preserve">efficience tri </t>
  </si>
  <si>
    <t>Nb d'opérateur présent</t>
  </si>
  <si>
    <t>Heure dispo opérateur</t>
  </si>
  <si>
    <t>Lot Matière</t>
  </si>
  <si>
    <t>En bleu : référence BMW  pour FIFO</t>
  </si>
  <si>
    <t>Attente décision interne</t>
  </si>
  <si>
    <t>3-674EBJ82M-F103I</t>
  </si>
  <si>
    <t>Battement de jupe</t>
  </si>
  <si>
    <t>4-1051EDJ95-F103I</t>
  </si>
  <si>
    <t>GA-97408</t>
  </si>
  <si>
    <t>8-1319PTJ95-F103I</t>
  </si>
  <si>
    <t>MO-97083</t>
  </si>
  <si>
    <r>
      <t>Pistes grippées</t>
    </r>
    <r>
      <rPr>
        <b/>
        <sz val="10"/>
        <rFont val="Arial"/>
        <family val="2"/>
      </rPr>
      <t xml:space="preserve"> Dérogation n°021-15</t>
    </r>
  </si>
  <si>
    <t>3-695EBJ87M-F103I</t>
  </si>
  <si>
    <t>3-641EBJ95M-F103I</t>
  </si>
  <si>
    <t>Battement de queue</t>
  </si>
  <si>
    <t>3-523EBJ100M-F103I</t>
  </si>
  <si>
    <t>XG-181257</t>
  </si>
  <si>
    <t>ES-42860</t>
  </si>
  <si>
    <t>8-1067ETJ95-F103I</t>
  </si>
  <si>
    <t>3-563EBJ95M-F103I</t>
  </si>
  <si>
    <t>Marquage cassé</t>
  </si>
  <si>
    <t>GX-12937</t>
  </si>
  <si>
    <t>3-601EBJ100M-F103I</t>
  </si>
  <si>
    <t>RU-182268</t>
  </si>
  <si>
    <t>3-295BJ79L-F103I</t>
  </si>
  <si>
    <t>Ejecteur cassé</t>
  </si>
  <si>
    <t>Voir listing</t>
  </si>
  <si>
    <t>HE-12938</t>
  </si>
  <si>
    <t>HL-178713</t>
  </si>
  <si>
    <r>
      <rPr>
        <b/>
        <sz val="10"/>
        <rFont val="Arial"/>
        <family val="2"/>
      </rPr>
      <t>Mauvais Aciériste</t>
    </r>
    <r>
      <rPr>
        <sz val="10"/>
        <rFont val="Arial"/>
        <family val="2"/>
      </rPr>
      <t xml:space="preserve"> + Ø jupe max + Hauteur de jupe min</t>
    </r>
    <r>
      <rPr>
        <b/>
        <sz val="10"/>
        <rFont val="Arial"/>
        <family val="2"/>
      </rPr>
      <t xml:space="preserve"> Attente Décision B.BENET</t>
    </r>
  </si>
  <si>
    <t>3-583EBJ82M-F103I</t>
  </si>
  <si>
    <t>4-1064EDJ95-F103I</t>
  </si>
  <si>
    <t>DB-182887</t>
  </si>
  <si>
    <t>Hauteur de jupe max + Largeur piste C max + Mauvais remplissage jupe</t>
  </si>
  <si>
    <r>
      <t xml:space="preserve">Incrustation sur queue </t>
    </r>
    <r>
      <rPr>
        <b/>
        <sz val="10"/>
        <rFont val="Arial"/>
        <family val="2"/>
      </rPr>
      <t>Tri fait Attente Décision B.BENET</t>
    </r>
  </si>
  <si>
    <r>
      <t xml:space="preserve">Trace fond de piste </t>
    </r>
    <r>
      <rPr>
        <b/>
        <sz val="10"/>
        <rFont val="Arial"/>
        <family val="2"/>
      </rPr>
      <t>Tri fait Attente Décision B.BENET</t>
    </r>
  </si>
  <si>
    <t>Mur qualité</t>
  </si>
  <si>
    <t>OG-97082</t>
  </si>
  <si>
    <r>
      <t xml:space="preserve">Marquage cassé </t>
    </r>
    <r>
      <rPr>
        <b/>
        <sz val="10"/>
        <rFont val="Arial"/>
        <family val="2"/>
      </rPr>
      <t>Attente dérogation n°001-16</t>
    </r>
  </si>
  <si>
    <t>4-755EDJ82-F103I</t>
  </si>
  <si>
    <t>OF-97082</t>
  </si>
  <si>
    <t>Battement de queue + jupe</t>
  </si>
  <si>
    <t>Longueur de queue maxi</t>
  </si>
  <si>
    <t>3-690EBJ87M-F103I</t>
  </si>
  <si>
    <t>DS182887</t>
  </si>
  <si>
    <t>DS-182887</t>
  </si>
  <si>
    <t>7 bis</t>
  </si>
  <si>
    <t>Trace de doigts + sur queue</t>
  </si>
  <si>
    <t>Hauteur de jupe max + largeur piste niv C max + largeur piste niv B max Attente dérogation</t>
  </si>
  <si>
    <t>SB-570</t>
  </si>
  <si>
    <t>8-1188ETJ95-F103I</t>
  </si>
  <si>
    <t>1712/2015</t>
  </si>
  <si>
    <t>Trou haut de piste</t>
  </si>
  <si>
    <t>HS-12938</t>
  </si>
  <si>
    <t>4-1145EDJ87-F103I</t>
  </si>
  <si>
    <t>Essai huile</t>
  </si>
  <si>
    <t>DT-182887</t>
  </si>
  <si>
    <t>EE-183311</t>
  </si>
  <si>
    <t>JO-43831</t>
  </si>
  <si>
    <t>Traces sur queue</t>
  </si>
  <si>
    <t>Replis sur queue</t>
  </si>
  <si>
    <t>Trous sur piste</t>
  </si>
  <si>
    <t>JD-43831</t>
  </si>
  <si>
    <t>3-723EBJ82M-F103I</t>
  </si>
  <si>
    <t>MG-568</t>
  </si>
  <si>
    <t>SC-570</t>
  </si>
  <si>
    <t>8-1294PTJ95-F103I</t>
  </si>
  <si>
    <t>RJ-176683</t>
  </si>
  <si>
    <t>Risque replis sur jupe</t>
  </si>
  <si>
    <t>battement de queue + risque replis sur jupe</t>
  </si>
  <si>
    <t>JJ-43831</t>
  </si>
  <si>
    <r>
      <t xml:space="preserve">Trace fond de piste </t>
    </r>
    <r>
      <rPr>
        <b/>
        <sz val="10"/>
        <rFont val="Arial"/>
        <family val="2"/>
      </rPr>
      <t>Tri fait Attente Dérogation</t>
    </r>
  </si>
  <si>
    <t>8-28RC87-F103I</t>
  </si>
  <si>
    <t>Grippage</t>
  </si>
  <si>
    <t>4-756EDJ82-F103I</t>
  </si>
  <si>
    <t>Replis sur jupe</t>
  </si>
  <si>
    <t>3-641EBJ95-F103I</t>
  </si>
  <si>
    <t>PD-749</t>
  </si>
  <si>
    <t>ET-42860</t>
  </si>
  <si>
    <t xml:space="preserve">Mauvais remplissage sphère =&gt; rebutées dans SAP </t>
  </si>
  <si>
    <t>8-398ETJ79-F103I</t>
  </si>
  <si>
    <t>Ligne de barre</t>
  </si>
  <si>
    <t>FT-32960</t>
  </si>
  <si>
    <t>3-583EBJ82-F103I</t>
  </si>
  <si>
    <t>Défaut remplissage</t>
  </si>
  <si>
    <t>3-539BJ95L-F103I</t>
  </si>
  <si>
    <t>KR-21565</t>
  </si>
  <si>
    <t xml:space="preserve">Rayons bout de queue </t>
  </si>
  <si>
    <t xml:space="preserve">Traces de doigts </t>
  </si>
  <si>
    <t>GN-32943</t>
  </si>
  <si>
    <t>3-723EBJ87-F103I</t>
  </si>
  <si>
    <t>Haut de jupe maxi +0,309</t>
  </si>
  <si>
    <t>HC-43827</t>
  </si>
  <si>
    <t>HF-43827</t>
  </si>
  <si>
    <t>7 ter</t>
  </si>
  <si>
    <t>13 ter</t>
  </si>
  <si>
    <t>16 ter</t>
  </si>
  <si>
    <t>14 bis</t>
  </si>
  <si>
    <t>14 ter</t>
  </si>
  <si>
    <t>MN-846</t>
  </si>
  <si>
    <t>Attente dérogation</t>
  </si>
  <si>
    <t>AL-182888</t>
  </si>
  <si>
    <t>Risque piéces gripé</t>
  </si>
  <si>
    <t>3-501EBJ95-F103I</t>
  </si>
  <si>
    <t>Longueur de queue</t>
  </si>
  <si>
    <t>GM-32943</t>
  </si>
  <si>
    <t>3-674EBJ82-F103I</t>
  </si>
  <si>
    <t>Battement jupe</t>
  </si>
  <si>
    <t>4-755EDJ80-F103I</t>
  </si>
  <si>
    <t>BF-43829</t>
  </si>
  <si>
    <t>BE-43829</t>
  </si>
  <si>
    <t>Diamètre jupe maxi +0,153 / Battement point de centre</t>
  </si>
  <si>
    <t>HE-43827</t>
  </si>
  <si>
    <t>Mauvais remplissage sphère</t>
  </si>
  <si>
    <t>Mauvais remplissage</t>
  </si>
  <si>
    <t>Trace de doigt</t>
  </si>
  <si>
    <t>Point de centre cassé</t>
  </si>
  <si>
    <t>EB-183311</t>
  </si>
  <si>
    <t>PK-848</t>
  </si>
  <si>
    <t>TM-183312</t>
  </si>
  <si>
    <r>
      <t xml:space="preserve">Lettre T cassé </t>
    </r>
    <r>
      <rPr>
        <b/>
        <sz val="10"/>
        <rFont val="Arial"/>
        <family val="2"/>
      </rPr>
      <t>Attente de dérogation</t>
    </r>
  </si>
  <si>
    <t xml:space="preserve">Battement sur queue </t>
  </si>
  <si>
    <t>Battement sur queue / replis sur queue</t>
  </si>
  <si>
    <t>Marquage effacé</t>
  </si>
  <si>
    <t>Défaut remplissage / Lettre M cassé</t>
  </si>
  <si>
    <t>Risque de copeaux en bout de queue</t>
  </si>
  <si>
    <t>BG-43829</t>
  </si>
  <si>
    <t>3-595EBJ95-F103I</t>
  </si>
  <si>
    <t>Epaisseur de fond</t>
  </si>
  <si>
    <t>BH-43829</t>
  </si>
  <si>
    <t>AM-182888</t>
  </si>
  <si>
    <t>Hauteur jupe</t>
  </si>
  <si>
    <t>Trace bout de queue</t>
  </si>
  <si>
    <t>BK-43829</t>
  </si>
  <si>
    <t>3-295BJ79-F103I</t>
  </si>
  <si>
    <t>PJ-848</t>
  </si>
  <si>
    <t>Battement queue / Battement jupe</t>
  </si>
  <si>
    <t>HD-43827</t>
  </si>
  <si>
    <t>Fini dans la journée</t>
  </si>
  <si>
    <t>BJ-43829</t>
  </si>
  <si>
    <t>AN-182888</t>
  </si>
  <si>
    <t>PM-848</t>
  </si>
  <si>
    <t>Côtes NC</t>
  </si>
  <si>
    <t>3-693EBJ82-F103I</t>
  </si>
  <si>
    <t>PO-848</t>
  </si>
  <si>
    <t>Battement jupe / queue</t>
  </si>
  <si>
    <t>SK-183311</t>
  </si>
  <si>
    <t>AP-182888</t>
  </si>
  <si>
    <t>Hauteur jupe 0,520</t>
  </si>
  <si>
    <t>4-1072EDJ95-F103I</t>
  </si>
  <si>
    <t>Trace sur piste / Mauvais remplissage</t>
  </si>
  <si>
    <t>BD-43829</t>
  </si>
  <si>
    <t>BP-43829</t>
  </si>
  <si>
    <t>PN-848</t>
  </si>
  <si>
    <t>8-1041ETJ95-F103I</t>
  </si>
  <si>
    <t>CA-21546</t>
  </si>
  <si>
    <r>
      <t xml:space="preserve">Replis sur jupe </t>
    </r>
    <r>
      <rPr>
        <b/>
        <sz val="10"/>
        <color rgb="FFFF0000"/>
        <rFont val="Arial"/>
        <family val="2"/>
      </rPr>
      <t>GALIA</t>
    </r>
  </si>
  <si>
    <t>Risque replis sur queue</t>
  </si>
  <si>
    <t>CD-21546</t>
  </si>
  <si>
    <t>MO-846</t>
  </si>
  <si>
    <t>3-593BT95-F103I</t>
  </si>
  <si>
    <t>Hauteur de jupe</t>
  </si>
  <si>
    <t>CU-21546</t>
  </si>
  <si>
    <t>Battement queue</t>
  </si>
  <si>
    <t>AO-182888</t>
  </si>
  <si>
    <t>3-296BJ79-F103I</t>
  </si>
  <si>
    <t>Hauteur sur bille</t>
  </si>
  <si>
    <t>JH-849</t>
  </si>
  <si>
    <t>DT-21566</t>
  </si>
  <si>
    <t>3-539BJ95-F103I</t>
  </si>
  <si>
    <t>Diamètre sphére mini 0,05</t>
  </si>
  <si>
    <t>Diamètre sphére mini</t>
  </si>
  <si>
    <t>JK-849</t>
  </si>
  <si>
    <t>3-695EBJ87-F103I</t>
  </si>
  <si>
    <t>Diamètre sphére mini -0,743</t>
  </si>
  <si>
    <t>JE-849</t>
  </si>
  <si>
    <t>Trou sur bas sphére</t>
  </si>
  <si>
    <t>Lettre M cassé</t>
  </si>
  <si>
    <t>Replis sur queue / défaut de remplissage</t>
  </si>
  <si>
    <t>Replis sur jupe / défaut de remplissage</t>
  </si>
  <si>
    <r>
      <t xml:space="preserve">Rayon bout de queue </t>
    </r>
    <r>
      <rPr>
        <b/>
        <sz val="10"/>
        <color rgb="FFFF0000"/>
        <rFont val="Arial"/>
        <family val="2"/>
      </rPr>
      <t>GALIA</t>
    </r>
  </si>
  <si>
    <t>CR-21546</t>
  </si>
  <si>
    <t>8-399ETJ79-F103I</t>
  </si>
  <si>
    <t>Hauteur cone extérieur maxi +1,527</t>
  </si>
  <si>
    <t>JG-849</t>
  </si>
  <si>
    <t>DR-21566</t>
  </si>
  <si>
    <t>Outil de recherche</t>
  </si>
  <si>
    <t>Résultat:</t>
  </si>
  <si>
    <t>OF :</t>
  </si>
  <si>
    <t>Débloqué</t>
  </si>
  <si>
    <t>Feuille</t>
  </si>
  <si>
    <t>Cause</t>
  </si>
  <si>
    <t>Rebutées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</si>
</sst>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0"/>
      <name val="Arial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b/>
      <sz val="10"/>
      <color indexed="10"/>
      <name val="Arial"/>
      <family val="2"/>
    </font>
    <font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00B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Fill="1" applyBorder="1"/>
    <xf numFmtId="0" fontId="0" fillId="0" borderId="0" xfId="0" applyFill="1" applyAlignment="1">
      <alignment wrapText="1"/>
    </xf>
    <xf numFmtId="0" fontId="0" fillId="0" borderId="0" xfId="0" applyFill="1"/>
    <xf numFmtId="164" fontId="0" fillId="0" borderId="0" xfId="0" applyNumberFormat="1" applyFill="1"/>
    <xf numFmtId="9" fontId="1" fillId="0" borderId="0" xfId="1" applyFill="1"/>
    <xf numFmtId="0" fontId="0" fillId="0" borderId="0" xfId="0" applyFill="1" applyAlignment="1">
      <alignment horizontal="left"/>
    </xf>
    <xf numFmtId="14" fontId="0" fillId="0" borderId="1" xfId="0" applyNumberFormat="1" applyFill="1" applyBorder="1"/>
    <xf numFmtId="0" fontId="5" fillId="2" borderId="0" xfId="0" applyFont="1" applyFill="1" applyAlignment="1"/>
    <xf numFmtId="0" fontId="0" fillId="0" borderId="2" xfId="0" applyFill="1" applyBorder="1"/>
    <xf numFmtId="0" fontId="6" fillId="0" borderId="0" xfId="0" applyFont="1" applyFill="1"/>
    <xf numFmtId="0" fontId="1" fillId="0" borderId="1" xfId="0" applyFont="1" applyFill="1" applyBorder="1"/>
    <xf numFmtId="0" fontId="4" fillId="0" borderId="1" xfId="0" applyFont="1" applyFill="1" applyBorder="1"/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NumberFormat="1" applyFill="1" applyBorder="1"/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/>
    <xf numFmtId="164" fontId="4" fillId="0" borderId="1" xfId="0" applyNumberFormat="1" applyFont="1" applyFill="1" applyBorder="1"/>
    <xf numFmtId="0" fontId="2" fillId="0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/>
    <xf numFmtId="0" fontId="0" fillId="0" borderId="3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164" fontId="1" fillId="0" borderId="1" xfId="0" applyNumberFormat="1" applyFont="1" applyFill="1" applyBorder="1"/>
    <xf numFmtId="0" fontId="3" fillId="0" borderId="3" xfId="0" applyFont="1" applyFill="1" applyBorder="1" applyAlignment="1">
      <alignment horizontal="center"/>
    </xf>
    <xf numFmtId="0" fontId="3" fillId="0" borderId="3" xfId="0" applyFont="1" applyFill="1" applyBorder="1"/>
    <xf numFmtId="0" fontId="1" fillId="0" borderId="3" xfId="0" applyFont="1" applyFill="1" applyBorder="1" applyAlignment="1">
      <alignment horizontal="center"/>
    </xf>
    <xf numFmtId="164" fontId="3" fillId="0" borderId="3" xfId="0" applyNumberFormat="1" applyFont="1" applyFill="1" applyBorder="1"/>
    <xf numFmtId="14" fontId="1" fillId="0" borderId="1" xfId="0" applyNumberFormat="1" applyFont="1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NumberFormat="1" applyFont="1" applyFill="1" applyBorder="1"/>
    <xf numFmtId="0" fontId="1" fillId="0" borderId="1" xfId="0" applyNumberFormat="1" applyFont="1" applyFill="1" applyBorder="1"/>
    <xf numFmtId="0" fontId="2" fillId="0" borderId="2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wrapText="1"/>
    </xf>
    <xf numFmtId="0" fontId="7" fillId="0" borderId="1" xfId="0" applyFont="1" applyFill="1" applyBorder="1" applyAlignment="1">
      <alignment horizontal="left" wrapText="1"/>
    </xf>
    <xf numFmtId="0" fontId="1" fillId="0" borderId="0" xfId="0" applyFont="1" applyFill="1"/>
    <xf numFmtId="0" fontId="9" fillId="0" borderId="3" xfId="0" applyFont="1" applyFill="1" applyBorder="1" applyAlignment="1">
      <alignment horizontal="center"/>
    </xf>
    <xf numFmtId="0" fontId="9" fillId="0" borderId="3" xfId="0" applyFont="1" applyFill="1" applyBorder="1"/>
    <xf numFmtId="164" fontId="9" fillId="0" borderId="3" xfId="0" applyNumberFormat="1" applyFont="1" applyFill="1" applyBorder="1"/>
    <xf numFmtId="0" fontId="3" fillId="0" borderId="1" xfId="0" applyFont="1" applyFill="1" applyBorder="1"/>
    <xf numFmtId="0" fontId="1" fillId="0" borderId="1" xfId="0" applyFont="1" applyFill="1" applyBorder="1" applyAlignment="1">
      <alignment horizontal="right"/>
    </xf>
    <xf numFmtId="0" fontId="0" fillId="0" borderId="1" xfId="0" applyFont="1" applyFill="1" applyBorder="1" applyAlignment="1">
      <alignment horizontal="right"/>
    </xf>
    <xf numFmtId="0" fontId="0" fillId="3" borderId="0" xfId="0" applyFill="1"/>
    <xf numFmtId="0" fontId="1" fillId="0" borderId="5" xfId="0" applyFont="1" applyFill="1" applyBorder="1" applyAlignment="1">
      <alignment wrapText="1"/>
    </xf>
    <xf numFmtId="0" fontId="0" fillId="0" borderId="5" xfId="0" applyFill="1" applyBorder="1" applyAlignment="1">
      <alignment wrapText="1"/>
    </xf>
    <xf numFmtId="14" fontId="0" fillId="0" borderId="5" xfId="0" applyNumberFormat="1" applyFill="1" applyBorder="1" applyAlignment="1">
      <alignment wrapText="1"/>
    </xf>
    <xf numFmtId="0" fontId="0" fillId="0" borderId="6" xfId="0" applyFill="1" applyBorder="1" applyAlignment="1">
      <alignment wrapText="1"/>
    </xf>
    <xf numFmtId="0" fontId="1" fillId="0" borderId="5" xfId="0" applyNumberFormat="1" applyFont="1" applyFill="1" applyBorder="1" applyAlignment="1">
      <alignment wrapText="1"/>
    </xf>
    <xf numFmtId="0" fontId="0" fillId="0" borderId="7" xfId="0" applyFill="1" applyBorder="1" applyAlignment="1">
      <alignment wrapText="1"/>
    </xf>
    <xf numFmtId="0" fontId="1" fillId="0" borderId="5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/>
    </xf>
    <xf numFmtId="0" fontId="10" fillId="0" borderId="3" xfId="0" applyFont="1" applyFill="1" applyBorder="1"/>
    <xf numFmtId="164" fontId="10" fillId="0" borderId="3" xfId="0" applyNumberFormat="1" applyFont="1" applyFill="1" applyBorder="1"/>
    <xf numFmtId="14" fontId="0" fillId="0" borderId="1" xfId="0" applyNumberForma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2" xfId="0" applyFill="1" applyBorder="1" applyAlignment="1">
      <alignment wrapText="1"/>
    </xf>
    <xf numFmtId="0" fontId="1" fillId="0" borderId="5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0" fillId="0" borderId="0" xfId="0" applyBorder="1" applyAlignment="1">
      <alignment vertical="center"/>
    </xf>
    <xf numFmtId="49" fontId="1" fillId="0" borderId="0" xfId="0" applyNumberFormat="1" applyFont="1" applyBorder="1" applyAlignment="1" applyProtection="1">
      <alignment vertical="center"/>
      <protection locked="0"/>
    </xf>
    <xf numFmtId="0" fontId="1" fillId="0" borderId="19" xfId="0" applyFont="1" applyBorder="1" applyAlignment="1">
      <alignment vertical="center"/>
    </xf>
    <xf numFmtId="49" fontId="1" fillId="0" borderId="16" xfId="0" applyNumberFormat="1" applyFont="1" applyBorder="1" applyAlignment="1" applyProtection="1">
      <alignment vertical="center"/>
      <protection locked="0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06"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ill>
        <patternFill>
          <bgColor indexed="48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rgb="FF000000"/>
          <bgColor rgb="FFFFFFFF"/>
        </patternFill>
      </fill>
    </dxf>
    <dxf>
      <border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80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4</xdr:row>
          <xdr:rowOff>9525</xdr:rowOff>
        </xdr:from>
        <xdr:to>
          <xdr:col>2</xdr:col>
          <xdr:colOff>742950</xdr:colOff>
          <xdr:row>5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9" name="Liste1_737578185102118131_6152_4169_14199_2221_4242_2257_1829932036338641141442142643243944745647548649823456789102345678911121314152345678910111213141617181720" displayName="Liste1_737578185102118131_6152_4169_14199_2221_4242_2257_1829932036338641141442142643243944745647548649823456789102345678911121314152345678910111213141617181720" ref="B3:T41" insertRowShift="1" totalsRowCount="1" headerRowDxfId="405" dataDxfId="403" totalsRowDxfId="401" headerRowBorderDxfId="404" tableBorderDxfId="402" totalsRowBorderDxfId="400">
  <autoFilter ref="B3:T40"/>
  <sortState ref="B4:T57">
    <sortCondition ref="B3:B57"/>
  </sortState>
  <tableColumns count="19">
    <tableColumn id="1" name="Références" totalsRowLabel="Total" dataDxfId="399" totalsRowDxfId="398"/>
    <tableColumn id="3" name="Nombre de pièces" totalsRowFunction="sum" dataDxfId="397" totalsRowDxfId="396"/>
    <tableColumn id="4" name="Nombre de bacs " totalsRowFunction="sum" dataDxfId="395" totalsRowDxfId="394"/>
    <tableColumn id="12" name="N° de bacs" dataDxfId="393" totalsRowDxfId="392"/>
    <tableColumn id="13" name="Date d'isolement" dataDxfId="391" totalsRowDxfId="390"/>
    <tableColumn id="14" name="Date calibrage" dataDxfId="389" totalsRowDxfId="388"/>
    <tableColumn id="11" name="Localisation " dataDxfId="387" totalsRowDxfId="386"/>
    <tableColumn id="5" name="Causes" dataDxfId="385" totalsRowDxfId="384"/>
    <tableColumn id="6" name="OF" dataDxfId="383" totalsRowDxfId="382"/>
    <tableColumn id="20" name="Lot Matière" dataDxfId="381" totalsRowDxfId="380"/>
    <tableColumn id="7" name="OP" dataDxfId="379" totalsRowDxfId="378"/>
    <tableColumn id="8" name="Débloquées" totalsRowFunction="sum" dataDxfId="377" totalsRowDxfId="376"/>
    <tableColumn id="9" name="Rebutées " totalsRowFunction="sum" dataDxfId="375" totalsRowDxfId="374"/>
    <tableColumn id="16" name="Moyen de tri" dataDxfId="373" totalsRowDxfId="372"/>
    <tableColumn id="15" name="Autre décision" dataDxfId="371" totalsRowDxfId="370"/>
    <tableColumn id="10" name="Durée de tri (h)" totalsRowFunction="sum" dataDxfId="369" totalsRowDxfId="368">
      <calculatedColumnFormula>IF(O4&lt;&gt;0,C4/(VLOOKUP(O4,#REF!,2,FALSE)),"")</calculatedColumnFormula>
    </tableColumn>
    <tableColumn id="17" name="Commentaires" dataDxfId="367" totalsRowDxfId="366"/>
    <tableColumn id="19" name="Efficience tri" totalsRowFunction="sum" dataDxfId="365" totalsRowDxfId="364"/>
    <tableColumn id="18" name="Attente Dérogation" totalsRowFunction="sum" dataDxfId="363" totalsRowDxfId="362">
      <calculatedColumnFormula>IF(COUNTIF(P4,"*érogation*"),C4,0)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1" name="Liste1_737578185102118131_6152_4169_14199_2221_4242_2257_182993203633864114144214264324394474564754864982345678910234567891112131415234567891011121314161718172021222323456789101112131415161718192122" displayName="Liste1_737578185102118131_6152_4169_14199_2221_4242_2257_182993203633864114144214264324394474564754864982345678910234567891112131415234567891011121314161718172021222323456789101112131415161718192122" ref="B3:T80" insertRowShift="1" totalsRowCount="1" headerRowDxfId="361" dataDxfId="359" totalsRowDxfId="357" headerRowBorderDxfId="360" tableBorderDxfId="358" totalsRowBorderDxfId="356">
  <autoFilter ref="B3:T79"/>
  <sortState ref="B4:T126">
    <sortCondition ref="B3:B126"/>
  </sortState>
  <tableColumns count="19">
    <tableColumn id="1" name="Références" totalsRowLabel="Total" dataDxfId="355" totalsRowDxfId="354"/>
    <tableColumn id="3" name="Nombre de pièces" totalsRowFunction="sum" dataDxfId="353" totalsRowDxfId="352"/>
    <tableColumn id="4" name="Nombre de bacs " totalsRowFunction="sum" dataDxfId="351" totalsRowDxfId="350"/>
    <tableColumn id="12" name="N° de bacs" dataDxfId="349" totalsRowDxfId="348"/>
    <tableColumn id="13" name="Date d'isolement" dataDxfId="347" totalsRowDxfId="346"/>
    <tableColumn id="14" name="Date calibrage" dataDxfId="345" totalsRowDxfId="344"/>
    <tableColumn id="11" name="Localisation " dataDxfId="343" totalsRowDxfId="342"/>
    <tableColumn id="5" name="Causes" dataDxfId="341" totalsRowDxfId="340"/>
    <tableColumn id="6" name="OF" dataDxfId="339" totalsRowDxfId="338"/>
    <tableColumn id="20" name="Lot Matière" dataDxfId="337" totalsRowDxfId="336"/>
    <tableColumn id="7" name="OP" dataDxfId="335" totalsRowDxfId="334"/>
    <tableColumn id="8" name="Débloquées" totalsRowFunction="sum" dataDxfId="333" totalsRowDxfId="332"/>
    <tableColumn id="9" name="Rebutées " totalsRowFunction="sum" dataDxfId="331" totalsRowDxfId="330"/>
    <tableColumn id="16" name="Moyen de tri" dataDxfId="329" totalsRowDxfId="328"/>
    <tableColumn id="15" name="Autre décision" dataDxfId="327" totalsRowDxfId="326"/>
    <tableColumn id="10" name="Durée de tri (h)" totalsRowFunction="sum" dataDxfId="325" totalsRowDxfId="324">
      <calculatedColumnFormula>IF(O4&lt;&gt;0,C4/(VLOOKUP(O4,#REF!,2,FALSE)),"")</calculatedColumnFormula>
    </tableColumn>
    <tableColumn id="17" name="Commentaires" dataDxfId="323" totalsRowDxfId="322"/>
    <tableColumn id="19" name="Efficience tri" totalsRowFunction="sum" dataDxfId="321" totalsRowDxfId="320"/>
    <tableColumn id="18" name="Attente Dérogation" totalsRowFunction="sum" dataDxfId="319" totalsRowDxfId="318">
      <calculatedColumnFormula>IF(COUNTIF(P4,"*érogation*"),C4,0)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23" name="Liste1_737578185102118131_6152_4169_14199_2221_4242_2257_18299320363386411414421426432439447456475486498234567891023456789111213141523456789101112131416171817202122232345678910111213141516171819212224" displayName="Liste1_737578185102118131_6152_4169_14199_2221_4242_2257_18299320363386411414421426432439447456475486498234567891023456789111213141523456789101112131416171817202122232345678910111213141516171819212224" ref="B3:T66" insertRowShift="1" totalsRowCount="1" headerRowDxfId="317" dataDxfId="315" totalsRowDxfId="313" headerRowBorderDxfId="316" tableBorderDxfId="314" totalsRowBorderDxfId="312">
  <autoFilter ref="B3:T65"/>
  <sortState ref="B4:T126">
    <sortCondition ref="B3:B126"/>
  </sortState>
  <tableColumns count="19">
    <tableColumn id="1" name="Références" totalsRowLabel="Total" dataDxfId="311" totalsRowDxfId="310"/>
    <tableColumn id="3" name="Nombre de pièces" totalsRowFunction="sum" dataDxfId="309" totalsRowDxfId="308"/>
    <tableColumn id="4" name="Nombre de bacs " totalsRowFunction="sum" dataDxfId="307" totalsRowDxfId="306"/>
    <tableColumn id="12" name="N° de bacs" dataDxfId="305" totalsRowDxfId="304"/>
    <tableColumn id="13" name="Date d'isolement" dataDxfId="303" totalsRowDxfId="302"/>
    <tableColumn id="14" name="Date calibrage" dataDxfId="301" totalsRowDxfId="300"/>
    <tableColumn id="11" name="Localisation " dataDxfId="299" totalsRowDxfId="298"/>
    <tableColumn id="5" name="Causes" dataDxfId="297" totalsRowDxfId="296"/>
    <tableColumn id="6" name="OF" dataDxfId="295" totalsRowDxfId="294"/>
    <tableColumn id="20" name="Lot Matière" dataDxfId="293" totalsRowDxfId="292"/>
    <tableColumn id="7" name="OP" dataDxfId="291" totalsRowDxfId="290"/>
    <tableColumn id="8" name="Débloquées" totalsRowFunction="sum" dataDxfId="289" totalsRowDxfId="288"/>
    <tableColumn id="9" name="Rebutées " totalsRowFunction="sum" dataDxfId="287" totalsRowDxfId="286"/>
    <tableColumn id="16" name="Moyen de tri" dataDxfId="285" totalsRowDxfId="284"/>
    <tableColumn id="15" name="Autre décision" dataDxfId="283" totalsRowDxfId="282"/>
    <tableColumn id="10" name="Durée de tri (h)" totalsRowFunction="sum" dataDxfId="281" totalsRowDxfId="280">
      <calculatedColumnFormula>IF(O4&lt;&gt;0,C4/(VLOOKUP(O4,#REF!,2,FALSE)),"")</calculatedColumnFormula>
    </tableColumn>
    <tableColumn id="17" name="Commentaires" dataDxfId="279" totalsRowDxfId="278"/>
    <tableColumn id="19" name="Efficience tri" totalsRowFunction="sum" dataDxfId="277" totalsRowDxfId="276"/>
    <tableColumn id="18" name="Attente Dérogation" totalsRowFunction="sum" dataDxfId="275" totalsRowDxfId="274">
      <calculatedColumnFormula>IF(COUNTIF(P4,"*érogation*"),C4,0)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4" name="Liste1_737578185102118131_6152_4169_14199_2221_4242_2257_1829932036338641141442142643243944745647548649823456789102345678911121314152345678910111213141617181720212223234567891011121314151617181921222425" displayName="Liste1_737578185102118131_6152_4169_14199_2221_4242_2257_1829932036338641141442142643243944745647548649823456789102345678911121314152345678910111213141617181720212223234567891011121314151617181921222425" ref="B3:T51" insertRowShift="1" totalsRowCount="1" headerRowDxfId="273" dataDxfId="271" totalsRowDxfId="269" headerRowBorderDxfId="272" tableBorderDxfId="270" totalsRowBorderDxfId="268">
  <autoFilter ref="B3:T50"/>
  <sortState ref="B4:T126">
    <sortCondition ref="B3:B126"/>
  </sortState>
  <tableColumns count="19">
    <tableColumn id="1" name="Références" totalsRowLabel="Total" dataDxfId="267" totalsRowDxfId="266"/>
    <tableColumn id="3" name="Nombre de pièces" totalsRowFunction="sum" dataDxfId="265" totalsRowDxfId="264"/>
    <tableColumn id="4" name="Nombre de bacs " totalsRowFunction="sum" dataDxfId="263" totalsRowDxfId="262"/>
    <tableColumn id="12" name="N° de bacs" dataDxfId="261" totalsRowDxfId="260"/>
    <tableColumn id="13" name="Date d'isolement" dataDxfId="259" totalsRowDxfId="258"/>
    <tableColumn id="14" name="Date calibrage" dataDxfId="257" totalsRowDxfId="256"/>
    <tableColumn id="11" name="Localisation " dataDxfId="255" totalsRowDxfId="254"/>
    <tableColumn id="5" name="Causes" dataDxfId="253" totalsRowDxfId="252"/>
    <tableColumn id="6" name="OF" dataDxfId="251" totalsRowDxfId="250"/>
    <tableColumn id="20" name="Lot Matière" dataDxfId="249" totalsRowDxfId="248"/>
    <tableColumn id="7" name="OP" dataDxfId="247" totalsRowDxfId="246"/>
    <tableColumn id="8" name="Débloquées" totalsRowFunction="sum" dataDxfId="245" totalsRowDxfId="244"/>
    <tableColumn id="9" name="Rebutées " totalsRowFunction="sum" dataDxfId="243" totalsRowDxfId="242"/>
    <tableColumn id="16" name="Moyen de tri" dataDxfId="241" totalsRowDxfId="240"/>
    <tableColumn id="15" name="Autre décision" dataDxfId="239" totalsRowDxfId="238"/>
    <tableColumn id="10" name="Durée de tri (h)" totalsRowFunction="sum" dataDxfId="237" totalsRowDxfId="236">
      <calculatedColumnFormula>IF(O4&lt;&gt;0,C4/(VLOOKUP(O4,#REF!,2,FALSE)),"")</calculatedColumnFormula>
    </tableColumn>
    <tableColumn id="17" name="Commentaires" dataDxfId="235" totalsRowDxfId="234"/>
    <tableColumn id="19" name="Efficience tri" totalsRowFunction="sum" dataDxfId="233" totalsRowDxfId="232"/>
    <tableColumn id="18" name="Attente Dérogation" totalsRowFunction="sum" dataDxfId="231" totalsRowDxfId="230">
      <calculatedColumnFormula>IF(COUNTIF(P4,"*érogation*"),C4,0)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25" name="Liste1_737578185102118131_6152_4169_14199_2221_4242_2257_182993203633864114144214264324394474564754864982345678910234567891112131415234567891011121314161718172021222323456789101112131415161718192122242526" displayName="Liste1_737578185102118131_6152_4169_14199_2221_4242_2257_182993203633864114144214264324394474564754864982345678910234567891112131415234567891011121314161718172021222323456789101112131415161718192122242526" ref="B3:T47" insertRowShift="1" totalsRowCount="1" headerRowDxfId="229" dataDxfId="227" totalsRowDxfId="225" headerRowBorderDxfId="228" tableBorderDxfId="226" totalsRowBorderDxfId="224">
  <autoFilter ref="B3:T46"/>
  <sortState ref="B4:T126">
    <sortCondition ref="B3:B126"/>
  </sortState>
  <tableColumns count="19">
    <tableColumn id="1" name="Références" totalsRowLabel="Total" dataDxfId="223" totalsRowDxfId="222"/>
    <tableColumn id="3" name="Nombre de pièces" totalsRowFunction="sum" dataDxfId="221" totalsRowDxfId="220"/>
    <tableColumn id="4" name="Nombre de bacs " totalsRowFunction="sum" dataDxfId="219" totalsRowDxfId="218"/>
    <tableColumn id="12" name="N° de bacs" dataDxfId="217" totalsRowDxfId="216"/>
    <tableColumn id="13" name="Date d'isolement" dataDxfId="215" totalsRowDxfId="214"/>
    <tableColumn id="14" name="Date calibrage" dataDxfId="213" totalsRowDxfId="212"/>
    <tableColumn id="11" name="Localisation " dataDxfId="211" totalsRowDxfId="210"/>
    <tableColumn id="5" name="Causes" dataDxfId="209" totalsRowDxfId="208"/>
    <tableColumn id="6" name="OF" dataDxfId="207" totalsRowDxfId="206"/>
    <tableColumn id="20" name="Lot Matière" dataDxfId="205" totalsRowDxfId="204"/>
    <tableColumn id="7" name="OP" dataDxfId="203" totalsRowDxfId="202"/>
    <tableColumn id="8" name="Débloquées" totalsRowFunction="sum" dataDxfId="201" totalsRowDxfId="200"/>
    <tableColumn id="9" name="Rebutées " totalsRowFunction="sum" dataDxfId="199" totalsRowDxfId="198"/>
    <tableColumn id="16" name="Moyen de tri" dataDxfId="197" totalsRowDxfId="196"/>
    <tableColumn id="15" name="Autre décision" dataDxfId="195" totalsRowDxfId="194"/>
    <tableColumn id="10" name="Durée de tri (h)" totalsRowFunction="sum" dataDxfId="193" totalsRowDxfId="192">
      <calculatedColumnFormula>IF(O6&lt;&gt;0,C6/(VLOOKUP(O6,#REF!,2,FALSE)),"")</calculatedColumnFormula>
    </tableColumn>
    <tableColumn id="17" name="Commentaires" dataDxfId="191" totalsRowDxfId="190"/>
    <tableColumn id="19" name="Efficience tri" totalsRowFunction="sum" dataDxfId="189" totalsRowDxfId="188"/>
    <tableColumn id="18" name="Attente Dérogation" totalsRowFunction="sum" dataDxfId="187" totalsRowDxfId="186">
      <calculatedColumnFormula>IF(COUNTIF(P4,"*érogation*"),C6,0)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26" name="Liste1_737578185102118131_6152_4169_14199_2221_4242_2257_18299320363386411414421426432439447456475486498234567891023456789111213141523456789101112131416171817202122232345678910111213141516171819212224252627" displayName="Liste1_737578185102118131_6152_4169_14199_2221_4242_2257_18299320363386411414421426432439447456475486498234567891023456789111213141523456789101112131416171817202122232345678910111213141516171819212224252627" ref="B3:T34" insertRowShift="1" totalsRowCount="1" headerRowDxfId="185" dataDxfId="183" totalsRowDxfId="181" headerRowBorderDxfId="184" tableBorderDxfId="182" totalsRowBorderDxfId="180">
  <autoFilter ref="B3:T33"/>
  <sortState ref="B4:T126">
    <sortCondition ref="B3:B126"/>
  </sortState>
  <tableColumns count="19">
    <tableColumn id="1" name="Références" totalsRowLabel="Total" dataDxfId="179" totalsRowDxfId="178"/>
    <tableColumn id="3" name="Nombre de pièces" totalsRowFunction="sum" dataDxfId="177" totalsRowDxfId="176"/>
    <tableColumn id="4" name="Nombre de bacs " totalsRowFunction="sum" dataDxfId="175" totalsRowDxfId="174"/>
    <tableColumn id="12" name="N° de bacs" dataDxfId="173" totalsRowDxfId="172"/>
    <tableColumn id="13" name="Date d'isolement" dataDxfId="171" totalsRowDxfId="170"/>
    <tableColumn id="14" name="Date calibrage" dataDxfId="169" totalsRowDxfId="168"/>
    <tableColumn id="11" name="Localisation " dataDxfId="167" totalsRowDxfId="166"/>
    <tableColumn id="5" name="Causes" dataDxfId="165" totalsRowDxfId="164"/>
    <tableColumn id="6" name="OF" dataDxfId="163" totalsRowDxfId="162"/>
    <tableColumn id="20" name="Lot Matière" dataDxfId="161" totalsRowDxfId="160"/>
    <tableColumn id="7" name="OP" dataDxfId="159" totalsRowDxfId="158"/>
    <tableColumn id="8" name="Débloquées" totalsRowFunction="sum" dataDxfId="157" totalsRowDxfId="156"/>
    <tableColumn id="9" name="Rebutées " totalsRowFunction="sum" dataDxfId="155" totalsRowDxfId="154"/>
    <tableColumn id="16" name="Moyen de tri" dataDxfId="153" totalsRowDxfId="152"/>
    <tableColumn id="15" name="Autre décision" dataDxfId="151" totalsRowDxfId="150"/>
    <tableColumn id="10" name="Durée de tri (h)" totalsRowFunction="sum" dataDxfId="149" totalsRowDxfId="148">
      <calculatedColumnFormula>IF(O6&lt;&gt;0,C6/(VLOOKUP(O6,#REF!,2,FALSE)),"")</calculatedColumnFormula>
    </tableColumn>
    <tableColumn id="17" name="Commentaires" dataDxfId="147" totalsRowDxfId="146"/>
    <tableColumn id="19" name="Efficience tri" totalsRowFunction="sum" dataDxfId="145" totalsRowDxfId="144"/>
    <tableColumn id="18" name="Attente Dérogation" totalsRowFunction="sum" dataDxfId="143" totalsRowDxfId="142">
      <calculatedColumnFormula>IF(COUNTIF(P4,"*érogation*"),C6,0)</calculatedColumnFormula>
    </tableColumn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1" name="Liste1_737578185102118131_6152_4169_14199_2221_4242_2257_182993203633864114144214264324394474564754864982345678910234567891112131415234567891011121314161718172021222323456789101112131415161718192122242526272" displayName="Liste1_737578185102118131_6152_4169_14199_2221_4242_2257_182993203633864114144214264324394474564754864982345678910234567891112131415234567891011121314161718172021222323456789101112131415161718192122242526272" ref="B3:T34" insertRowShift="1" totalsRowCount="1" headerRowDxfId="141" dataDxfId="139" totalsRowDxfId="137" headerRowBorderDxfId="140" tableBorderDxfId="138" totalsRowBorderDxfId="136">
  <autoFilter ref="B3:T33"/>
  <sortState ref="B4:T126">
    <sortCondition ref="B3:B126"/>
  </sortState>
  <tableColumns count="19">
    <tableColumn id="1" name="Références" totalsRowLabel="Total" dataDxfId="135" totalsRowDxfId="134"/>
    <tableColumn id="3" name="Nombre de pièces" totalsRowFunction="sum" dataDxfId="133" totalsRowDxfId="132"/>
    <tableColumn id="4" name="Nombre de bacs " totalsRowFunction="sum" dataDxfId="131" totalsRowDxfId="130"/>
    <tableColumn id="12" name="N° de bacs" dataDxfId="129" totalsRowDxfId="128"/>
    <tableColumn id="13" name="Date d'isolement" dataDxfId="127" totalsRowDxfId="126"/>
    <tableColumn id="14" name="Date calibrage" dataDxfId="125" totalsRowDxfId="124"/>
    <tableColumn id="11" name="Localisation " dataDxfId="123" totalsRowDxfId="122"/>
    <tableColumn id="5" name="Causes" dataDxfId="121" totalsRowDxfId="120"/>
    <tableColumn id="6" name="OF" dataDxfId="119" totalsRowDxfId="118"/>
    <tableColumn id="20" name="Lot Matière" dataDxfId="117" totalsRowDxfId="116"/>
    <tableColumn id="7" name="OP" dataDxfId="115" totalsRowDxfId="114"/>
    <tableColumn id="8" name="Débloquées" totalsRowFunction="sum" dataDxfId="113" totalsRowDxfId="112"/>
    <tableColumn id="9" name="Rebutées " totalsRowFunction="sum" dataDxfId="111" totalsRowDxfId="110"/>
    <tableColumn id="16" name="Moyen de tri" dataDxfId="109" totalsRowDxfId="108"/>
    <tableColumn id="15" name="Autre décision" dataDxfId="107" totalsRowDxfId="106"/>
    <tableColumn id="10" name="Durée de tri (h)" totalsRowFunction="sum" dataDxfId="105" totalsRowDxfId="104">
      <calculatedColumnFormula>IF(O9&lt;&gt;0,C9/(VLOOKUP(O9,#REF!,2,FALSE)),"")</calculatedColumnFormula>
    </tableColumn>
    <tableColumn id="17" name="Commentaires" dataDxfId="103" totalsRowDxfId="102"/>
    <tableColumn id="19" name="Efficience tri" totalsRowFunction="sum" dataDxfId="101" totalsRowDxfId="100"/>
    <tableColumn id="18" name="Attente Dérogation" totalsRowFunction="sum" dataDxfId="99" totalsRowDxfId="98">
      <calculatedColumnFormula>IF(COUNTIF(P4,"*érogation*"),C9,0)</calculatedColumnFormula>
    </tableColumn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2" name="Liste1_737578185102118131_6152_4169_14199_2221_4242_2257_1829932036338641141442142643243944745647548649823456789102345678911121314152345678910111213141617181720212223234567891011121314151617181921222425262723" displayName="Liste1_737578185102118131_6152_4169_14199_2221_4242_2257_1829932036338641141442142643243944745647548649823456789102345678911121314152345678910111213141617181720212223234567891011121314151617181921222425262723" ref="B3:T45" insertRowShift="1" totalsRowCount="1" headerRowDxfId="97" dataDxfId="95" totalsRowDxfId="93" headerRowBorderDxfId="96" tableBorderDxfId="94" totalsRowBorderDxfId="92">
  <autoFilter ref="B3:T44"/>
  <sortState ref="B4:T126">
    <sortCondition ref="B3:B126"/>
  </sortState>
  <tableColumns count="19">
    <tableColumn id="1" name="Références" totalsRowLabel="Total" dataDxfId="91" totalsRowDxfId="90"/>
    <tableColumn id="3" name="Nombre de pièces" totalsRowFunction="sum" dataDxfId="89" totalsRowDxfId="88"/>
    <tableColumn id="4" name="Nombre de bacs " totalsRowFunction="sum" dataDxfId="87" totalsRowDxfId="86"/>
    <tableColumn id="12" name="N° de bacs" dataDxfId="85" totalsRowDxfId="84"/>
    <tableColumn id="13" name="Date d'isolement" dataDxfId="83" totalsRowDxfId="82"/>
    <tableColumn id="14" name="Date calibrage" dataDxfId="81" totalsRowDxfId="80"/>
    <tableColumn id="11" name="Localisation " dataDxfId="79" totalsRowDxfId="78"/>
    <tableColumn id="5" name="Causes" dataDxfId="77" totalsRowDxfId="76"/>
    <tableColumn id="6" name="OF" dataDxfId="75" totalsRowDxfId="74"/>
    <tableColumn id="20" name="Lot Matière" dataDxfId="73" totalsRowDxfId="72"/>
    <tableColumn id="7" name="OP" dataDxfId="71" totalsRowDxfId="70"/>
    <tableColumn id="8" name="Débloquées" totalsRowFunction="sum" dataDxfId="69" totalsRowDxfId="68"/>
    <tableColumn id="9" name="Rebutées " totalsRowFunction="sum" dataDxfId="67" totalsRowDxfId="66"/>
    <tableColumn id="16" name="Moyen de tri" dataDxfId="65" totalsRowDxfId="64"/>
    <tableColumn id="15" name="Autre décision" dataDxfId="63" totalsRowDxfId="62"/>
    <tableColumn id="10" name="Durée de tri (h)" totalsRowFunction="sum" dataDxfId="61" totalsRowDxfId="60">
      <calculatedColumnFormula>IF(O13&lt;&gt;0,C13/(VLOOKUP(O13,#REF!,2,FALSE)),"")</calculatedColumnFormula>
    </tableColumn>
    <tableColumn id="17" name="Commentaires" dataDxfId="59" totalsRowDxfId="58"/>
    <tableColumn id="19" name="Efficience tri" totalsRowFunction="sum" dataDxfId="57" totalsRowDxfId="56"/>
    <tableColumn id="18" name="Attente Dérogation" totalsRowFunction="sum" dataDxfId="55" totalsRowDxfId="54">
      <calculatedColumnFormula>IF(COUNTIF(P4,"*érogation*"),C13,0)</calculatedColumnFormula>
    </tableColumn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3" name="Liste1_737578185102118131_6152_4169_14199_2221_4242_2257_18299320363386411414421426432439447456475486498234567891023456789111213141523456789101112131416171817202122232345678910111213141516171819212224252627234" displayName="Liste1_737578185102118131_6152_4169_14199_2221_4242_2257_18299320363386411414421426432439447456475486498234567891023456789111213141523456789101112131416171817202122232345678910111213141516171819212224252627234" ref="B3:T42" insertRowShift="1" totalsRowCount="1" headerRowDxfId="53" dataDxfId="51" totalsRowDxfId="49" headerRowBorderDxfId="52" tableBorderDxfId="50" totalsRowBorderDxfId="48">
  <autoFilter ref="B3:T41"/>
  <sortState ref="B4:T126">
    <sortCondition ref="B3:B126"/>
  </sortState>
  <tableColumns count="19">
    <tableColumn id="1" name="Références" totalsRowLabel="Total" dataDxfId="47" totalsRowDxfId="46"/>
    <tableColumn id="3" name="Nombre de pièces" totalsRowFunction="sum" dataDxfId="45" totalsRowDxfId="44"/>
    <tableColumn id="4" name="Nombre de bacs " totalsRowFunction="sum" dataDxfId="43" totalsRowDxfId="42"/>
    <tableColumn id="12" name="N° de bacs" dataDxfId="41" totalsRowDxfId="40"/>
    <tableColumn id="13" name="Date d'isolement" dataDxfId="39" totalsRowDxfId="38"/>
    <tableColumn id="14" name="Date calibrage" dataDxfId="37" totalsRowDxfId="36"/>
    <tableColumn id="11" name="Localisation " dataDxfId="35" totalsRowDxfId="34"/>
    <tableColumn id="5" name="Causes" dataDxfId="33" totalsRowDxfId="32"/>
    <tableColumn id="6" name="OF" dataDxfId="31" totalsRowDxfId="30"/>
    <tableColumn id="20" name="Lot Matière" dataDxfId="29" totalsRowDxfId="28"/>
    <tableColumn id="7" name="OP" dataDxfId="27" totalsRowDxfId="26"/>
    <tableColumn id="8" name="Débloquées" totalsRowFunction="sum" dataDxfId="25" totalsRowDxfId="24"/>
    <tableColumn id="9" name="Rebutées " totalsRowFunction="sum" dataDxfId="23" totalsRowDxfId="22"/>
    <tableColumn id="16" name="Moyen de tri" dataDxfId="21" totalsRowDxfId="20"/>
    <tableColumn id="15" name="Autre décision" dataDxfId="19" totalsRowDxfId="18"/>
    <tableColumn id="10" name="Durée de tri (h)" totalsRowFunction="sum" dataDxfId="17" totalsRowDxfId="16">
      <calculatedColumnFormula>IF(O12&lt;&gt;0,C12/(VLOOKUP(O12,#REF!,2,FALSE)),"")</calculatedColumnFormula>
    </tableColumn>
    <tableColumn id="17" name="Commentaires" dataDxfId="15" totalsRowDxfId="14"/>
    <tableColumn id="19" name="Efficience tri" totalsRowFunction="sum" dataDxfId="13" totalsRowDxfId="12"/>
    <tableColumn id="18" name="Attente Dérogation" totalsRowFunction="sum" dataDxfId="11" totalsRowDxfId="10">
      <calculatedColumnFormula>IF(COUNTIF(P4,"*érogation*"),C12,0)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J61"/>
  <sheetViews>
    <sheetView tabSelected="1" workbookViewId="0">
      <selection activeCell="C13" sqref="C13"/>
    </sheetView>
  </sheetViews>
  <sheetFormatPr baseColWidth="10" defaultRowHeight="12.75" x14ac:dyDescent="0.2"/>
  <cols>
    <col min="10" max="10" width="12.85546875" bestFit="1" customWidth="1"/>
  </cols>
  <sheetData>
    <row r="1" spans="1:10" x14ac:dyDescent="0.2">
      <c r="A1" s="70" t="s">
        <v>213</v>
      </c>
      <c r="B1" s="71"/>
      <c r="C1" s="71"/>
      <c r="D1" s="71"/>
      <c r="E1" s="71"/>
      <c r="F1" s="71"/>
      <c r="G1" s="71"/>
      <c r="H1" s="71"/>
      <c r="I1" s="71"/>
      <c r="J1" s="72"/>
    </row>
    <row r="2" spans="1:10" x14ac:dyDescent="0.2">
      <c r="A2" s="73"/>
      <c r="B2" s="74"/>
      <c r="C2" s="74"/>
      <c r="D2" s="74"/>
      <c r="E2" s="74"/>
      <c r="F2" s="74"/>
      <c r="G2" s="74"/>
      <c r="H2" s="74"/>
      <c r="I2" s="74"/>
      <c r="J2" s="75"/>
    </row>
    <row r="3" spans="1:10" ht="13.5" thickBot="1" x14ac:dyDescent="0.25">
      <c r="A3" s="76"/>
      <c r="B3" s="77"/>
      <c r="C3" s="77"/>
      <c r="D3" s="77"/>
      <c r="E3" s="77"/>
      <c r="F3" s="77"/>
      <c r="G3" s="77"/>
      <c r="H3" s="77"/>
      <c r="I3" s="77"/>
      <c r="J3" s="78"/>
    </row>
    <row r="4" spans="1:10" ht="13.5" thickBot="1" x14ac:dyDescent="0.25">
      <c r="A4" s="79"/>
      <c r="B4" s="80"/>
      <c r="C4" s="80"/>
      <c r="D4" s="80"/>
      <c r="E4" s="83" t="s">
        <v>217</v>
      </c>
      <c r="F4" s="84" t="s">
        <v>218</v>
      </c>
      <c r="G4" s="83" t="s">
        <v>216</v>
      </c>
      <c r="H4" s="85" t="s">
        <v>219</v>
      </c>
      <c r="I4" s="83" t="s">
        <v>17</v>
      </c>
      <c r="J4" s="85" t="s">
        <v>20</v>
      </c>
    </row>
    <row r="5" spans="1:10" ht="13.5" thickBot="1" x14ac:dyDescent="0.25">
      <c r="A5" s="88" t="s">
        <v>215</v>
      </c>
      <c r="B5" s="89"/>
      <c r="C5" s="81"/>
      <c r="D5" s="70" t="s">
        <v>214</v>
      </c>
      <c r="E5" s="90"/>
      <c r="F5" s="90"/>
      <c r="G5" s="90"/>
      <c r="H5" s="90"/>
      <c r="I5" s="90"/>
      <c r="J5" s="90"/>
    </row>
    <row r="6" spans="1:10" ht="13.5" thickBot="1" x14ac:dyDescent="0.25">
      <c r="A6" s="86"/>
      <c r="B6" s="87"/>
      <c r="C6" s="78"/>
      <c r="D6" s="76"/>
      <c r="E6" s="90"/>
      <c r="F6" s="90"/>
      <c r="G6" s="90"/>
      <c r="H6" s="90"/>
      <c r="I6" s="90"/>
      <c r="J6" s="90"/>
    </row>
    <row r="7" spans="1:10" x14ac:dyDescent="0.2">
      <c r="A7" s="82"/>
      <c r="B7" s="82"/>
      <c r="C7" s="82"/>
      <c r="D7" s="82"/>
      <c r="E7" s="90"/>
      <c r="F7" s="90"/>
      <c r="G7" s="90"/>
      <c r="H7" s="90"/>
      <c r="I7" s="90"/>
      <c r="J7" s="90"/>
    </row>
    <row r="8" spans="1:10" x14ac:dyDescent="0.2">
      <c r="A8" s="82"/>
      <c r="B8" s="82"/>
      <c r="C8" s="82"/>
      <c r="D8" s="82"/>
      <c r="E8" s="90"/>
      <c r="F8" s="90"/>
      <c r="G8" s="90"/>
      <c r="H8" s="90"/>
      <c r="I8" s="90"/>
      <c r="J8" s="90"/>
    </row>
    <row r="9" spans="1:10" x14ac:dyDescent="0.2">
      <c r="E9" s="90"/>
      <c r="F9" s="90"/>
      <c r="G9" s="90"/>
      <c r="H9" s="90"/>
      <c r="I9" s="90"/>
      <c r="J9" s="90"/>
    </row>
    <row r="10" spans="1:10" x14ac:dyDescent="0.2">
      <c r="E10" s="90"/>
      <c r="F10" s="90"/>
      <c r="G10" s="90"/>
      <c r="H10" s="90"/>
      <c r="I10" s="90"/>
      <c r="J10" s="90"/>
    </row>
    <row r="11" spans="1:10" x14ac:dyDescent="0.2">
      <c r="E11" s="90"/>
      <c r="F11" s="90"/>
      <c r="G11" s="90"/>
      <c r="H11" s="90"/>
      <c r="I11" s="90"/>
      <c r="J11" s="90"/>
    </row>
    <row r="12" spans="1:10" x14ac:dyDescent="0.2">
      <c r="E12" s="90"/>
      <c r="F12" s="90"/>
      <c r="G12" s="90"/>
      <c r="H12" s="90"/>
      <c r="I12" s="90"/>
      <c r="J12" s="90"/>
    </row>
    <row r="13" spans="1:10" x14ac:dyDescent="0.2">
      <c r="E13" s="90"/>
      <c r="F13" s="90"/>
      <c r="G13" s="90"/>
      <c r="H13" s="90"/>
      <c r="I13" s="90"/>
      <c r="J13" s="90"/>
    </row>
    <row r="14" spans="1:10" x14ac:dyDescent="0.2">
      <c r="E14" s="90"/>
      <c r="F14" s="90"/>
      <c r="G14" s="90"/>
      <c r="H14" s="90"/>
      <c r="I14" s="90"/>
      <c r="J14" s="90"/>
    </row>
    <row r="15" spans="1:10" x14ac:dyDescent="0.2">
      <c r="E15" s="90"/>
      <c r="F15" s="90"/>
      <c r="G15" s="90"/>
      <c r="H15" s="90"/>
      <c r="I15" s="90"/>
      <c r="J15" s="90"/>
    </row>
    <row r="16" spans="1:10" x14ac:dyDescent="0.2">
      <c r="E16" s="90"/>
      <c r="F16" s="90"/>
      <c r="G16" s="90"/>
      <c r="H16" s="90"/>
      <c r="I16" s="90"/>
      <c r="J16" s="90"/>
    </row>
    <row r="17" spans="5:10" x14ac:dyDescent="0.2">
      <c r="E17" s="90"/>
      <c r="F17" s="90"/>
      <c r="G17" s="90"/>
      <c r="H17" s="90"/>
      <c r="I17" s="90"/>
      <c r="J17" s="90"/>
    </row>
    <row r="18" spans="5:10" x14ac:dyDescent="0.2">
      <c r="E18" s="90"/>
      <c r="F18" s="90"/>
      <c r="G18" s="90"/>
      <c r="H18" s="90"/>
      <c r="I18" s="90"/>
      <c r="J18" s="90"/>
    </row>
    <row r="19" spans="5:10" x14ac:dyDescent="0.2">
      <c r="E19" s="90"/>
      <c r="F19" s="90"/>
      <c r="G19" s="90"/>
      <c r="H19" s="90"/>
      <c r="I19" s="90"/>
      <c r="J19" s="90"/>
    </row>
    <row r="20" spans="5:10" x14ac:dyDescent="0.2">
      <c r="E20" s="90"/>
      <c r="F20" s="90"/>
      <c r="G20" s="90"/>
      <c r="H20" s="90"/>
      <c r="I20" s="90"/>
      <c r="J20" s="90"/>
    </row>
    <row r="21" spans="5:10" x14ac:dyDescent="0.2">
      <c r="E21" s="90"/>
      <c r="F21" s="90"/>
      <c r="G21" s="90"/>
      <c r="H21" s="90"/>
      <c r="I21" s="90"/>
      <c r="J21" s="90"/>
    </row>
    <row r="22" spans="5:10" x14ac:dyDescent="0.2">
      <c r="E22" s="90"/>
      <c r="F22" s="90"/>
      <c r="G22" s="90"/>
      <c r="H22" s="90"/>
      <c r="I22" s="90"/>
      <c r="J22" s="90"/>
    </row>
    <row r="23" spans="5:10" x14ac:dyDescent="0.2">
      <c r="E23" s="90"/>
      <c r="F23" s="90"/>
      <c r="G23" s="90"/>
      <c r="H23" s="90"/>
      <c r="I23" s="90"/>
      <c r="J23" s="90"/>
    </row>
    <row r="24" spans="5:10" x14ac:dyDescent="0.2">
      <c r="E24" s="90"/>
      <c r="F24" s="90"/>
      <c r="G24" s="90"/>
      <c r="H24" s="90"/>
      <c r="I24" s="90"/>
      <c r="J24" s="90"/>
    </row>
    <row r="25" spans="5:10" x14ac:dyDescent="0.2">
      <c r="E25" s="90"/>
      <c r="F25" s="90"/>
      <c r="G25" s="90"/>
      <c r="H25" s="90"/>
      <c r="I25" s="90"/>
      <c r="J25" s="90"/>
    </row>
    <row r="26" spans="5:10" x14ac:dyDescent="0.2">
      <c r="E26" s="90"/>
      <c r="F26" s="90"/>
      <c r="G26" s="90"/>
      <c r="H26" s="90"/>
      <c r="I26" s="90"/>
      <c r="J26" s="90"/>
    </row>
    <row r="27" spans="5:10" x14ac:dyDescent="0.2">
      <c r="E27" s="90"/>
      <c r="F27" s="90"/>
      <c r="G27" s="90"/>
      <c r="H27" s="90"/>
      <c r="I27" s="90"/>
      <c r="J27" s="90"/>
    </row>
    <row r="28" spans="5:10" x14ac:dyDescent="0.2">
      <c r="E28" s="90"/>
      <c r="F28" s="90"/>
      <c r="G28" s="90"/>
      <c r="H28" s="90"/>
      <c r="I28" s="90"/>
      <c r="J28" s="90"/>
    </row>
    <row r="29" spans="5:10" x14ac:dyDescent="0.2">
      <c r="E29" s="90"/>
      <c r="F29" s="90"/>
      <c r="G29" s="90"/>
      <c r="H29" s="90"/>
      <c r="I29" s="90"/>
      <c r="J29" s="90"/>
    </row>
    <row r="30" spans="5:10" x14ac:dyDescent="0.2">
      <c r="E30" s="90"/>
      <c r="F30" s="90"/>
      <c r="G30" s="90"/>
      <c r="H30" s="90"/>
      <c r="I30" s="90"/>
      <c r="J30" s="90"/>
    </row>
    <row r="31" spans="5:10" x14ac:dyDescent="0.2">
      <c r="E31" s="90"/>
      <c r="F31" s="90"/>
      <c r="G31" s="90"/>
      <c r="H31" s="90"/>
      <c r="I31" s="90"/>
      <c r="J31" s="90"/>
    </row>
    <row r="32" spans="5:10" x14ac:dyDescent="0.2">
      <c r="E32" s="90"/>
      <c r="F32" s="90"/>
      <c r="G32" s="90"/>
      <c r="H32" s="90"/>
      <c r="I32" s="90"/>
      <c r="J32" s="90"/>
    </row>
    <row r="33" spans="5:10" x14ac:dyDescent="0.2">
      <c r="E33" s="90"/>
      <c r="F33" s="90"/>
      <c r="G33" s="90"/>
      <c r="H33" s="90"/>
      <c r="I33" s="90"/>
      <c r="J33" s="90"/>
    </row>
    <row r="34" spans="5:10" x14ac:dyDescent="0.2">
      <c r="E34" s="90"/>
      <c r="F34" s="90"/>
      <c r="G34" s="90"/>
      <c r="H34" s="90"/>
      <c r="I34" s="90"/>
      <c r="J34" s="90"/>
    </row>
    <row r="35" spans="5:10" x14ac:dyDescent="0.2">
      <c r="E35" s="90"/>
      <c r="F35" s="90"/>
      <c r="G35" s="90"/>
      <c r="H35" s="90"/>
      <c r="I35" s="90"/>
      <c r="J35" s="90"/>
    </row>
    <row r="36" spans="5:10" x14ac:dyDescent="0.2">
      <c r="E36" s="90"/>
      <c r="F36" s="90"/>
      <c r="G36" s="90"/>
      <c r="H36" s="90"/>
      <c r="I36" s="90"/>
      <c r="J36" s="90"/>
    </row>
    <row r="37" spans="5:10" x14ac:dyDescent="0.2">
      <c r="E37" s="90"/>
      <c r="F37" s="90"/>
      <c r="G37" s="90"/>
      <c r="H37" s="90"/>
      <c r="I37" s="90"/>
      <c r="J37" s="90"/>
    </row>
    <row r="38" spans="5:10" x14ac:dyDescent="0.2">
      <c r="E38" s="90"/>
      <c r="F38" s="90"/>
      <c r="G38" s="90"/>
      <c r="H38" s="90"/>
      <c r="I38" s="90"/>
      <c r="J38" s="90"/>
    </row>
    <row r="39" spans="5:10" x14ac:dyDescent="0.2">
      <c r="E39" s="90"/>
      <c r="F39" s="90"/>
      <c r="G39" s="90"/>
      <c r="H39" s="90"/>
      <c r="I39" s="90"/>
      <c r="J39" s="90"/>
    </row>
    <row r="40" spans="5:10" x14ac:dyDescent="0.2">
      <c r="E40" s="90"/>
      <c r="F40" s="90"/>
      <c r="G40" s="90"/>
      <c r="H40" s="90"/>
      <c r="I40" s="90"/>
      <c r="J40" s="90"/>
    </row>
    <row r="41" spans="5:10" x14ac:dyDescent="0.2">
      <c r="E41" s="90"/>
      <c r="F41" s="90"/>
      <c r="G41" s="90"/>
      <c r="H41" s="90"/>
      <c r="I41" s="90"/>
      <c r="J41" s="90"/>
    </row>
    <row r="42" spans="5:10" x14ac:dyDescent="0.2">
      <c r="E42" s="90"/>
      <c r="F42" s="90"/>
      <c r="G42" s="90"/>
      <c r="H42" s="90"/>
      <c r="I42" s="90"/>
      <c r="J42" s="90"/>
    </row>
    <row r="43" spans="5:10" x14ac:dyDescent="0.2">
      <c r="E43" s="90"/>
      <c r="F43" s="90"/>
      <c r="G43" s="90"/>
      <c r="H43" s="90"/>
      <c r="I43" s="90"/>
      <c r="J43" s="90"/>
    </row>
    <row r="44" spans="5:10" x14ac:dyDescent="0.2">
      <c r="E44" s="90"/>
      <c r="F44" s="90"/>
      <c r="G44" s="90"/>
      <c r="H44" s="90"/>
      <c r="I44" s="90"/>
      <c r="J44" s="90"/>
    </row>
    <row r="45" spans="5:10" x14ac:dyDescent="0.2">
      <c r="E45" s="90"/>
      <c r="F45" s="90"/>
      <c r="G45" s="90"/>
      <c r="H45" s="90"/>
      <c r="I45" s="90"/>
      <c r="J45" s="90"/>
    </row>
    <row r="46" spans="5:10" x14ac:dyDescent="0.2">
      <c r="E46" s="90"/>
      <c r="F46" s="90"/>
      <c r="G46" s="90"/>
      <c r="H46" s="90"/>
      <c r="I46" s="90"/>
      <c r="J46" s="90"/>
    </row>
    <row r="47" spans="5:10" x14ac:dyDescent="0.2">
      <c r="E47" s="90"/>
      <c r="F47" s="90"/>
      <c r="G47" s="90"/>
      <c r="H47" s="90"/>
      <c r="I47" s="90"/>
      <c r="J47" s="90"/>
    </row>
    <row r="48" spans="5:10" x14ac:dyDescent="0.2">
      <c r="E48" s="90"/>
      <c r="F48" s="90"/>
      <c r="G48" s="90"/>
      <c r="H48" s="90"/>
      <c r="I48" s="90"/>
      <c r="J48" s="90"/>
    </row>
    <row r="49" spans="5:10" x14ac:dyDescent="0.2">
      <c r="E49" s="90"/>
      <c r="F49" s="90"/>
      <c r="G49" s="90"/>
      <c r="H49" s="90"/>
      <c r="I49" s="90"/>
      <c r="J49" s="90"/>
    </row>
    <row r="50" spans="5:10" x14ac:dyDescent="0.2">
      <c r="E50" s="90"/>
      <c r="F50" s="90"/>
      <c r="G50" s="90"/>
      <c r="H50" s="90"/>
      <c r="I50" s="90"/>
      <c r="J50" s="90"/>
    </row>
    <row r="51" spans="5:10" x14ac:dyDescent="0.2">
      <c r="E51" s="90"/>
      <c r="F51" s="90"/>
      <c r="G51" s="90"/>
      <c r="H51" s="90"/>
      <c r="I51" s="90"/>
      <c r="J51" s="90"/>
    </row>
    <row r="52" spans="5:10" x14ac:dyDescent="0.2">
      <c r="E52" s="90"/>
      <c r="F52" s="90"/>
      <c r="G52" s="90"/>
      <c r="H52" s="90"/>
      <c r="I52" s="90"/>
      <c r="J52" s="90"/>
    </row>
    <row r="53" spans="5:10" x14ac:dyDescent="0.2">
      <c r="E53" s="90"/>
      <c r="F53" s="90"/>
      <c r="G53" s="90"/>
      <c r="H53" s="90"/>
      <c r="I53" s="90"/>
      <c r="J53" s="90"/>
    </row>
    <row r="54" spans="5:10" x14ac:dyDescent="0.2">
      <c r="E54" s="90"/>
      <c r="F54" s="90"/>
      <c r="G54" s="90"/>
      <c r="H54" s="90"/>
      <c r="I54" s="90"/>
      <c r="J54" s="90"/>
    </row>
    <row r="55" spans="5:10" x14ac:dyDescent="0.2">
      <c r="E55" s="90"/>
      <c r="F55" s="90"/>
      <c r="G55" s="90"/>
      <c r="H55" s="90"/>
      <c r="I55" s="90"/>
      <c r="J55" s="90"/>
    </row>
    <row r="56" spans="5:10" x14ac:dyDescent="0.2">
      <c r="E56" s="90"/>
      <c r="F56" s="90"/>
      <c r="G56" s="90"/>
      <c r="H56" s="90"/>
      <c r="I56" s="90"/>
      <c r="J56" s="90"/>
    </row>
    <row r="57" spans="5:10" x14ac:dyDescent="0.2">
      <c r="E57" s="90"/>
      <c r="F57" s="90"/>
      <c r="G57" s="90"/>
      <c r="H57" s="90"/>
      <c r="I57" s="90"/>
      <c r="J57" s="90"/>
    </row>
    <row r="58" spans="5:10" x14ac:dyDescent="0.2">
      <c r="E58" s="90"/>
      <c r="F58" s="90"/>
      <c r="G58" s="90"/>
      <c r="H58" s="90"/>
      <c r="I58" s="90"/>
      <c r="J58" s="90"/>
    </row>
    <row r="59" spans="5:10" x14ac:dyDescent="0.2">
      <c r="E59" s="90"/>
      <c r="F59" s="90"/>
      <c r="G59" s="90"/>
      <c r="H59" s="90"/>
      <c r="I59" s="90"/>
      <c r="J59" s="90"/>
    </row>
    <row r="60" spans="5:10" x14ac:dyDescent="0.2">
      <c r="E60" s="90"/>
      <c r="F60" s="90"/>
      <c r="G60" s="90"/>
      <c r="H60" s="90"/>
      <c r="I60" s="90"/>
      <c r="J60" s="90"/>
    </row>
    <row r="61" spans="5:10" x14ac:dyDescent="0.2">
      <c r="E61" s="90"/>
      <c r="F61" s="90"/>
      <c r="G61" s="90"/>
      <c r="H61" s="90"/>
      <c r="I61" s="90"/>
      <c r="J61" s="90"/>
    </row>
  </sheetData>
  <mergeCells count="4">
    <mergeCell ref="A4:D4"/>
    <mergeCell ref="C5:C6"/>
    <mergeCell ref="D5:D6"/>
    <mergeCell ref="A1:J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BtnExec_Clic">
                <anchor moveWithCells="1" sizeWithCells="1">
                  <from>
                    <xdr:col>2</xdr:col>
                    <xdr:colOff>9525</xdr:colOff>
                    <xdr:row>4</xdr:row>
                    <xdr:rowOff>9525</xdr:rowOff>
                  </from>
                  <to>
                    <xdr:col>2</xdr:col>
                    <xdr:colOff>742950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Y51"/>
  <sheetViews>
    <sheetView zoomScale="85" zoomScaleNormal="85" workbookViewId="0">
      <selection activeCell="B1" sqref="B1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5" x14ac:dyDescent="0.2">
      <c r="A1" s="8" t="s">
        <v>30</v>
      </c>
      <c r="B1" s="8"/>
      <c r="C1" s="8"/>
      <c r="J1" s="10"/>
      <c r="K1" s="14"/>
    </row>
    <row r="2" spans="1:25" x14ac:dyDescent="0.2">
      <c r="K2" s="14"/>
    </row>
    <row r="3" spans="1:25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5" x14ac:dyDescent="0.2">
      <c r="B4" s="17" t="s">
        <v>51</v>
      </c>
      <c r="C4" s="20">
        <v>950</v>
      </c>
      <c r="D4" s="20">
        <v>1</v>
      </c>
      <c r="E4" s="1">
        <v>3</v>
      </c>
      <c r="F4" s="7">
        <v>42391</v>
      </c>
      <c r="G4" s="7">
        <v>42391</v>
      </c>
      <c r="H4" s="11" t="s">
        <v>12</v>
      </c>
      <c r="I4" s="11" t="s">
        <v>96</v>
      </c>
      <c r="J4" s="1">
        <v>1027313</v>
      </c>
      <c r="K4" s="13" t="s">
        <v>92</v>
      </c>
      <c r="L4" s="1">
        <v>80</v>
      </c>
      <c r="M4" s="15"/>
      <c r="N4" s="1"/>
      <c r="O4" s="12"/>
      <c r="P4" s="11"/>
      <c r="Q4" s="21" t="str">
        <f>IF(O4&lt;&gt;0,C4/(VLOOKUP(O4,#REF!,2,FALSE)),"")</f>
        <v/>
      </c>
      <c r="R4" s="20"/>
      <c r="S4" s="20"/>
      <c r="T4" s="9">
        <f t="shared" ref="T4:T38" si="0">IF(COUNTIF(P4,"*érogation*"),C4,0)</f>
        <v>0</v>
      </c>
      <c r="W4" s="4" t="str">
        <f>VLOOKUP("Total",B3:S3,16)</f>
        <v>Durée de tri (h)</v>
      </c>
      <c r="X4" s="6" t="s">
        <v>23</v>
      </c>
      <c r="Y4" s="6"/>
    </row>
    <row r="5" spans="1:25" x14ac:dyDescent="0.2">
      <c r="B5" s="17" t="s">
        <v>51</v>
      </c>
      <c r="C5" s="20">
        <v>950</v>
      </c>
      <c r="D5" s="20">
        <v>1</v>
      </c>
      <c r="E5" s="1">
        <v>31</v>
      </c>
      <c r="F5" s="7">
        <v>42391</v>
      </c>
      <c r="G5" s="7">
        <v>42391</v>
      </c>
      <c r="H5" s="11" t="s">
        <v>12</v>
      </c>
      <c r="I5" s="11" t="s">
        <v>96</v>
      </c>
      <c r="J5" s="1">
        <v>1027313</v>
      </c>
      <c r="K5" s="13" t="s">
        <v>92</v>
      </c>
      <c r="L5" s="1">
        <v>80</v>
      </c>
      <c r="M5" s="15"/>
      <c r="N5" s="15"/>
      <c r="O5" s="12"/>
      <c r="P5" s="20"/>
      <c r="Q5" s="25" t="str">
        <f>IF(O5&lt;&gt;0,C5/(VLOOKUP(O5,#REF!,2,FALSE)),"")</f>
        <v/>
      </c>
      <c r="R5" s="20"/>
      <c r="S5" s="20"/>
      <c r="T5" s="9">
        <f>IF(COUNTIF(P5,"*érogation*"),C5,0)</f>
        <v>0</v>
      </c>
      <c r="W5" s="4"/>
      <c r="X5" s="6"/>
      <c r="Y5" s="6"/>
    </row>
    <row r="6" spans="1:25" x14ac:dyDescent="0.2">
      <c r="B6" s="17" t="s">
        <v>51</v>
      </c>
      <c r="C6" s="20">
        <v>950</v>
      </c>
      <c r="D6" s="20">
        <v>1</v>
      </c>
      <c r="E6" s="1" t="s">
        <v>21</v>
      </c>
      <c r="F6" s="7">
        <v>42394</v>
      </c>
      <c r="G6" s="7">
        <v>42391</v>
      </c>
      <c r="H6" s="11" t="s">
        <v>12</v>
      </c>
      <c r="I6" s="11" t="s">
        <v>95</v>
      </c>
      <c r="J6" s="1">
        <v>1027313</v>
      </c>
      <c r="K6" s="13" t="s">
        <v>92</v>
      </c>
      <c r="L6" s="1">
        <v>80</v>
      </c>
      <c r="M6" s="15"/>
      <c r="N6" s="15"/>
      <c r="O6" s="12"/>
      <c r="P6" s="20"/>
      <c r="Q6" s="25" t="str">
        <f>IF(O6&lt;&gt;0,C6/(VLOOKUP(O6,#REF!,2,FALSE)),"")</f>
        <v/>
      </c>
      <c r="R6" s="20"/>
      <c r="S6" s="20"/>
      <c r="T6" s="9">
        <f t="shared" ref="T6:T8" si="1">IF(COUNTIF(P6,"*érogation*"),C6,0)</f>
        <v>0</v>
      </c>
      <c r="W6" s="4"/>
      <c r="X6" s="6"/>
      <c r="Y6" s="6"/>
    </row>
    <row r="7" spans="1:25" x14ac:dyDescent="0.2">
      <c r="B7" s="17" t="s">
        <v>51</v>
      </c>
      <c r="C7" s="20">
        <v>950</v>
      </c>
      <c r="D7" s="20">
        <v>1</v>
      </c>
      <c r="E7" s="1" t="s">
        <v>21</v>
      </c>
      <c r="F7" s="7">
        <v>42394</v>
      </c>
      <c r="G7" s="7">
        <v>42391</v>
      </c>
      <c r="H7" s="11" t="s">
        <v>12</v>
      </c>
      <c r="I7" s="11" t="s">
        <v>95</v>
      </c>
      <c r="J7" s="1">
        <v>1027313</v>
      </c>
      <c r="K7" s="13" t="s">
        <v>92</v>
      </c>
      <c r="L7" s="1">
        <v>80</v>
      </c>
      <c r="M7" s="15"/>
      <c r="N7" s="15"/>
      <c r="O7" s="12"/>
      <c r="P7" s="20"/>
      <c r="Q7" s="25" t="str">
        <f>IF(O7&lt;&gt;0,C7/(VLOOKUP(O7,#REF!,2,FALSE)),"")</f>
        <v/>
      </c>
      <c r="R7" s="20"/>
      <c r="S7" s="20"/>
      <c r="T7" s="9">
        <f t="shared" si="1"/>
        <v>0</v>
      </c>
      <c r="W7" s="4"/>
      <c r="X7" s="6"/>
      <c r="Y7" s="6"/>
    </row>
    <row r="8" spans="1:25" x14ac:dyDescent="0.2">
      <c r="B8" s="17" t="s">
        <v>51</v>
      </c>
      <c r="C8" s="20">
        <v>950</v>
      </c>
      <c r="D8" s="20">
        <v>1</v>
      </c>
      <c r="E8" s="1" t="s">
        <v>21</v>
      </c>
      <c r="F8" s="7">
        <v>42394</v>
      </c>
      <c r="G8" s="7">
        <v>42391</v>
      </c>
      <c r="H8" s="11" t="s">
        <v>12</v>
      </c>
      <c r="I8" s="11" t="s">
        <v>95</v>
      </c>
      <c r="J8" s="1">
        <v>1027313</v>
      </c>
      <c r="K8" s="13" t="s">
        <v>92</v>
      </c>
      <c r="L8" s="1">
        <v>80</v>
      </c>
      <c r="M8" s="15"/>
      <c r="N8" s="15"/>
      <c r="O8" s="12"/>
      <c r="P8" s="20"/>
      <c r="Q8" s="25" t="str">
        <f>IF(O8&lt;&gt;0,C8/(VLOOKUP(O8,#REF!,2,FALSE)),"")</f>
        <v/>
      </c>
      <c r="R8" s="20"/>
      <c r="S8" s="20"/>
      <c r="T8" s="9">
        <f t="shared" si="1"/>
        <v>0</v>
      </c>
      <c r="W8" s="4"/>
      <c r="X8" s="6"/>
      <c r="Y8" s="6"/>
    </row>
    <row r="9" spans="1:25" x14ac:dyDescent="0.2">
      <c r="B9" s="17" t="s">
        <v>42</v>
      </c>
      <c r="C9" s="20">
        <v>424</v>
      </c>
      <c r="D9" s="20">
        <v>1</v>
      </c>
      <c r="E9" s="1" t="s">
        <v>21</v>
      </c>
      <c r="F9" s="7">
        <v>42327</v>
      </c>
      <c r="G9" s="7">
        <v>42327</v>
      </c>
      <c r="H9" s="12" t="s">
        <v>12</v>
      </c>
      <c r="I9" s="11" t="s">
        <v>61</v>
      </c>
      <c r="J9" s="1">
        <v>1026534</v>
      </c>
      <c r="K9" s="13" t="s">
        <v>43</v>
      </c>
      <c r="L9" s="1">
        <v>80</v>
      </c>
      <c r="M9" s="15"/>
      <c r="N9" s="1"/>
      <c r="O9" s="12"/>
      <c r="P9" s="11" t="s">
        <v>31</v>
      </c>
      <c r="Q9" s="25" t="str">
        <f>IF(O9&lt;&gt;0,C9/(VLOOKUP(O9,#REF!,2,FALSE)),"")</f>
        <v/>
      </c>
      <c r="R9" s="20"/>
      <c r="S9" s="20"/>
      <c r="T9" s="9">
        <f>IF(COUNTIF(P9,"*érogation*"),C9,0)</f>
        <v>0</v>
      </c>
      <c r="W9" s="4"/>
      <c r="X9" s="6"/>
      <c r="Y9" s="6"/>
    </row>
    <row r="10" spans="1:25" x14ac:dyDescent="0.2">
      <c r="B10" s="17" t="s">
        <v>46</v>
      </c>
      <c r="C10" s="11">
        <v>800</v>
      </c>
      <c r="D10" s="11">
        <v>1</v>
      </c>
      <c r="E10" s="12">
        <v>2</v>
      </c>
      <c r="F10" s="7">
        <v>42268</v>
      </c>
      <c r="G10" s="7">
        <v>42376</v>
      </c>
      <c r="H10" s="11" t="s">
        <v>12</v>
      </c>
      <c r="I10" s="11" t="s">
        <v>56</v>
      </c>
      <c r="J10" s="1">
        <v>1023105</v>
      </c>
      <c r="K10" s="13" t="s">
        <v>55</v>
      </c>
      <c r="L10" s="1">
        <v>80</v>
      </c>
      <c r="M10" s="15"/>
      <c r="N10" s="15"/>
      <c r="O10" s="12"/>
      <c r="P10" s="11" t="s">
        <v>31</v>
      </c>
      <c r="Q10" s="28" t="str">
        <f>IF(O10&lt;&gt;0,C10/(VLOOKUP(O10,#REF!,2,FALSE)),"")</f>
        <v/>
      </c>
      <c r="R10" s="11"/>
      <c r="S10" s="11"/>
      <c r="T10" s="9">
        <f t="shared" si="0"/>
        <v>0</v>
      </c>
    </row>
    <row r="11" spans="1:25" x14ac:dyDescent="0.2">
      <c r="B11" s="17" t="s">
        <v>46</v>
      </c>
      <c r="C11" s="11">
        <v>504</v>
      </c>
      <c r="D11" s="11">
        <v>1</v>
      </c>
      <c r="E11" s="12">
        <v>1</v>
      </c>
      <c r="F11" s="7">
        <v>42268</v>
      </c>
      <c r="G11" s="7">
        <v>42376</v>
      </c>
      <c r="H11" s="11" t="s">
        <v>12</v>
      </c>
      <c r="I11" s="11" t="s">
        <v>56</v>
      </c>
      <c r="J11" s="1">
        <v>1023105</v>
      </c>
      <c r="K11" s="13" t="s">
        <v>55</v>
      </c>
      <c r="L11" s="1">
        <v>80</v>
      </c>
      <c r="M11" s="15"/>
      <c r="N11" s="15"/>
      <c r="O11" s="12"/>
      <c r="P11" s="11" t="s">
        <v>31</v>
      </c>
      <c r="Q11" s="28" t="str">
        <f>IF(O11&lt;&gt;0,C11/(VLOOKUP(O11,#REF!,2,FALSE)),"")</f>
        <v/>
      </c>
      <c r="R11" s="11"/>
      <c r="S11" s="11"/>
      <c r="T11" s="9">
        <f t="shared" si="0"/>
        <v>0</v>
      </c>
      <c r="W11" s="5" t="e">
        <f>#REF!/8/W18</f>
        <v>#REF!</v>
      </c>
      <c r="X11" s="3" t="s">
        <v>26</v>
      </c>
    </row>
    <row r="12" spans="1:25" x14ac:dyDescent="0.2">
      <c r="B12" s="19" t="s">
        <v>57</v>
      </c>
      <c r="C12" s="20">
        <v>950</v>
      </c>
      <c r="D12" s="20">
        <v>1</v>
      </c>
      <c r="E12" s="12">
        <v>4</v>
      </c>
      <c r="F12" s="7">
        <v>42394</v>
      </c>
      <c r="G12" s="7">
        <v>42394</v>
      </c>
      <c r="H12" s="11" t="s">
        <v>12</v>
      </c>
      <c r="I12" s="11" t="s">
        <v>86</v>
      </c>
      <c r="J12" s="1">
        <v>1027436</v>
      </c>
      <c r="K12" s="13" t="s">
        <v>85</v>
      </c>
      <c r="L12" s="1">
        <v>80</v>
      </c>
      <c r="M12" s="15"/>
      <c r="N12" s="15"/>
      <c r="O12" s="12" t="s">
        <v>13</v>
      </c>
      <c r="P12" s="20"/>
      <c r="Q12" s="25" t="e">
        <f>IF(O12&lt;&gt;0,C12/(VLOOKUP(O12,#REF!,2,FALSE)),"")</f>
        <v>#REF!</v>
      </c>
      <c r="R12" s="20"/>
      <c r="S12" s="20"/>
      <c r="T12" s="9">
        <f t="shared" si="0"/>
        <v>0</v>
      </c>
      <c r="W12" s="5"/>
    </row>
    <row r="13" spans="1:25" x14ac:dyDescent="0.2">
      <c r="B13" s="19" t="s">
        <v>57</v>
      </c>
      <c r="C13" s="20">
        <v>950</v>
      </c>
      <c r="D13" s="20">
        <v>1</v>
      </c>
      <c r="E13" s="12">
        <v>5</v>
      </c>
      <c r="F13" s="7">
        <v>42394</v>
      </c>
      <c r="G13" s="7">
        <v>42394</v>
      </c>
      <c r="H13" s="11" t="s">
        <v>12</v>
      </c>
      <c r="I13" s="11" t="s">
        <v>87</v>
      </c>
      <c r="J13" s="1">
        <v>1027436</v>
      </c>
      <c r="K13" s="13" t="s">
        <v>85</v>
      </c>
      <c r="L13" s="1">
        <v>80</v>
      </c>
      <c r="M13" s="15"/>
      <c r="N13" s="15"/>
      <c r="O13" s="12" t="s">
        <v>13</v>
      </c>
      <c r="P13" s="20"/>
      <c r="Q13" s="25" t="e">
        <f>IF(O13&lt;&gt;0,C13/(VLOOKUP(O13,#REF!,2,FALSE)),"")</f>
        <v>#REF!</v>
      </c>
      <c r="R13" s="20"/>
      <c r="S13" s="20"/>
      <c r="T13" s="9">
        <f t="shared" si="0"/>
        <v>0</v>
      </c>
      <c r="W13" s="5"/>
    </row>
    <row r="14" spans="1:25" x14ac:dyDescent="0.2">
      <c r="B14" s="19" t="s">
        <v>57</v>
      </c>
      <c r="C14" s="20">
        <v>950</v>
      </c>
      <c r="D14" s="20">
        <v>1</v>
      </c>
      <c r="E14" s="12">
        <v>4</v>
      </c>
      <c r="F14" s="7">
        <v>42394</v>
      </c>
      <c r="G14" s="7">
        <v>42394</v>
      </c>
      <c r="H14" s="11" t="s">
        <v>12</v>
      </c>
      <c r="I14" s="11" t="s">
        <v>87</v>
      </c>
      <c r="J14" s="1">
        <v>1027436</v>
      </c>
      <c r="K14" s="13" t="s">
        <v>85</v>
      </c>
      <c r="L14" s="1">
        <v>80</v>
      </c>
      <c r="M14" s="15"/>
      <c r="N14" s="15"/>
      <c r="O14" s="12" t="s">
        <v>13</v>
      </c>
      <c r="P14" s="20"/>
      <c r="Q14" s="25" t="e">
        <f>IF(O14&lt;&gt;0,C14/(VLOOKUP(O14,#REF!,2,FALSE)),"")</f>
        <v>#REF!</v>
      </c>
      <c r="R14" s="20"/>
      <c r="S14" s="20"/>
      <c r="T14" s="9">
        <f t="shared" si="0"/>
        <v>0</v>
      </c>
      <c r="W14" s="5"/>
    </row>
    <row r="15" spans="1:25" x14ac:dyDescent="0.2">
      <c r="B15" s="19" t="s">
        <v>57</v>
      </c>
      <c r="C15" s="20">
        <v>144</v>
      </c>
      <c r="D15" s="20">
        <v>1</v>
      </c>
      <c r="E15" s="12">
        <v>3</v>
      </c>
      <c r="F15" s="7">
        <v>42394</v>
      </c>
      <c r="G15" s="7">
        <v>42394</v>
      </c>
      <c r="H15" s="11" t="s">
        <v>12</v>
      </c>
      <c r="I15" s="11" t="s">
        <v>86</v>
      </c>
      <c r="J15" s="1">
        <v>1027436</v>
      </c>
      <c r="K15" s="13" t="s">
        <v>85</v>
      </c>
      <c r="L15" s="1">
        <v>80</v>
      </c>
      <c r="M15" s="15"/>
      <c r="N15" s="15"/>
      <c r="O15" s="12" t="s">
        <v>13</v>
      </c>
      <c r="P15" s="20"/>
      <c r="Q15" s="25" t="e">
        <f>IF(O15&lt;&gt;0,C15/(VLOOKUP(O15,#REF!,2,FALSE)),"")</f>
        <v>#REF!</v>
      </c>
      <c r="R15" s="20"/>
      <c r="S15" s="20"/>
      <c r="T15" s="9">
        <f t="shared" si="0"/>
        <v>0</v>
      </c>
      <c r="W15" s="5"/>
    </row>
    <row r="16" spans="1:25" x14ac:dyDescent="0.2">
      <c r="B16" s="19" t="s">
        <v>57</v>
      </c>
      <c r="C16" s="20">
        <v>950</v>
      </c>
      <c r="D16" s="20">
        <v>1</v>
      </c>
      <c r="E16" s="12">
        <v>1</v>
      </c>
      <c r="F16" s="7">
        <v>42394</v>
      </c>
      <c r="G16" s="7">
        <v>42394</v>
      </c>
      <c r="H16" s="11" t="s">
        <v>12</v>
      </c>
      <c r="I16" s="11" t="s">
        <v>86</v>
      </c>
      <c r="J16" s="1">
        <v>1027436</v>
      </c>
      <c r="K16" s="13" t="s">
        <v>85</v>
      </c>
      <c r="L16" s="1">
        <v>80</v>
      </c>
      <c r="M16" s="15"/>
      <c r="N16" s="15"/>
      <c r="O16" s="12" t="s">
        <v>13</v>
      </c>
      <c r="P16" s="20"/>
      <c r="Q16" s="25" t="e">
        <f>IF(O16&lt;&gt;0,C16/(VLOOKUP(O16,#REF!,2,FALSE)),"")</f>
        <v>#REF!</v>
      </c>
      <c r="R16" s="20"/>
      <c r="S16" s="20"/>
      <c r="T16" s="9">
        <f>IF(COUNTIF(P16,"*érogation*"),C16,0)</f>
        <v>0</v>
      </c>
      <c r="W16" s="5"/>
    </row>
    <row r="17" spans="2:24" x14ac:dyDescent="0.2">
      <c r="B17" s="19" t="s">
        <v>57</v>
      </c>
      <c r="C17" s="20">
        <v>950</v>
      </c>
      <c r="D17" s="20">
        <v>1</v>
      </c>
      <c r="E17" s="12">
        <v>2</v>
      </c>
      <c r="F17" s="7">
        <v>42394</v>
      </c>
      <c r="G17" s="7">
        <v>42394</v>
      </c>
      <c r="H17" s="11" t="s">
        <v>12</v>
      </c>
      <c r="I17" s="11" t="s">
        <v>86</v>
      </c>
      <c r="J17" s="1">
        <v>1027436</v>
      </c>
      <c r="K17" s="13" t="s">
        <v>85</v>
      </c>
      <c r="L17" s="1">
        <v>80</v>
      </c>
      <c r="M17" s="15"/>
      <c r="N17" s="15"/>
      <c r="O17" s="12" t="s">
        <v>13</v>
      </c>
      <c r="P17" s="20"/>
      <c r="Q17" s="25" t="e">
        <f>IF(O17&lt;&gt;0,C17/(VLOOKUP(O17,#REF!,2,FALSE)),"")</f>
        <v>#REF!</v>
      </c>
      <c r="R17" s="20"/>
      <c r="S17" s="20"/>
      <c r="T17" s="9">
        <f>IF(COUNTIF(P17,"*érogation*"),C17,0)</f>
        <v>0</v>
      </c>
      <c r="W17" s="5"/>
    </row>
    <row r="18" spans="2:24" x14ac:dyDescent="0.2">
      <c r="B18" s="17" t="s">
        <v>49</v>
      </c>
      <c r="C18" s="15">
        <v>284</v>
      </c>
      <c r="D18" s="20">
        <v>1</v>
      </c>
      <c r="E18" s="12" t="s">
        <v>21</v>
      </c>
      <c r="F18" s="7">
        <v>42356</v>
      </c>
      <c r="G18" s="7">
        <v>42356</v>
      </c>
      <c r="H18" s="12" t="s">
        <v>12</v>
      </c>
      <c r="I18" s="11" t="s">
        <v>62</v>
      </c>
      <c r="J18" s="1">
        <v>1027045</v>
      </c>
      <c r="K18" s="13" t="s">
        <v>50</v>
      </c>
      <c r="L18" s="1">
        <v>80</v>
      </c>
      <c r="M18" s="15"/>
      <c r="N18" s="1"/>
      <c r="O18" s="12"/>
      <c r="P18" s="12" t="s">
        <v>22</v>
      </c>
      <c r="Q18" s="21" t="str">
        <f>IF(O18&lt;&gt;0,C18/(VLOOKUP(O18,#REF!,2,FALSE)),"")</f>
        <v/>
      </c>
      <c r="R18" s="12"/>
      <c r="S18" s="12"/>
      <c r="T18" s="9">
        <f t="shared" si="0"/>
        <v>284</v>
      </c>
      <c r="W18" s="16">
        <v>4</v>
      </c>
      <c r="X18" s="3" t="s">
        <v>27</v>
      </c>
    </row>
    <row r="19" spans="2:24" x14ac:dyDescent="0.2">
      <c r="B19" s="19" t="s">
        <v>49</v>
      </c>
      <c r="C19" s="35">
        <v>650</v>
      </c>
      <c r="D19" s="20">
        <v>1</v>
      </c>
      <c r="E19" s="12">
        <v>10</v>
      </c>
      <c r="F19" s="7">
        <v>42390</v>
      </c>
      <c r="G19" s="7">
        <v>42390</v>
      </c>
      <c r="H19" s="11" t="s">
        <v>12</v>
      </c>
      <c r="I19" s="11" t="s">
        <v>69</v>
      </c>
      <c r="J19" s="1">
        <v>1027403</v>
      </c>
      <c r="K19" s="13" t="s">
        <v>84</v>
      </c>
      <c r="L19" s="1">
        <v>80</v>
      </c>
      <c r="M19" s="15"/>
      <c r="N19" s="15"/>
      <c r="O19" s="12"/>
      <c r="P19" s="20"/>
      <c r="Q19" s="25" t="str">
        <f>IF(O19&lt;&gt;0,C19/(VLOOKUP(O19,#REF!,2,FALSE)),"")</f>
        <v/>
      </c>
      <c r="R19" s="20"/>
      <c r="S19" s="20"/>
      <c r="T19" s="9">
        <f>IF(COUNTIF(P19,"*érogation*"),C19,0)</f>
        <v>0</v>
      </c>
      <c r="W19" s="16"/>
    </row>
    <row r="20" spans="2:24" x14ac:dyDescent="0.2">
      <c r="B20" s="18" t="s">
        <v>40</v>
      </c>
      <c r="C20" s="12">
        <v>43</v>
      </c>
      <c r="D20" s="12">
        <v>1</v>
      </c>
      <c r="E20" s="11" t="s">
        <v>21</v>
      </c>
      <c r="F20" s="7">
        <v>42355</v>
      </c>
      <c r="G20" s="7">
        <v>42355</v>
      </c>
      <c r="H20" s="12" t="s">
        <v>12</v>
      </c>
      <c r="I20" s="12" t="s">
        <v>47</v>
      </c>
      <c r="J20" s="1">
        <v>1026925</v>
      </c>
      <c r="K20" s="13" t="s">
        <v>48</v>
      </c>
      <c r="L20" s="1">
        <v>80</v>
      </c>
      <c r="M20" s="15"/>
      <c r="N20" s="1"/>
      <c r="O20" s="12"/>
      <c r="P20" s="12" t="s">
        <v>31</v>
      </c>
      <c r="Q20" s="21" t="str">
        <f>IF(O20&lt;&gt;0,C20/(VLOOKUP(O20,#REF!,2,FALSE)),"")</f>
        <v/>
      </c>
      <c r="R20" s="12"/>
      <c r="S20" s="12"/>
      <c r="T20" s="9">
        <f t="shared" si="0"/>
        <v>0</v>
      </c>
      <c r="W20" s="3">
        <f>W18*8</f>
        <v>32</v>
      </c>
      <c r="X20" s="3" t="s">
        <v>28</v>
      </c>
    </row>
    <row r="21" spans="2:24" x14ac:dyDescent="0.2">
      <c r="B21" s="18" t="s">
        <v>40</v>
      </c>
      <c r="C21" s="20">
        <v>245</v>
      </c>
      <c r="D21" s="20">
        <v>1</v>
      </c>
      <c r="E21" s="11" t="s">
        <v>21</v>
      </c>
      <c r="F21" s="7">
        <v>42387</v>
      </c>
      <c r="G21" s="7">
        <v>42387</v>
      </c>
      <c r="H21" s="11" t="s">
        <v>12</v>
      </c>
      <c r="I21" s="11" t="s">
        <v>63</v>
      </c>
      <c r="J21" s="1">
        <v>1027416</v>
      </c>
      <c r="K21" s="13" t="s">
        <v>64</v>
      </c>
      <c r="L21" s="1">
        <v>80</v>
      </c>
      <c r="M21" s="15"/>
      <c r="N21" s="15"/>
      <c r="O21" s="12"/>
      <c r="P21" s="20"/>
      <c r="Q21" s="25" t="str">
        <f>IF(O21&lt;&gt;0,C21/(VLOOKUP(O21,#REF!,2,FALSE)),"")</f>
        <v/>
      </c>
      <c r="R21" s="20"/>
      <c r="S21" s="20"/>
      <c r="T21" s="9">
        <f t="shared" si="0"/>
        <v>0</v>
      </c>
    </row>
    <row r="22" spans="2:24" x14ac:dyDescent="0.2">
      <c r="B22" s="18" t="s">
        <v>40</v>
      </c>
      <c r="C22" s="20">
        <v>245</v>
      </c>
      <c r="D22" s="20">
        <v>1</v>
      </c>
      <c r="E22" s="11" t="s">
        <v>21</v>
      </c>
      <c r="F22" s="7">
        <v>42387</v>
      </c>
      <c r="G22" s="7">
        <v>42387</v>
      </c>
      <c r="H22" s="11" t="s">
        <v>12</v>
      </c>
      <c r="I22" s="11" t="s">
        <v>63</v>
      </c>
      <c r="J22" s="1">
        <v>1027416</v>
      </c>
      <c r="K22" s="13" t="s">
        <v>64</v>
      </c>
      <c r="L22" s="1">
        <v>80</v>
      </c>
      <c r="M22" s="15"/>
      <c r="N22" s="15"/>
      <c r="O22" s="12"/>
      <c r="P22" s="20"/>
      <c r="Q22" s="25" t="str">
        <f>IF(O22&lt;&gt;0,C22/(VLOOKUP(O22,#REF!,2,FALSE)),"")</f>
        <v/>
      </c>
      <c r="R22" s="20"/>
      <c r="S22" s="20"/>
      <c r="T22" s="9">
        <f t="shared" si="0"/>
        <v>0</v>
      </c>
    </row>
    <row r="23" spans="2:24" x14ac:dyDescent="0.2">
      <c r="B23" s="19" t="s">
        <v>32</v>
      </c>
      <c r="C23" s="20">
        <v>524</v>
      </c>
      <c r="D23" s="20">
        <v>1</v>
      </c>
      <c r="E23" s="11">
        <v>2</v>
      </c>
      <c r="F23" s="7">
        <v>42387</v>
      </c>
      <c r="G23" s="7">
        <v>42394</v>
      </c>
      <c r="H23" s="11" t="s">
        <v>12</v>
      </c>
      <c r="I23" s="11" t="s">
        <v>88</v>
      </c>
      <c r="J23" s="1">
        <v>1027312</v>
      </c>
      <c r="K23" s="13" t="s">
        <v>89</v>
      </c>
      <c r="L23" s="1">
        <v>80</v>
      </c>
      <c r="M23" s="15"/>
      <c r="N23" s="15"/>
      <c r="O23" s="12"/>
      <c r="P23" s="20"/>
      <c r="Q23" s="25" t="str">
        <f>IF(O23&lt;&gt;0,C23/(VLOOKUP(O23,#REF!,2,FALSE)),"")</f>
        <v/>
      </c>
      <c r="R23" s="20"/>
      <c r="S23" s="20"/>
      <c r="T23" s="9">
        <f t="shared" si="0"/>
        <v>0</v>
      </c>
    </row>
    <row r="24" spans="2:24" x14ac:dyDescent="0.2">
      <c r="B24" s="19" t="s">
        <v>32</v>
      </c>
      <c r="C24" s="20">
        <v>619</v>
      </c>
      <c r="D24" s="20">
        <v>1</v>
      </c>
      <c r="E24" s="11">
        <v>1</v>
      </c>
      <c r="F24" s="7">
        <v>42391</v>
      </c>
      <c r="G24" s="7">
        <v>42391</v>
      </c>
      <c r="H24" s="11" t="s">
        <v>12</v>
      </c>
      <c r="I24" s="11" t="s">
        <v>52</v>
      </c>
      <c r="J24" s="1">
        <v>1027210</v>
      </c>
      <c r="K24" s="13" t="s">
        <v>97</v>
      </c>
      <c r="L24" s="1">
        <v>80</v>
      </c>
      <c r="M24" s="15"/>
      <c r="N24" s="15"/>
      <c r="O24" s="12"/>
      <c r="P24" s="20"/>
      <c r="Q24" s="25" t="str">
        <f>IF(O24&lt;&gt;0,C24/(VLOOKUP(O24,#REF!,2,FALSE)),"")</f>
        <v/>
      </c>
      <c r="R24" s="20"/>
      <c r="S24" s="20"/>
      <c r="T24" s="9">
        <f t="shared" si="0"/>
        <v>0</v>
      </c>
    </row>
    <row r="25" spans="2:24" x14ac:dyDescent="0.2">
      <c r="B25" s="19" t="s">
        <v>39</v>
      </c>
      <c r="C25" s="20">
        <v>181</v>
      </c>
      <c r="D25" s="20">
        <v>1</v>
      </c>
      <c r="E25" s="11">
        <v>5</v>
      </c>
      <c r="F25" s="7">
        <v>42387</v>
      </c>
      <c r="G25" s="7">
        <v>42387</v>
      </c>
      <c r="H25" s="11" t="s">
        <v>12</v>
      </c>
      <c r="I25" s="11" t="s">
        <v>52</v>
      </c>
      <c r="J25" s="1">
        <v>1027216</v>
      </c>
      <c r="K25" s="13" t="s">
        <v>76</v>
      </c>
      <c r="L25" s="1">
        <v>80</v>
      </c>
      <c r="M25" s="15"/>
      <c r="N25" s="15"/>
      <c r="O25" s="12"/>
      <c r="P25" s="20"/>
      <c r="Q25" s="25" t="str">
        <f>IF(O25&lt;&gt;0,C25/(VLOOKUP(O25,#REF!,2,FALSE)),"")</f>
        <v/>
      </c>
      <c r="R25" s="20"/>
      <c r="S25" s="20"/>
      <c r="T25" s="9">
        <f t="shared" si="0"/>
        <v>0</v>
      </c>
    </row>
    <row r="26" spans="2:24" x14ac:dyDescent="0.2">
      <c r="B26" s="19" t="s">
        <v>90</v>
      </c>
      <c r="C26" s="20">
        <v>517</v>
      </c>
      <c r="D26" s="20">
        <v>1</v>
      </c>
      <c r="E26" s="11">
        <v>13</v>
      </c>
      <c r="F26" s="7">
        <v>42394</v>
      </c>
      <c r="G26" s="7">
        <v>42394</v>
      </c>
      <c r="H26" s="11" t="s">
        <v>12</v>
      </c>
      <c r="I26" s="11" t="s">
        <v>52</v>
      </c>
      <c r="J26" s="1">
        <v>1027443</v>
      </c>
      <c r="K26" s="13" t="s">
        <v>91</v>
      </c>
      <c r="L26" s="1">
        <v>80</v>
      </c>
      <c r="M26" s="15"/>
      <c r="N26" s="15"/>
      <c r="O26" s="12"/>
      <c r="P26" s="20"/>
      <c r="Q26" s="25" t="str">
        <f>IF(O26&lt;&gt;0,C26/(VLOOKUP(O26,#REF!,2,FALSE)),"")</f>
        <v/>
      </c>
      <c r="R26" s="20"/>
      <c r="S26" s="20"/>
      <c r="T26" s="9">
        <f t="shared" si="0"/>
        <v>0</v>
      </c>
    </row>
    <row r="27" spans="2:24" x14ac:dyDescent="0.2">
      <c r="B27" s="19" t="s">
        <v>66</v>
      </c>
      <c r="C27" s="20">
        <v>600</v>
      </c>
      <c r="D27" s="20">
        <v>1</v>
      </c>
      <c r="E27" s="12">
        <v>1</v>
      </c>
      <c r="F27" s="7">
        <v>42380</v>
      </c>
      <c r="G27" s="7">
        <v>42384</v>
      </c>
      <c r="H27" s="11" t="s">
        <v>12</v>
      </c>
      <c r="I27" s="11" t="s">
        <v>74</v>
      </c>
      <c r="J27" s="1">
        <v>1027154</v>
      </c>
      <c r="K27" s="13" t="s">
        <v>67</v>
      </c>
      <c r="L27" s="1">
        <v>80</v>
      </c>
      <c r="M27" s="15"/>
      <c r="N27" s="15"/>
      <c r="O27" s="12" t="s">
        <v>13</v>
      </c>
      <c r="P27" s="20"/>
      <c r="Q27" s="25" t="e">
        <f>IF(O27&lt;&gt;0,C27/(VLOOKUP(O27,#REF!,2,FALSE)),"")</f>
        <v>#REF!</v>
      </c>
      <c r="R27" s="20"/>
      <c r="S27" s="20"/>
      <c r="T27" s="9">
        <f t="shared" si="0"/>
        <v>0</v>
      </c>
    </row>
    <row r="28" spans="2:24" x14ac:dyDescent="0.2">
      <c r="B28" s="19" t="s">
        <v>66</v>
      </c>
      <c r="C28" s="20">
        <v>600</v>
      </c>
      <c r="D28" s="20">
        <v>1</v>
      </c>
      <c r="E28" s="12">
        <v>8</v>
      </c>
      <c r="F28" s="7">
        <v>42380</v>
      </c>
      <c r="G28" s="7">
        <v>42384</v>
      </c>
      <c r="H28" s="11" t="s">
        <v>12</v>
      </c>
      <c r="I28" s="11" t="s">
        <v>74</v>
      </c>
      <c r="J28" s="1">
        <v>1027154</v>
      </c>
      <c r="K28" s="13" t="s">
        <v>67</v>
      </c>
      <c r="L28" s="1">
        <v>80</v>
      </c>
      <c r="M28" s="15"/>
      <c r="N28" s="15"/>
      <c r="O28" s="12"/>
      <c r="P28" s="20"/>
      <c r="Q28" s="25" t="str">
        <f>IF(O28&lt;&gt;0,C28/(VLOOKUP(O28,#REF!,2,FALSE)),"")</f>
        <v/>
      </c>
      <c r="R28" s="20"/>
      <c r="S28" s="20"/>
      <c r="T28" s="9">
        <f t="shared" si="0"/>
        <v>0</v>
      </c>
    </row>
    <row r="29" spans="2:24" x14ac:dyDescent="0.2">
      <c r="B29" s="17" t="s">
        <v>34</v>
      </c>
      <c r="C29" s="11">
        <v>326</v>
      </c>
      <c r="D29" s="11">
        <v>1</v>
      </c>
      <c r="E29" s="1">
        <v>5</v>
      </c>
      <c r="F29" s="7">
        <v>42244</v>
      </c>
      <c r="G29" s="7">
        <v>42244</v>
      </c>
      <c r="H29" s="1" t="s">
        <v>12</v>
      </c>
      <c r="I29" s="1" t="s">
        <v>38</v>
      </c>
      <c r="J29" s="1">
        <v>1025060</v>
      </c>
      <c r="K29" s="13" t="s">
        <v>35</v>
      </c>
      <c r="L29" s="1">
        <v>80</v>
      </c>
      <c r="M29" s="15"/>
      <c r="N29" s="1"/>
      <c r="O29" s="1"/>
      <c r="P29" s="12" t="s">
        <v>22</v>
      </c>
      <c r="Q29" s="21" t="str">
        <f>IF(O29&lt;&gt;0,C29/(VLOOKUP(O29,#REF!,2,FALSE)),"")</f>
        <v/>
      </c>
      <c r="R29" s="12"/>
      <c r="S29" s="1" t="str">
        <f>IF(O29&lt;&gt;0,(N29+M29)/(VLOOKUP(O29,#REF!,2,FALSE)),"")</f>
        <v/>
      </c>
      <c r="T29" s="9">
        <f t="shared" si="0"/>
        <v>326</v>
      </c>
    </row>
    <row r="30" spans="2:24" x14ac:dyDescent="0.2">
      <c r="B30" s="17" t="s">
        <v>34</v>
      </c>
      <c r="C30" s="11">
        <v>500</v>
      </c>
      <c r="D30" s="11">
        <v>1</v>
      </c>
      <c r="E30" s="1">
        <v>5</v>
      </c>
      <c r="F30" s="7">
        <v>42263</v>
      </c>
      <c r="G30" s="7">
        <v>42263</v>
      </c>
      <c r="H30" s="1" t="s">
        <v>12</v>
      </c>
      <c r="I30" s="1" t="s">
        <v>38</v>
      </c>
      <c r="J30" s="1">
        <v>1025490</v>
      </c>
      <c r="K30" s="13" t="s">
        <v>37</v>
      </c>
      <c r="L30" s="1">
        <v>80</v>
      </c>
      <c r="M30" s="15"/>
      <c r="N30" s="1"/>
      <c r="O30" s="1"/>
      <c r="P30" s="11" t="s">
        <v>22</v>
      </c>
      <c r="Q30" s="21" t="str">
        <f>IF(O30&lt;&gt;0,C30/(VLOOKUP(O30,#REF!,2,FALSE)),"")</f>
        <v/>
      </c>
      <c r="R30" s="1"/>
      <c r="S30" s="1"/>
      <c r="T30" s="9">
        <f t="shared" si="0"/>
        <v>500</v>
      </c>
    </row>
    <row r="31" spans="2:24" x14ac:dyDescent="0.2">
      <c r="B31" s="18" t="s">
        <v>45</v>
      </c>
      <c r="C31" s="12">
        <v>300</v>
      </c>
      <c r="D31" s="12">
        <v>1</v>
      </c>
      <c r="E31" s="1">
        <v>7</v>
      </c>
      <c r="F31" s="7">
        <v>42327</v>
      </c>
      <c r="G31" s="7">
        <v>42330</v>
      </c>
      <c r="H31" s="12" t="s">
        <v>12</v>
      </c>
      <c r="I31" s="11" t="s">
        <v>65</v>
      </c>
      <c r="J31" s="1">
        <v>1026613</v>
      </c>
      <c r="K31" s="13" t="s">
        <v>44</v>
      </c>
      <c r="L31" s="1">
        <v>80</v>
      </c>
      <c r="M31" s="15"/>
      <c r="N31" s="1"/>
      <c r="O31" s="12" t="s">
        <v>14</v>
      </c>
      <c r="P31" s="12"/>
      <c r="Q31" s="21" t="e">
        <f>IF(O31&lt;&gt;0,C31/(VLOOKUP(O31,#REF!,2,FALSE)),"")</f>
        <v>#REF!</v>
      </c>
      <c r="R31" s="12"/>
      <c r="S31" s="12"/>
      <c r="T31" s="9">
        <f t="shared" si="0"/>
        <v>0</v>
      </c>
    </row>
    <row r="32" spans="2:24" x14ac:dyDescent="0.2">
      <c r="B32" s="18" t="s">
        <v>45</v>
      </c>
      <c r="C32" s="12">
        <v>600</v>
      </c>
      <c r="D32" s="12">
        <v>1</v>
      </c>
      <c r="E32" s="1">
        <v>4</v>
      </c>
      <c r="F32" s="7">
        <v>42322</v>
      </c>
      <c r="G32" s="7"/>
      <c r="H32" s="12" t="s">
        <v>12</v>
      </c>
      <c r="I32" s="11" t="s">
        <v>63</v>
      </c>
      <c r="J32" s="1">
        <v>1026613</v>
      </c>
      <c r="K32" s="13" t="s">
        <v>44</v>
      </c>
      <c r="L32" s="1">
        <v>80</v>
      </c>
      <c r="M32" s="15"/>
      <c r="N32" s="1"/>
      <c r="O32" s="12" t="s">
        <v>13</v>
      </c>
      <c r="P32" s="20"/>
      <c r="Q32" s="25" t="e">
        <f>IF(O32&lt;&gt;0,C32/(VLOOKUP(O32,#REF!,2,FALSE)),"")</f>
        <v>#REF!</v>
      </c>
      <c r="R32" s="20"/>
      <c r="S32" s="20"/>
      <c r="T32" s="9">
        <f>IF(COUNTIF(P32,"*érogation*"),C32,0)</f>
        <v>0</v>
      </c>
    </row>
    <row r="33" spans="2:20" x14ac:dyDescent="0.2">
      <c r="B33" s="18" t="s">
        <v>45</v>
      </c>
      <c r="C33" s="12">
        <v>700</v>
      </c>
      <c r="D33" s="12">
        <v>1</v>
      </c>
      <c r="E33" s="11" t="s">
        <v>21</v>
      </c>
      <c r="F33" s="33" t="s">
        <v>21</v>
      </c>
      <c r="G33" s="33" t="s">
        <v>21</v>
      </c>
      <c r="H33" s="12" t="s">
        <v>12</v>
      </c>
      <c r="I33" s="11" t="s">
        <v>41</v>
      </c>
      <c r="J33" s="1">
        <v>1026793</v>
      </c>
      <c r="K33" s="34" t="s">
        <v>54</v>
      </c>
      <c r="L33" s="1">
        <v>80</v>
      </c>
      <c r="M33" s="15"/>
      <c r="N33" s="1"/>
      <c r="O33" s="12" t="s">
        <v>14</v>
      </c>
      <c r="P33" s="12"/>
      <c r="Q33" s="21" t="e">
        <f>IF(O33&lt;&gt;0,C33/(VLOOKUP(O33,#REF!,2,FALSE)),"")</f>
        <v>#REF!</v>
      </c>
      <c r="R33" s="12"/>
      <c r="S33" s="12"/>
      <c r="T33" s="9">
        <f t="shared" si="0"/>
        <v>0</v>
      </c>
    </row>
    <row r="34" spans="2:20" x14ac:dyDescent="0.2">
      <c r="B34" s="19" t="s">
        <v>81</v>
      </c>
      <c r="C34" s="20">
        <v>395</v>
      </c>
      <c r="D34" s="20">
        <v>1</v>
      </c>
      <c r="E34" s="11">
        <v>10</v>
      </c>
      <c r="F34" s="33">
        <v>42389</v>
      </c>
      <c r="G34" s="33">
        <v>42389</v>
      </c>
      <c r="H34" s="11" t="s">
        <v>12</v>
      </c>
      <c r="I34" s="11" t="s">
        <v>82</v>
      </c>
      <c r="J34" s="1">
        <v>1027009</v>
      </c>
      <c r="K34" s="34" t="s">
        <v>83</v>
      </c>
      <c r="L34" s="1">
        <v>80</v>
      </c>
      <c r="M34" s="15"/>
      <c r="N34" s="15"/>
      <c r="O34" s="12"/>
      <c r="P34" s="20"/>
      <c r="Q34" s="25" t="str">
        <f>IF(O34&lt;&gt;0,C34/(VLOOKUP(O34,#REF!,2,FALSE)),"")</f>
        <v/>
      </c>
      <c r="R34" s="20"/>
      <c r="S34" s="20"/>
      <c r="T34" s="9">
        <f t="shared" si="0"/>
        <v>0</v>
      </c>
    </row>
    <row r="35" spans="2:20" x14ac:dyDescent="0.2">
      <c r="B35" s="19" t="s">
        <v>77</v>
      </c>
      <c r="C35" s="20">
        <v>230</v>
      </c>
      <c r="D35" s="20">
        <v>1</v>
      </c>
      <c r="E35" s="11">
        <v>15</v>
      </c>
      <c r="F35" s="33" t="s">
        <v>78</v>
      </c>
      <c r="G35" s="33">
        <v>42388</v>
      </c>
      <c r="H35" s="11" t="s">
        <v>12</v>
      </c>
      <c r="I35" s="11" t="s">
        <v>79</v>
      </c>
      <c r="J35" s="1">
        <v>1027024</v>
      </c>
      <c r="K35" s="34" t="s">
        <v>80</v>
      </c>
      <c r="L35" s="1">
        <v>80</v>
      </c>
      <c r="M35" s="15"/>
      <c r="N35" s="15"/>
      <c r="O35" s="12"/>
      <c r="P35" s="20"/>
      <c r="Q35" s="25" t="str">
        <f>IF(O35&lt;&gt;0,C35/(VLOOKUP(O35,#REF!,2,FALSE)),"")</f>
        <v/>
      </c>
      <c r="R35" s="20"/>
      <c r="S35" s="20"/>
      <c r="T35" s="9">
        <f t="shared" si="0"/>
        <v>0</v>
      </c>
    </row>
    <row r="36" spans="2:20" x14ac:dyDescent="0.2">
      <c r="B36" s="19" t="s">
        <v>93</v>
      </c>
      <c r="C36" s="20">
        <v>442</v>
      </c>
      <c r="D36" s="20">
        <v>1</v>
      </c>
      <c r="E36" s="11">
        <v>13</v>
      </c>
      <c r="F36" s="33">
        <v>42390</v>
      </c>
      <c r="G36" s="33">
        <v>42390</v>
      </c>
      <c r="H36" s="11" t="s">
        <v>12</v>
      </c>
      <c r="I36" s="11" t="s">
        <v>53</v>
      </c>
      <c r="J36" s="1">
        <v>1021007</v>
      </c>
      <c r="K36" s="34" t="s">
        <v>94</v>
      </c>
      <c r="L36" s="1">
        <v>80</v>
      </c>
      <c r="M36" s="15"/>
      <c r="N36" s="15"/>
      <c r="O36" s="12"/>
      <c r="P36" s="20"/>
      <c r="Q36" s="25" t="str">
        <f>IF(O36&lt;&gt;0,C36/(VLOOKUP(O36,#REF!,2,FALSE)),"")</f>
        <v/>
      </c>
      <c r="R36" s="20"/>
      <c r="S36" s="20"/>
      <c r="T36" s="9">
        <f t="shared" si="0"/>
        <v>0</v>
      </c>
    </row>
    <row r="37" spans="2:20" x14ac:dyDescent="0.2">
      <c r="B37" s="27" t="s">
        <v>36</v>
      </c>
      <c r="C37" s="11">
        <v>450</v>
      </c>
      <c r="D37" s="11">
        <v>1</v>
      </c>
      <c r="E37" s="12">
        <v>6</v>
      </c>
      <c r="F37" s="7">
        <v>42375</v>
      </c>
      <c r="G37" s="7">
        <v>42380</v>
      </c>
      <c r="H37" s="11" t="s">
        <v>12</v>
      </c>
      <c r="I37" s="11" t="s">
        <v>60</v>
      </c>
      <c r="J37" s="1">
        <v>1027121</v>
      </c>
      <c r="K37" s="13" t="s">
        <v>59</v>
      </c>
      <c r="L37" s="1">
        <v>80</v>
      </c>
      <c r="M37" s="15"/>
      <c r="N37" s="15"/>
      <c r="O37" s="12" t="s">
        <v>13</v>
      </c>
      <c r="P37" s="11"/>
      <c r="Q37" s="28" t="e">
        <f>IF(O37&lt;&gt;0,C37/(VLOOKUP(O37,#REF!,2,FALSE)),"")</f>
        <v>#REF!</v>
      </c>
      <c r="R37" s="11"/>
      <c r="S37" s="11"/>
      <c r="T37" s="9">
        <f t="shared" si="0"/>
        <v>0</v>
      </c>
    </row>
    <row r="38" spans="2:20" x14ac:dyDescent="0.2">
      <c r="B38" s="27" t="s">
        <v>36</v>
      </c>
      <c r="C38" s="11">
        <v>450</v>
      </c>
      <c r="D38" s="11">
        <v>1</v>
      </c>
      <c r="E38" s="12">
        <v>13</v>
      </c>
      <c r="F38" s="7"/>
      <c r="G38" s="7"/>
      <c r="H38" s="11" t="s">
        <v>12</v>
      </c>
      <c r="I38" s="11" t="s">
        <v>75</v>
      </c>
      <c r="J38" s="1">
        <v>1026827</v>
      </c>
      <c r="K38" s="13" t="s">
        <v>71</v>
      </c>
      <c r="L38" s="1">
        <v>80</v>
      </c>
      <c r="M38" s="15"/>
      <c r="N38" s="15"/>
      <c r="O38" s="12"/>
      <c r="P38" s="20"/>
      <c r="Q38" s="25" t="str">
        <f>IF(O38&lt;&gt;0,C38/(VLOOKUP(O38,#REF!,2,FALSE)),"")</f>
        <v/>
      </c>
      <c r="R38" s="20"/>
      <c r="S38" s="20"/>
      <c r="T38" s="9">
        <f t="shared" si="0"/>
        <v>0</v>
      </c>
    </row>
    <row r="39" spans="2:20" x14ac:dyDescent="0.2">
      <c r="B39" s="27" t="s">
        <v>36</v>
      </c>
      <c r="C39" s="20">
        <v>450</v>
      </c>
      <c r="D39" s="20">
        <v>1</v>
      </c>
      <c r="E39" s="12">
        <v>7</v>
      </c>
      <c r="F39" s="7">
        <v>42387</v>
      </c>
      <c r="G39" s="7">
        <v>42387</v>
      </c>
      <c r="H39" s="11" t="s">
        <v>12</v>
      </c>
      <c r="I39" s="11" t="s">
        <v>68</v>
      </c>
      <c r="J39" s="1">
        <v>1026827</v>
      </c>
      <c r="K39" s="13" t="s">
        <v>72</v>
      </c>
      <c r="L39" s="1">
        <v>80</v>
      </c>
      <c r="M39" s="36"/>
      <c r="N39" s="15"/>
      <c r="O39" s="12" t="s">
        <v>14</v>
      </c>
      <c r="P39" s="20"/>
      <c r="Q39" s="25" t="e">
        <f>IF(O39&lt;&gt;0,C39/(VLOOKUP(O39,#REF!,2,FALSE)),"")</f>
        <v>#REF!</v>
      </c>
      <c r="R39" s="20"/>
      <c r="S39" s="20"/>
      <c r="T39" s="9">
        <f>IF(COUNTIF(P39,"*érogation*"),C39,0)</f>
        <v>0</v>
      </c>
    </row>
    <row r="40" spans="2:20" x14ac:dyDescent="0.2">
      <c r="B40" s="27" t="s">
        <v>36</v>
      </c>
      <c r="C40" s="20">
        <v>22</v>
      </c>
      <c r="D40" s="20">
        <v>1</v>
      </c>
      <c r="E40" s="11" t="s">
        <v>73</v>
      </c>
      <c r="F40" s="7">
        <v>42387</v>
      </c>
      <c r="G40" s="7">
        <v>42387</v>
      </c>
      <c r="H40" s="11" t="s">
        <v>12</v>
      </c>
      <c r="I40" s="11" t="s">
        <v>68</v>
      </c>
      <c r="J40" s="1">
        <v>1026827</v>
      </c>
      <c r="K40" s="13" t="s">
        <v>72</v>
      </c>
      <c r="L40" s="1">
        <v>80</v>
      </c>
      <c r="M40" s="36"/>
      <c r="N40" s="15"/>
      <c r="O40" s="12" t="s">
        <v>14</v>
      </c>
      <c r="P40" s="20"/>
      <c r="Q40" s="25" t="e">
        <f>IF(O40&lt;&gt;0,C40/(VLOOKUP(O40,#REF!,2,FALSE)),"")</f>
        <v>#REF!</v>
      </c>
      <c r="R40" s="20"/>
      <c r="S40" s="20"/>
      <c r="T40" s="9">
        <f>IF(COUNTIF(P40,"*érogation*"),C40,0)</f>
        <v>0</v>
      </c>
    </row>
    <row r="41" spans="2:20" x14ac:dyDescent="0.2">
      <c r="B41" s="29" t="s">
        <v>15</v>
      </c>
      <c r="C41" s="30">
        <f>SUBTOTAL(109,Liste1_737578185102118131_6152_4169_14199_2221_4242_2257_1829932036338641141442142643243944745647548649823456789102345678911121314152345678910111213141617181720[Nombre de pièces])</f>
        <v>20745</v>
      </c>
      <c r="D41" s="30">
        <f>SUBTOTAL(109,Liste1_737578185102118131_6152_4169_14199_2221_4242_2257_1829932036338641141442142643243944745647548649823456789102345678911121314152345678910111213141617181720[[Nombre de bacs ]])</f>
        <v>37</v>
      </c>
      <c r="E41" s="30"/>
      <c r="F41" s="30"/>
      <c r="G41" s="30"/>
      <c r="H41" s="30"/>
      <c r="I41" s="30"/>
      <c r="J41" s="30"/>
      <c r="K41" s="31"/>
      <c r="L41" s="30"/>
      <c r="M41" s="30">
        <f>SUBTOTAL(109,Liste1_737578185102118131_6152_4169_14199_2221_4242_2257_1829932036338641141442142643243944745647548649823456789102345678911121314152345678910111213141617181720[Débloquées])</f>
        <v>0</v>
      </c>
      <c r="N41" s="30">
        <f>SUBTOTAL(109,Liste1_737578185102118131_6152_4169_14199_2221_4242_2257_1829932036338641141442142643243944745647548649823456789102345678911121314152345678910111213141617181720[[Rebutées ]])</f>
        <v>0</v>
      </c>
      <c r="O41" s="30"/>
      <c r="P41" s="30"/>
      <c r="Q41" s="32" t="e">
        <f>SUBTOTAL(109,Liste1_737578185102118131_6152_4169_14199_2221_4242_2257_1829932036338641141442142643243944745647548649823456789102345678911121314152345678910111213141617181720[Durée de tri (h)])</f>
        <v>#REF!</v>
      </c>
      <c r="R41" s="30"/>
      <c r="S41" s="32">
        <f>SUBTOTAL(109,Liste1_737578185102118131_6152_4169_14199_2221_4242_2257_1829932036338641141442142643243944745647548649823456789102345678911121314152345678910111213141617181720[Efficience tri])</f>
        <v>0</v>
      </c>
      <c r="T41" s="30">
        <f>SUBTOTAL(109,Liste1_737578185102118131_6152_4169_14199_2221_4242_2257_1829932036338641141442142643243944745647548649823456789102345678911121314152345678910111213141617181720[Attente Dérogation])</f>
        <v>1110</v>
      </c>
    </row>
    <row r="51" ht="12" customHeight="1" x14ac:dyDescent="0.2"/>
  </sheetData>
  <conditionalFormatting sqref="B1:B3 K1:K3 B42:B65489 K42:K65489">
    <cfRule type="expression" dxfId="9" priority="87" stopIfTrue="1">
      <formula>VLOOKUP(LEFT($B1,8),$BL$4:$BM$20,1,0)=LEFT($B1,8)</formula>
    </cfRule>
  </conditionalFormatting>
  <conditionalFormatting sqref="W4:W28">
    <cfRule type="expression" dxfId="8" priority="91" stopIfTrue="1">
      <formula>VLOOKUP(LEFT($W4,8),$BL$4:$BM$20,1,0)=LEFT($W4,8)</formula>
    </cfRule>
  </conditionalFormatting>
  <dataValidations count="2">
    <dataValidation type="list" allowBlank="1" showInputMessage="1" showErrorMessage="1" sqref="O4:O40">
      <formula1>"Montage,Montage + Visuel,Visuel"</formula1>
    </dataValidation>
    <dataValidation type="list" allowBlank="1" showInputMessage="1" showErrorMessage="1" sqref="P4:P40">
      <formula1>"Dérogation (décision client),Attente décision interne,OK QUA"</formula1>
    </dataValidation>
  </dataValidations>
  <pageMargins left="0" right="0" top="0" bottom="0" header="0" footer="0"/>
  <pageSetup paperSize="8" scale="83" fitToHeight="3" orientation="landscape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T95"/>
  <sheetViews>
    <sheetView topLeftCell="D1" zoomScale="80" zoomScaleNormal="80" workbookViewId="0">
      <selection activeCell="P8" sqref="P8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27" t="s">
        <v>161</v>
      </c>
      <c r="C4" s="20">
        <v>857</v>
      </c>
      <c r="D4" s="20">
        <v>1</v>
      </c>
      <c r="E4" s="20">
        <v>7</v>
      </c>
      <c r="F4" s="7">
        <v>42426</v>
      </c>
      <c r="G4" s="7">
        <v>42426</v>
      </c>
      <c r="H4" s="11" t="s">
        <v>12</v>
      </c>
      <c r="I4" s="11" t="s">
        <v>108</v>
      </c>
      <c r="J4" s="1">
        <v>1027917</v>
      </c>
      <c r="K4" s="34" t="s">
        <v>162</v>
      </c>
      <c r="L4" s="9">
        <v>80</v>
      </c>
      <c r="M4" s="40"/>
      <c r="N4" s="40"/>
      <c r="O4" s="41"/>
      <c r="P4" s="38"/>
      <c r="Q4" s="39" t="str">
        <f>IF(O4&lt;&gt;0,C4/(VLOOKUP(O4,#REF!,2,FALSE)),"")</f>
        <v/>
      </c>
      <c r="R4" s="38"/>
      <c r="S4" s="38"/>
      <c r="T4" s="37">
        <f t="shared" ref="T4:T46" si="0">IF(COUNTIF(P4,"*érogation*"),C4,0)</f>
        <v>0</v>
      </c>
    </row>
    <row r="5" spans="1:20" s="2" customFormat="1" x14ac:dyDescent="0.2">
      <c r="B5" s="27" t="s">
        <v>161</v>
      </c>
      <c r="C5" s="11">
        <v>950</v>
      </c>
      <c r="D5" s="11">
        <v>1</v>
      </c>
      <c r="E5" s="20">
        <v>1</v>
      </c>
      <c r="F5" s="7">
        <v>42425</v>
      </c>
      <c r="G5" s="7">
        <v>42425</v>
      </c>
      <c r="H5" s="11" t="s">
        <v>12</v>
      </c>
      <c r="I5" s="11" t="s">
        <v>108</v>
      </c>
      <c r="J5" s="1">
        <v>1027917</v>
      </c>
      <c r="K5" s="34" t="s">
        <v>162</v>
      </c>
      <c r="L5" s="9">
        <v>80</v>
      </c>
      <c r="M5" s="40"/>
      <c r="N5" s="40"/>
      <c r="O5" s="41"/>
      <c r="P5" s="43"/>
      <c r="Q5" s="44" t="str">
        <f>IF(O5&lt;&gt;0,C5/(VLOOKUP(O5,#REF!,2,FALSE)),"")</f>
        <v/>
      </c>
      <c r="R5" s="43"/>
      <c r="S5" s="43"/>
      <c r="T5" s="37">
        <f t="shared" si="0"/>
        <v>0</v>
      </c>
    </row>
    <row r="6" spans="1:20" s="2" customFormat="1" x14ac:dyDescent="0.2">
      <c r="B6" s="27" t="s">
        <v>161</v>
      </c>
      <c r="C6" s="11">
        <v>950</v>
      </c>
      <c r="D6" s="11">
        <v>1</v>
      </c>
      <c r="E6" s="20">
        <v>5</v>
      </c>
      <c r="F6" s="7">
        <v>42425</v>
      </c>
      <c r="G6" s="7">
        <v>42425</v>
      </c>
      <c r="H6" s="11" t="s">
        <v>12</v>
      </c>
      <c r="I6" s="11" t="s">
        <v>108</v>
      </c>
      <c r="J6" s="1">
        <v>1027917</v>
      </c>
      <c r="K6" s="34" t="s">
        <v>162</v>
      </c>
      <c r="L6" s="9">
        <v>80</v>
      </c>
      <c r="M6" s="40"/>
      <c r="N6" s="40"/>
      <c r="O6" s="41"/>
      <c r="P6" s="43"/>
      <c r="Q6" s="44" t="str">
        <f>IF(O6&lt;&gt;0,C6/(VLOOKUP(O6,#REF!,2,FALSE)),"")</f>
        <v/>
      </c>
      <c r="R6" s="43"/>
      <c r="S6" s="43"/>
      <c r="T6" s="37">
        <f t="shared" si="0"/>
        <v>0</v>
      </c>
    </row>
    <row r="7" spans="1:20" s="2" customFormat="1" x14ac:dyDescent="0.2">
      <c r="B7" s="27" t="s">
        <v>161</v>
      </c>
      <c r="C7" s="11">
        <v>950</v>
      </c>
      <c r="D7" s="11">
        <v>1</v>
      </c>
      <c r="E7" s="20">
        <v>2</v>
      </c>
      <c r="F7" s="7">
        <v>42425</v>
      </c>
      <c r="G7" s="7">
        <v>42425</v>
      </c>
      <c r="H7" s="11" t="s">
        <v>12</v>
      </c>
      <c r="I7" s="11" t="s">
        <v>108</v>
      </c>
      <c r="J7" s="1">
        <v>1027917</v>
      </c>
      <c r="K7" s="34" t="s">
        <v>162</v>
      </c>
      <c r="L7" s="9">
        <v>80</v>
      </c>
      <c r="M7" s="40"/>
      <c r="N7" s="40"/>
      <c r="O7" s="41"/>
      <c r="P7" s="43"/>
      <c r="Q7" s="44" t="str">
        <f>IF(O7&lt;&gt;0,C7/(VLOOKUP(O7,#REF!,2,FALSE)),"")</f>
        <v/>
      </c>
      <c r="R7" s="43"/>
      <c r="S7" s="43"/>
      <c r="T7" s="37">
        <f t="shared" si="0"/>
        <v>0</v>
      </c>
    </row>
    <row r="8" spans="1:20" s="2" customFormat="1" x14ac:dyDescent="0.2">
      <c r="B8" s="27" t="s">
        <v>161</v>
      </c>
      <c r="C8" s="11">
        <v>950</v>
      </c>
      <c r="D8" s="11">
        <v>1</v>
      </c>
      <c r="E8" s="20">
        <v>3</v>
      </c>
      <c r="F8" s="7">
        <v>42425</v>
      </c>
      <c r="G8" s="7">
        <v>42425</v>
      </c>
      <c r="H8" s="11" t="s">
        <v>12</v>
      </c>
      <c r="I8" s="11" t="s">
        <v>108</v>
      </c>
      <c r="J8" s="1">
        <v>1027917</v>
      </c>
      <c r="K8" s="34" t="s">
        <v>162</v>
      </c>
      <c r="L8" s="9">
        <v>80</v>
      </c>
      <c r="M8" s="40"/>
      <c r="N8" s="40"/>
      <c r="O8" s="41"/>
      <c r="P8" s="43"/>
      <c r="Q8" s="44" t="str">
        <f>IF(O8&lt;&gt;0,C8/(VLOOKUP(O8,#REF!,2,FALSE)),"")</f>
        <v/>
      </c>
      <c r="R8" s="43"/>
      <c r="S8" s="43"/>
      <c r="T8" s="37">
        <f t="shared" si="0"/>
        <v>0</v>
      </c>
    </row>
    <row r="9" spans="1:20" s="2" customFormat="1" x14ac:dyDescent="0.2">
      <c r="B9" s="27" t="s">
        <v>161</v>
      </c>
      <c r="C9" s="11">
        <v>950</v>
      </c>
      <c r="D9" s="11">
        <v>1</v>
      </c>
      <c r="E9" s="20">
        <v>4</v>
      </c>
      <c r="F9" s="7">
        <v>42425</v>
      </c>
      <c r="G9" s="7">
        <v>42425</v>
      </c>
      <c r="H9" s="11" t="s">
        <v>12</v>
      </c>
      <c r="I9" s="11" t="s">
        <v>108</v>
      </c>
      <c r="J9" s="1">
        <v>1027917</v>
      </c>
      <c r="K9" s="34" t="s">
        <v>162</v>
      </c>
      <c r="L9" s="9">
        <v>80</v>
      </c>
      <c r="M9" s="40"/>
      <c r="N9" s="40"/>
      <c r="O9" s="41"/>
      <c r="P9" s="43"/>
      <c r="Q9" s="44" t="str">
        <f>IF(O9&lt;&gt;0,C9/(VLOOKUP(O9,#REF!,2,FALSE)),"")</f>
        <v/>
      </c>
      <c r="R9" s="43"/>
      <c r="S9" s="43"/>
      <c r="T9" s="37">
        <f t="shared" si="0"/>
        <v>0</v>
      </c>
    </row>
    <row r="10" spans="1:20" s="2" customFormat="1" x14ac:dyDescent="0.2">
      <c r="B10" s="19" t="s">
        <v>130</v>
      </c>
      <c r="C10" s="20">
        <v>712</v>
      </c>
      <c r="D10" s="20">
        <v>1</v>
      </c>
      <c r="E10" s="20">
        <v>15</v>
      </c>
      <c r="F10" s="7">
        <v>42418</v>
      </c>
      <c r="G10" s="7">
        <v>42418</v>
      </c>
      <c r="H10" s="11" t="s">
        <v>12</v>
      </c>
      <c r="I10" s="11" t="s">
        <v>152</v>
      </c>
      <c r="J10" s="1">
        <v>1027916</v>
      </c>
      <c r="K10" s="34" t="s">
        <v>153</v>
      </c>
      <c r="L10" s="9">
        <v>80</v>
      </c>
      <c r="M10" s="40"/>
      <c r="N10" s="40"/>
      <c r="O10" s="41" t="s">
        <v>13</v>
      </c>
      <c r="P10" s="43"/>
      <c r="Q10" s="44" t="e">
        <f>IF(O10&lt;&gt;0,C10/(VLOOKUP(O10,#REF!,2,FALSE)),"")</f>
        <v>#REF!</v>
      </c>
      <c r="R10" s="43"/>
      <c r="S10" s="43"/>
      <c r="T10" s="37">
        <f t="shared" si="0"/>
        <v>0</v>
      </c>
    </row>
    <row r="11" spans="1:20" s="2" customFormat="1" x14ac:dyDescent="0.2">
      <c r="B11" s="19" t="s">
        <v>130</v>
      </c>
      <c r="C11" s="11">
        <v>750</v>
      </c>
      <c r="D11" s="11">
        <v>1</v>
      </c>
      <c r="E11" s="20">
        <v>16</v>
      </c>
      <c r="F11" s="7">
        <v>42418</v>
      </c>
      <c r="G11" s="7">
        <v>42418</v>
      </c>
      <c r="H11" s="11" t="s">
        <v>12</v>
      </c>
      <c r="I11" s="11" t="s">
        <v>152</v>
      </c>
      <c r="J11" s="1">
        <v>1027916</v>
      </c>
      <c r="K11" s="34" t="s">
        <v>153</v>
      </c>
      <c r="L11" s="9">
        <v>80</v>
      </c>
      <c r="M11" s="40"/>
      <c r="N11" s="40"/>
      <c r="O11" s="41" t="s">
        <v>13</v>
      </c>
      <c r="P11" s="43"/>
      <c r="Q11" s="44" t="e">
        <f>IF(O11&lt;&gt;0,C11/(VLOOKUP(O11,#REF!,2,FALSE)),"")</f>
        <v>#REF!</v>
      </c>
      <c r="R11" s="43"/>
      <c r="S11" s="43"/>
      <c r="T11" s="37">
        <f t="shared" si="0"/>
        <v>0</v>
      </c>
    </row>
    <row r="12" spans="1:20" s="2" customFormat="1" x14ac:dyDescent="0.2">
      <c r="B12" s="19" t="s">
        <v>130</v>
      </c>
      <c r="C12" s="20">
        <v>656</v>
      </c>
      <c r="D12" s="20">
        <v>1</v>
      </c>
      <c r="E12" s="20">
        <v>4</v>
      </c>
      <c r="F12" s="7"/>
      <c r="G12" s="7"/>
      <c r="H12" s="11" t="s">
        <v>12</v>
      </c>
      <c r="I12" s="11" t="s">
        <v>131</v>
      </c>
      <c r="J12" s="1">
        <v>1027759</v>
      </c>
      <c r="K12" s="13" t="s">
        <v>132</v>
      </c>
      <c r="L12" s="9">
        <v>80</v>
      </c>
      <c r="M12" s="40"/>
      <c r="N12" s="40"/>
      <c r="O12" s="41" t="s">
        <v>13</v>
      </c>
      <c r="P12" s="43"/>
      <c r="Q12" s="44" t="e">
        <f>IF(O12&lt;&gt;0,C12/(VLOOKUP(O12,#REF!,2,FALSE)),"")</f>
        <v>#REF!</v>
      </c>
      <c r="R12" s="43"/>
      <c r="S12" s="43"/>
      <c r="T12" s="37">
        <f t="shared" si="0"/>
        <v>0</v>
      </c>
    </row>
    <row r="13" spans="1:20" s="2" customFormat="1" x14ac:dyDescent="0.2">
      <c r="B13" s="19" t="s">
        <v>130</v>
      </c>
      <c r="C13" s="20">
        <v>750</v>
      </c>
      <c r="D13" s="20">
        <v>1</v>
      </c>
      <c r="E13" s="20">
        <v>18</v>
      </c>
      <c r="F13" s="7"/>
      <c r="G13" s="7"/>
      <c r="H13" s="11" t="s">
        <v>12</v>
      </c>
      <c r="I13" s="11" t="s">
        <v>114</v>
      </c>
      <c r="J13" s="1">
        <v>1027759</v>
      </c>
      <c r="K13" s="13" t="s">
        <v>132</v>
      </c>
      <c r="L13" s="9">
        <v>80</v>
      </c>
      <c r="M13" s="40"/>
      <c r="N13" s="40"/>
      <c r="O13" s="41" t="s">
        <v>13</v>
      </c>
      <c r="P13" s="38"/>
      <c r="Q13" s="39" t="e">
        <f>IF(O13&lt;&gt;0,C13/(VLOOKUP(O13,#REF!,2,FALSE)),"")</f>
        <v>#REF!</v>
      </c>
      <c r="R13" s="38"/>
      <c r="S13" s="38"/>
      <c r="T13" s="37">
        <f t="shared" si="0"/>
        <v>0</v>
      </c>
    </row>
    <row r="14" spans="1:20" s="2" customFormat="1" x14ac:dyDescent="0.2">
      <c r="B14" s="42" t="s">
        <v>130</v>
      </c>
      <c r="C14" s="20"/>
      <c r="D14" s="20"/>
      <c r="E14" s="20">
        <v>21</v>
      </c>
      <c r="F14" s="7">
        <v>42415</v>
      </c>
      <c r="G14" s="7">
        <v>42415</v>
      </c>
      <c r="H14" s="11" t="s">
        <v>12</v>
      </c>
      <c r="I14" s="11" t="s">
        <v>114</v>
      </c>
      <c r="J14" s="1">
        <v>1027759</v>
      </c>
      <c r="K14" s="13" t="s">
        <v>132</v>
      </c>
      <c r="L14" s="9">
        <v>80</v>
      </c>
      <c r="M14" s="40">
        <v>749</v>
      </c>
      <c r="N14" s="40">
        <v>1</v>
      </c>
      <c r="O14" s="41" t="s">
        <v>13</v>
      </c>
      <c r="P14" s="38"/>
      <c r="Q14" s="39" t="e">
        <f>IF(O14&lt;&gt;0,C14/(VLOOKUP(O14,#REF!,2,FALSE)),"")</f>
        <v>#REF!</v>
      </c>
      <c r="R14" s="38"/>
      <c r="S14" s="38"/>
      <c r="T14" s="37">
        <f t="shared" si="0"/>
        <v>0</v>
      </c>
    </row>
    <row r="15" spans="1:20" s="2" customFormat="1" x14ac:dyDescent="0.2">
      <c r="B15" s="27" t="s">
        <v>112</v>
      </c>
      <c r="C15" s="11"/>
      <c r="D15" s="11"/>
      <c r="E15" s="11" t="s">
        <v>21</v>
      </c>
      <c r="F15" s="7">
        <v>42423</v>
      </c>
      <c r="G15" s="7">
        <v>42423</v>
      </c>
      <c r="H15" s="11" t="s">
        <v>12</v>
      </c>
      <c r="I15" s="11" t="s">
        <v>52</v>
      </c>
      <c r="J15" s="1">
        <v>1027588</v>
      </c>
      <c r="K15" s="34" t="s">
        <v>113</v>
      </c>
      <c r="L15" s="9">
        <v>80</v>
      </c>
      <c r="M15" s="40">
        <v>198</v>
      </c>
      <c r="N15" s="40"/>
      <c r="O15" s="41"/>
      <c r="P15" s="43"/>
      <c r="Q15" s="44" t="str">
        <f>IF(O15&lt;&gt;0,C15/(VLOOKUP(O15,#REF!,2,FALSE)),"")</f>
        <v/>
      </c>
      <c r="R15" s="43"/>
      <c r="S15" s="43"/>
      <c r="T15" s="37">
        <f t="shared" ref="T15:T20" si="1">IF(COUNTIF(P15,"*érogation*"),C15,0)</f>
        <v>0</v>
      </c>
    </row>
    <row r="16" spans="1:20" s="2" customFormat="1" x14ac:dyDescent="0.2">
      <c r="B16" s="19" t="s">
        <v>42</v>
      </c>
      <c r="C16" s="20">
        <v>146</v>
      </c>
      <c r="D16" s="20">
        <v>1</v>
      </c>
      <c r="E16" s="11">
        <v>6</v>
      </c>
      <c r="F16" s="7">
        <v>42424</v>
      </c>
      <c r="G16" s="7">
        <v>42429</v>
      </c>
      <c r="H16" s="11" t="s">
        <v>12</v>
      </c>
      <c r="I16" s="11" t="s">
        <v>88</v>
      </c>
      <c r="J16" s="1">
        <v>1027951</v>
      </c>
      <c r="K16" s="34" t="s">
        <v>166</v>
      </c>
      <c r="L16" s="9">
        <v>80</v>
      </c>
      <c r="M16" s="40"/>
      <c r="N16" s="40"/>
      <c r="O16" s="41"/>
      <c r="P16" s="38"/>
      <c r="Q16" s="39" t="str">
        <f>IF(O16&lt;&gt;0,C16/(VLOOKUP(O16,#REF!,2,FALSE)),"")</f>
        <v/>
      </c>
      <c r="R16" s="38"/>
      <c r="S16" s="38"/>
      <c r="T16" s="37">
        <f t="shared" si="1"/>
        <v>0</v>
      </c>
    </row>
    <row r="17" spans="2:20" s="2" customFormat="1" x14ac:dyDescent="0.2">
      <c r="B17" s="19" t="s">
        <v>42</v>
      </c>
      <c r="C17" s="20">
        <v>650</v>
      </c>
      <c r="D17" s="20">
        <v>1</v>
      </c>
      <c r="E17" s="11">
        <v>9</v>
      </c>
      <c r="F17" s="7">
        <v>42429</v>
      </c>
      <c r="G17" s="7">
        <v>42429</v>
      </c>
      <c r="H17" s="11" t="s">
        <v>12</v>
      </c>
      <c r="I17" s="11" t="s">
        <v>169</v>
      </c>
      <c r="J17" s="1">
        <v>1027951</v>
      </c>
      <c r="K17" s="34" t="s">
        <v>166</v>
      </c>
      <c r="L17" s="9">
        <v>80</v>
      </c>
      <c r="M17" s="40"/>
      <c r="N17" s="40"/>
      <c r="O17" s="41"/>
      <c r="P17" s="38"/>
      <c r="Q17" s="39" t="str">
        <f>IF(O17&lt;&gt;0,C17/(VLOOKUP(O17,#REF!,2,FALSE)),"")</f>
        <v/>
      </c>
      <c r="R17" s="38"/>
      <c r="S17" s="38"/>
      <c r="T17" s="37">
        <f t="shared" si="1"/>
        <v>0</v>
      </c>
    </row>
    <row r="18" spans="2:20" s="2" customFormat="1" x14ac:dyDescent="0.2">
      <c r="B18" s="19" t="s">
        <v>42</v>
      </c>
      <c r="C18" s="20">
        <v>650</v>
      </c>
      <c r="D18" s="20">
        <v>1</v>
      </c>
      <c r="E18" s="11">
        <v>8</v>
      </c>
      <c r="F18" s="7">
        <v>42429</v>
      </c>
      <c r="G18" s="7">
        <v>42429</v>
      </c>
      <c r="H18" s="11" t="s">
        <v>12</v>
      </c>
      <c r="I18" s="11" t="s">
        <v>169</v>
      </c>
      <c r="J18" s="1">
        <v>1027951</v>
      </c>
      <c r="K18" s="34" t="s">
        <v>166</v>
      </c>
      <c r="L18" s="9">
        <v>80</v>
      </c>
      <c r="M18" s="40"/>
      <c r="N18" s="40"/>
      <c r="O18" s="41"/>
      <c r="P18" s="38"/>
      <c r="Q18" s="39" t="str">
        <f>IF(O18&lt;&gt;0,C18/(VLOOKUP(O18,#REF!,2,FALSE)),"")</f>
        <v/>
      </c>
      <c r="R18" s="38"/>
      <c r="S18" s="38"/>
      <c r="T18" s="37">
        <f t="shared" si="1"/>
        <v>0</v>
      </c>
    </row>
    <row r="19" spans="2:20" s="2" customFormat="1" x14ac:dyDescent="0.2">
      <c r="B19" s="19" t="s">
        <v>42</v>
      </c>
      <c r="C19" s="20">
        <v>650</v>
      </c>
      <c r="D19" s="20">
        <v>1</v>
      </c>
      <c r="E19" s="11">
        <v>11</v>
      </c>
      <c r="F19" s="7">
        <v>42429</v>
      </c>
      <c r="G19" s="7">
        <v>42429</v>
      </c>
      <c r="H19" s="11" t="s">
        <v>12</v>
      </c>
      <c r="I19" s="11" t="s">
        <v>169</v>
      </c>
      <c r="J19" s="1">
        <v>1027951</v>
      </c>
      <c r="K19" s="34" t="s">
        <v>166</v>
      </c>
      <c r="L19" s="9">
        <v>80</v>
      </c>
      <c r="M19" s="40"/>
      <c r="N19" s="40"/>
      <c r="O19" s="41"/>
      <c r="P19" s="38"/>
      <c r="Q19" s="39" t="str">
        <f>IF(O19&lt;&gt;0,C19/(VLOOKUP(O19,#REF!,2,FALSE)),"")</f>
        <v/>
      </c>
      <c r="R19" s="38"/>
      <c r="S19" s="38"/>
      <c r="T19" s="37">
        <f t="shared" si="1"/>
        <v>0</v>
      </c>
    </row>
    <row r="20" spans="2:20" s="2" customFormat="1" x14ac:dyDescent="0.2">
      <c r="B20" s="27" t="s">
        <v>46</v>
      </c>
      <c r="C20" s="11">
        <v>800</v>
      </c>
      <c r="D20" s="11">
        <v>1</v>
      </c>
      <c r="E20" s="11">
        <v>23</v>
      </c>
      <c r="F20" s="7">
        <v>42423</v>
      </c>
      <c r="G20" s="7">
        <v>42423</v>
      </c>
      <c r="H20" s="33" t="s">
        <v>12</v>
      </c>
      <c r="I20" s="11" t="s">
        <v>138</v>
      </c>
      <c r="J20" s="1">
        <v>1027823</v>
      </c>
      <c r="K20" s="34" t="s">
        <v>139</v>
      </c>
      <c r="L20" s="9">
        <v>80</v>
      </c>
      <c r="M20" s="40"/>
      <c r="N20" s="40"/>
      <c r="O20" s="41" t="s">
        <v>14</v>
      </c>
      <c r="P20" s="43"/>
      <c r="Q20" s="44" t="e">
        <f>IF(O20&lt;&gt;0,C20/(VLOOKUP(O20,#REF!,2,FALSE)),"")</f>
        <v>#REF!</v>
      </c>
      <c r="R20" s="43"/>
      <c r="S20" s="43"/>
      <c r="T20" s="37">
        <f t="shared" si="1"/>
        <v>0</v>
      </c>
    </row>
    <row r="21" spans="2:20" s="2" customFormat="1" ht="25.5" x14ac:dyDescent="0.2">
      <c r="B21" s="27" t="s">
        <v>46</v>
      </c>
      <c r="C21" s="20">
        <v>800</v>
      </c>
      <c r="D21" s="20">
        <v>1</v>
      </c>
      <c r="E21" s="1">
        <v>2</v>
      </c>
      <c r="F21" s="7">
        <v>42268</v>
      </c>
      <c r="G21" s="7">
        <v>42376</v>
      </c>
      <c r="H21" s="11" t="s">
        <v>12</v>
      </c>
      <c r="I21" s="11" t="s">
        <v>56</v>
      </c>
      <c r="J21" s="1">
        <v>1023105</v>
      </c>
      <c r="K21" s="13" t="s">
        <v>55</v>
      </c>
      <c r="L21" s="9">
        <v>80</v>
      </c>
      <c r="M21" s="40"/>
      <c r="N21" s="40"/>
      <c r="O21" s="41"/>
      <c r="P21" s="43" t="s">
        <v>31</v>
      </c>
      <c r="Q21" s="39" t="str">
        <f>IF(O21&lt;&gt;0,C21/(VLOOKUP(O21,#REF!,2,FALSE)),"")</f>
        <v/>
      </c>
      <c r="R21" s="38"/>
      <c r="S21" s="38"/>
      <c r="T21" s="37">
        <f t="shared" si="0"/>
        <v>0</v>
      </c>
    </row>
    <row r="22" spans="2:20" s="2" customFormat="1" ht="25.5" x14ac:dyDescent="0.2">
      <c r="B22" s="27" t="s">
        <v>46</v>
      </c>
      <c r="C22" s="20">
        <v>504</v>
      </c>
      <c r="D22" s="20">
        <v>1</v>
      </c>
      <c r="E22" s="1">
        <v>1</v>
      </c>
      <c r="F22" s="7">
        <v>42268</v>
      </c>
      <c r="G22" s="7">
        <v>42376</v>
      </c>
      <c r="H22" s="11" t="s">
        <v>12</v>
      </c>
      <c r="I22" s="11" t="s">
        <v>56</v>
      </c>
      <c r="J22" s="1">
        <v>1023105</v>
      </c>
      <c r="K22" s="13" t="s">
        <v>55</v>
      </c>
      <c r="L22" s="9">
        <v>80</v>
      </c>
      <c r="M22" s="40"/>
      <c r="N22" s="40"/>
      <c r="O22" s="41"/>
      <c r="P22" s="43" t="s">
        <v>31</v>
      </c>
      <c r="Q22" s="39" t="str">
        <f>IF(O22&lt;&gt;0,C22/(VLOOKUP(O22,#REF!,2,FALSE)),"")</f>
        <v/>
      </c>
      <c r="R22" s="38"/>
      <c r="S22" s="38"/>
      <c r="T22" s="37">
        <f t="shared" si="0"/>
        <v>0</v>
      </c>
    </row>
    <row r="23" spans="2:20" s="2" customFormat="1" x14ac:dyDescent="0.2">
      <c r="B23" s="19" t="s">
        <v>110</v>
      </c>
      <c r="C23" s="11">
        <v>950</v>
      </c>
      <c r="D23" s="11">
        <v>1</v>
      </c>
      <c r="E23" s="1">
        <v>1</v>
      </c>
      <c r="F23" s="7">
        <v>42423</v>
      </c>
      <c r="G23" s="7">
        <v>42423</v>
      </c>
      <c r="H23" s="11" t="s">
        <v>12</v>
      </c>
      <c r="I23" s="11" t="s">
        <v>159</v>
      </c>
      <c r="J23" s="1">
        <v>1027952</v>
      </c>
      <c r="K23" s="34" t="s">
        <v>160</v>
      </c>
      <c r="L23" s="9">
        <v>80</v>
      </c>
      <c r="M23" s="40"/>
      <c r="N23" s="40"/>
      <c r="O23" s="41"/>
      <c r="P23" s="43"/>
      <c r="Q23" s="44" t="str">
        <f>IF(O23&lt;&gt;0,C23/(VLOOKUP(O23,#REF!,2,FALSE)),"")</f>
        <v/>
      </c>
      <c r="R23" s="43"/>
      <c r="S23" s="43"/>
      <c r="T23" s="37">
        <f t="shared" si="0"/>
        <v>0</v>
      </c>
    </row>
    <row r="24" spans="2:20" s="2" customFormat="1" x14ac:dyDescent="0.2">
      <c r="B24" s="19" t="s">
        <v>110</v>
      </c>
      <c r="C24" s="20">
        <v>950</v>
      </c>
      <c r="D24" s="20">
        <v>1</v>
      </c>
      <c r="E24" s="1">
        <v>15</v>
      </c>
      <c r="F24" s="7">
        <v>42426</v>
      </c>
      <c r="G24" s="7">
        <v>42426</v>
      </c>
      <c r="H24" s="11" t="s">
        <v>12</v>
      </c>
      <c r="I24" s="11" t="s">
        <v>159</v>
      </c>
      <c r="J24" s="1">
        <v>1027952</v>
      </c>
      <c r="K24" s="34" t="s">
        <v>160</v>
      </c>
      <c r="L24" s="9">
        <v>80</v>
      </c>
      <c r="M24" s="40"/>
      <c r="N24" s="40"/>
      <c r="O24" s="41"/>
      <c r="P24" s="38"/>
      <c r="Q24" s="39" t="str">
        <f>IF(O24&lt;&gt;0,C24/(VLOOKUP(O24,#REF!,2,FALSE)),"")</f>
        <v/>
      </c>
      <c r="R24" s="38"/>
      <c r="S24" s="38"/>
      <c r="T24" s="37">
        <f>IF(COUNTIF(P24,"*érogation*"),C24,0)</f>
        <v>0</v>
      </c>
    </row>
    <row r="25" spans="2:20" s="2" customFormat="1" x14ac:dyDescent="0.2">
      <c r="B25" s="19" t="s">
        <v>110</v>
      </c>
      <c r="C25" s="20">
        <v>950</v>
      </c>
      <c r="D25" s="20">
        <v>1</v>
      </c>
      <c r="E25" s="1">
        <v>3</v>
      </c>
      <c r="F25" s="7">
        <v>42423</v>
      </c>
      <c r="G25" s="7">
        <v>42423</v>
      </c>
      <c r="H25" s="11" t="s">
        <v>12</v>
      </c>
      <c r="I25" s="11" t="s">
        <v>159</v>
      </c>
      <c r="J25" s="1">
        <v>1027952</v>
      </c>
      <c r="K25" s="34" t="s">
        <v>160</v>
      </c>
      <c r="L25" s="9">
        <v>80</v>
      </c>
      <c r="M25" s="40"/>
      <c r="N25" s="40"/>
      <c r="O25" s="41"/>
      <c r="P25" s="38"/>
      <c r="Q25" s="39" t="str">
        <f>IF(O25&lt;&gt;0,C25/(VLOOKUP(O25,#REF!,2,FALSE)),"")</f>
        <v/>
      </c>
      <c r="R25" s="38"/>
      <c r="S25" s="38"/>
      <c r="T25" s="37">
        <f>IF(COUNTIF(P25,"*érogation*"),C25,0)</f>
        <v>0</v>
      </c>
    </row>
    <row r="26" spans="2:20" s="2" customFormat="1" x14ac:dyDescent="0.2">
      <c r="B26" s="19" t="s">
        <v>110</v>
      </c>
      <c r="C26" s="52" t="s">
        <v>21</v>
      </c>
      <c r="D26" s="20">
        <v>1</v>
      </c>
      <c r="E26" s="52" t="s">
        <v>21</v>
      </c>
      <c r="F26" s="7">
        <v>42411</v>
      </c>
      <c r="G26" s="7">
        <v>42411</v>
      </c>
      <c r="H26" s="11" t="s">
        <v>12</v>
      </c>
      <c r="I26" s="11" t="s">
        <v>147</v>
      </c>
      <c r="J26" s="1">
        <v>1027504</v>
      </c>
      <c r="K26" s="34" t="s">
        <v>109</v>
      </c>
      <c r="L26" s="9">
        <v>80</v>
      </c>
      <c r="M26" s="40"/>
      <c r="N26" s="40"/>
      <c r="O26" s="41"/>
      <c r="P26" s="38"/>
      <c r="Q26" s="39" t="str">
        <f>IF(O26&lt;&gt;0,C26/(VLOOKUP(O26,#REF!,2,FALSE)),"")</f>
        <v/>
      </c>
      <c r="R26" s="38"/>
      <c r="S26" s="38"/>
      <c r="T26" s="37">
        <f t="shared" si="0"/>
        <v>0</v>
      </c>
    </row>
    <row r="27" spans="2:20" s="2" customFormat="1" x14ac:dyDescent="0.2">
      <c r="B27" s="19" t="s">
        <v>154</v>
      </c>
      <c r="C27" s="53">
        <v>450</v>
      </c>
      <c r="D27" s="20">
        <v>1</v>
      </c>
      <c r="E27" s="52">
        <v>12</v>
      </c>
      <c r="F27" s="7">
        <v>42423</v>
      </c>
      <c r="G27" s="7">
        <v>42423</v>
      </c>
      <c r="H27" s="11" t="s">
        <v>12</v>
      </c>
      <c r="I27" s="11" t="s">
        <v>114</v>
      </c>
      <c r="J27" s="1">
        <v>1027918</v>
      </c>
      <c r="K27" s="34" t="s">
        <v>156</v>
      </c>
      <c r="L27" s="9"/>
      <c r="M27" s="40"/>
      <c r="N27" s="40"/>
      <c r="O27" s="41"/>
      <c r="P27" s="38"/>
      <c r="Q27" s="39" t="str">
        <f>IF(O27&lt;&gt;0,C27/(VLOOKUP(O27,#REF!,2,FALSE)),"")</f>
        <v/>
      </c>
      <c r="R27" s="38"/>
      <c r="S27" s="38"/>
      <c r="T27" s="37">
        <f>IF(COUNTIF(P27,"*érogation*"),C27,0)</f>
        <v>0</v>
      </c>
    </row>
    <row r="28" spans="2:20" s="2" customFormat="1" x14ac:dyDescent="0.2">
      <c r="B28" s="19" t="s">
        <v>154</v>
      </c>
      <c r="C28" s="53">
        <v>700</v>
      </c>
      <c r="D28" s="20">
        <v>1</v>
      </c>
      <c r="E28" s="52">
        <v>3</v>
      </c>
      <c r="F28" s="7">
        <v>42426</v>
      </c>
      <c r="G28" s="7">
        <v>42426</v>
      </c>
      <c r="H28" s="11" t="s">
        <v>12</v>
      </c>
      <c r="I28" s="11" t="s">
        <v>155</v>
      </c>
      <c r="J28" s="1">
        <v>1027918</v>
      </c>
      <c r="K28" s="34" t="s">
        <v>156</v>
      </c>
      <c r="L28" s="9">
        <v>80</v>
      </c>
      <c r="M28" s="40"/>
      <c r="N28" s="40"/>
      <c r="O28" s="41"/>
      <c r="P28" s="38"/>
      <c r="Q28" s="39" t="str">
        <f>IF(O28&lt;&gt;0,C28/(VLOOKUP(O28,#REF!,2,FALSE)),"")</f>
        <v/>
      </c>
      <c r="R28" s="38"/>
      <c r="S28" s="38"/>
      <c r="T28" s="37">
        <f t="shared" si="0"/>
        <v>0</v>
      </c>
    </row>
    <row r="29" spans="2:20" s="2" customFormat="1" ht="25.5" x14ac:dyDescent="0.2">
      <c r="B29" s="27" t="s">
        <v>49</v>
      </c>
      <c r="C29" s="20">
        <v>284</v>
      </c>
      <c r="D29" s="20">
        <v>1</v>
      </c>
      <c r="E29" s="11">
        <v>2</v>
      </c>
      <c r="F29" s="7">
        <v>42356</v>
      </c>
      <c r="G29" s="7">
        <v>42356</v>
      </c>
      <c r="H29" s="11" t="s">
        <v>12</v>
      </c>
      <c r="I29" s="11" t="s">
        <v>98</v>
      </c>
      <c r="J29" s="1">
        <v>1027045</v>
      </c>
      <c r="K29" s="13" t="s">
        <v>50</v>
      </c>
      <c r="L29" s="9">
        <v>80</v>
      </c>
      <c r="M29" s="40"/>
      <c r="N29" s="40"/>
      <c r="O29" s="41"/>
      <c r="P29" s="38" t="s">
        <v>22</v>
      </c>
      <c r="Q29" s="39" t="str">
        <f>IF(O29&lt;&gt;0,C29/(VLOOKUP(O29,#REF!,2,FALSE)),"")</f>
        <v/>
      </c>
      <c r="R29" s="38"/>
      <c r="S29" s="38"/>
      <c r="T29" s="37">
        <f t="shared" si="0"/>
        <v>284</v>
      </c>
    </row>
    <row r="30" spans="2:20" s="2" customFormat="1" x14ac:dyDescent="0.2">
      <c r="B30" s="42" t="s">
        <v>103</v>
      </c>
      <c r="C30" s="11"/>
      <c r="D30" s="11"/>
      <c r="E30" s="11" t="s">
        <v>73</v>
      </c>
      <c r="F30" s="7">
        <v>42404</v>
      </c>
      <c r="G30" s="7">
        <v>42404</v>
      </c>
      <c r="H30" s="11" t="s">
        <v>12</v>
      </c>
      <c r="I30" s="11" t="s">
        <v>63</v>
      </c>
      <c r="J30" s="1">
        <v>1027213</v>
      </c>
      <c r="K30" s="34" t="s">
        <v>104</v>
      </c>
      <c r="L30" s="9">
        <v>80</v>
      </c>
      <c r="M30" s="40">
        <v>213</v>
      </c>
      <c r="N30" s="40">
        <v>32</v>
      </c>
      <c r="O30" s="41" t="s">
        <v>13</v>
      </c>
      <c r="P30" s="38"/>
      <c r="Q30" s="39" t="e">
        <f>IF(O30&lt;&gt;0,C30/(VLOOKUP(O30,#REF!,2,FALSE)),"")</f>
        <v>#REF!</v>
      </c>
      <c r="R30" s="43"/>
      <c r="S30" s="38"/>
      <c r="T30" s="37">
        <f t="shared" si="0"/>
        <v>0</v>
      </c>
    </row>
    <row r="31" spans="2:20" s="2" customFormat="1" x14ac:dyDescent="0.2">
      <c r="B31" s="42" t="s">
        <v>103</v>
      </c>
      <c r="C31" s="11"/>
      <c r="D31" s="11"/>
      <c r="E31" s="11" t="s">
        <v>121</v>
      </c>
      <c r="F31" s="7">
        <v>42404</v>
      </c>
      <c r="G31" s="7">
        <v>42404</v>
      </c>
      <c r="H31" s="11" t="s">
        <v>12</v>
      </c>
      <c r="I31" s="11" t="s">
        <v>63</v>
      </c>
      <c r="J31" s="1">
        <v>1027213</v>
      </c>
      <c r="K31" s="34" t="s">
        <v>104</v>
      </c>
      <c r="L31" s="9">
        <v>80</v>
      </c>
      <c r="M31" s="40">
        <v>239</v>
      </c>
      <c r="N31" s="40">
        <v>6</v>
      </c>
      <c r="O31" s="41" t="s">
        <v>13</v>
      </c>
      <c r="P31" s="38"/>
      <c r="Q31" s="39" t="e">
        <f>IF(O31&lt;&gt;0,C31/(VLOOKUP(O31,#REF!,2,FALSE)),"")</f>
        <v>#REF!</v>
      </c>
      <c r="R31" s="43"/>
      <c r="S31" s="38"/>
      <c r="T31" s="37">
        <f t="shared" si="0"/>
        <v>0</v>
      </c>
    </row>
    <row r="32" spans="2:20" s="2" customFormat="1" x14ac:dyDescent="0.2">
      <c r="B32" s="42" t="s">
        <v>103</v>
      </c>
      <c r="C32" s="11"/>
      <c r="D32" s="11"/>
      <c r="E32" s="11" t="s">
        <v>122</v>
      </c>
      <c r="F32" s="7">
        <v>42404</v>
      </c>
      <c r="G32" s="7">
        <v>42404</v>
      </c>
      <c r="H32" s="11" t="s">
        <v>12</v>
      </c>
      <c r="I32" s="11" t="s">
        <v>63</v>
      </c>
      <c r="J32" s="1">
        <v>1027213</v>
      </c>
      <c r="K32" s="34" t="s">
        <v>104</v>
      </c>
      <c r="L32" s="9">
        <v>80</v>
      </c>
      <c r="M32" s="40">
        <v>238</v>
      </c>
      <c r="N32" s="40">
        <v>7</v>
      </c>
      <c r="O32" s="41" t="s">
        <v>13</v>
      </c>
      <c r="P32" s="38"/>
      <c r="Q32" s="39" t="e">
        <f>IF(O32&lt;&gt;0,C32/(VLOOKUP(O32,#REF!,2,FALSE)),"")</f>
        <v>#REF!</v>
      </c>
      <c r="R32" s="43"/>
      <c r="S32" s="38"/>
      <c r="T32" s="37">
        <f t="shared" si="0"/>
        <v>0</v>
      </c>
    </row>
    <row r="33" spans="2:20" s="2" customFormat="1" x14ac:dyDescent="0.2">
      <c r="B33" s="42" t="s">
        <v>103</v>
      </c>
      <c r="C33" s="11"/>
      <c r="D33" s="11"/>
      <c r="E33" s="11">
        <v>11.1</v>
      </c>
      <c r="F33" s="7">
        <v>42404</v>
      </c>
      <c r="G33" s="7">
        <v>42404</v>
      </c>
      <c r="H33" s="11" t="s">
        <v>12</v>
      </c>
      <c r="I33" s="11" t="s">
        <v>63</v>
      </c>
      <c r="J33" s="1">
        <v>1027213</v>
      </c>
      <c r="K33" s="34" t="s">
        <v>104</v>
      </c>
      <c r="L33" s="9">
        <v>80</v>
      </c>
      <c r="M33" s="40">
        <v>237</v>
      </c>
      <c r="N33" s="40">
        <v>8</v>
      </c>
      <c r="O33" s="41" t="s">
        <v>13</v>
      </c>
      <c r="P33" s="38"/>
      <c r="Q33" s="39" t="e">
        <f>IF(O33&lt;&gt;0,C33/(VLOOKUP(O33,#REF!,2,FALSE)),"")</f>
        <v>#REF!</v>
      </c>
      <c r="R33" s="43"/>
      <c r="S33" s="38"/>
      <c r="T33" s="37">
        <f t="shared" si="0"/>
        <v>0</v>
      </c>
    </row>
    <row r="34" spans="2:20" s="2" customFormat="1" x14ac:dyDescent="0.2">
      <c r="B34" s="42" t="s">
        <v>103</v>
      </c>
      <c r="C34" s="11"/>
      <c r="D34" s="11"/>
      <c r="E34" s="11">
        <v>10.1</v>
      </c>
      <c r="F34" s="7">
        <v>42404</v>
      </c>
      <c r="G34" s="7">
        <v>42404</v>
      </c>
      <c r="H34" s="11" t="s">
        <v>12</v>
      </c>
      <c r="I34" s="11" t="s">
        <v>63</v>
      </c>
      <c r="J34" s="1">
        <v>1027213</v>
      </c>
      <c r="K34" s="34" t="s">
        <v>104</v>
      </c>
      <c r="L34" s="9">
        <v>80</v>
      </c>
      <c r="M34" s="40">
        <v>237</v>
      </c>
      <c r="N34" s="40">
        <v>8</v>
      </c>
      <c r="O34" s="41" t="s">
        <v>13</v>
      </c>
      <c r="P34" s="38"/>
      <c r="Q34" s="39" t="e">
        <f>IF(O34&lt;&gt;0,C34/(VLOOKUP(O34,#REF!,2,FALSE)),"")</f>
        <v>#REF!</v>
      </c>
      <c r="R34" s="43"/>
      <c r="S34" s="38"/>
      <c r="T34" s="37">
        <f t="shared" si="0"/>
        <v>0</v>
      </c>
    </row>
    <row r="35" spans="2:20" s="2" customFormat="1" x14ac:dyDescent="0.2">
      <c r="B35" s="42" t="s">
        <v>103</v>
      </c>
      <c r="C35" s="11"/>
      <c r="D35" s="11"/>
      <c r="E35" s="11">
        <v>11</v>
      </c>
      <c r="F35" s="7">
        <v>42404</v>
      </c>
      <c r="G35" s="7">
        <v>42404</v>
      </c>
      <c r="H35" s="11" t="s">
        <v>12</v>
      </c>
      <c r="I35" s="11" t="s">
        <v>63</v>
      </c>
      <c r="J35" s="1">
        <v>1027213</v>
      </c>
      <c r="K35" s="34" t="s">
        <v>104</v>
      </c>
      <c r="L35" s="1">
        <v>80</v>
      </c>
      <c r="M35" s="40">
        <v>239</v>
      </c>
      <c r="N35" s="40">
        <v>6</v>
      </c>
      <c r="O35" s="41" t="s">
        <v>13</v>
      </c>
      <c r="P35" s="38"/>
      <c r="Q35" s="39" t="e">
        <f>IF(O35&lt;&gt;0,C35/(VLOOKUP(O35,#REF!,2,FALSE)),"")</f>
        <v>#REF!</v>
      </c>
      <c r="R35" s="43"/>
      <c r="S35" s="38"/>
      <c r="T35" s="37">
        <f t="shared" si="0"/>
        <v>0</v>
      </c>
    </row>
    <row r="36" spans="2:20" s="2" customFormat="1" x14ac:dyDescent="0.2">
      <c r="B36" s="42" t="s">
        <v>103</v>
      </c>
      <c r="C36" s="11"/>
      <c r="D36" s="11"/>
      <c r="E36" s="11">
        <v>10.199999999999999</v>
      </c>
      <c r="F36" s="7">
        <v>42404</v>
      </c>
      <c r="G36" s="7">
        <v>42404</v>
      </c>
      <c r="H36" s="11" t="s">
        <v>12</v>
      </c>
      <c r="I36" s="11" t="s">
        <v>63</v>
      </c>
      <c r="J36" s="1">
        <v>1027213</v>
      </c>
      <c r="K36" s="34" t="s">
        <v>104</v>
      </c>
      <c r="L36" s="1">
        <v>80</v>
      </c>
      <c r="M36" s="40">
        <v>236</v>
      </c>
      <c r="N36" s="40">
        <v>9</v>
      </c>
      <c r="O36" s="41" t="s">
        <v>13</v>
      </c>
      <c r="P36" s="38"/>
      <c r="Q36" s="39" t="e">
        <f>IF(O36&lt;&gt;0,C36/(VLOOKUP(O36,#REF!,2,FALSE)),"")</f>
        <v>#REF!</v>
      </c>
      <c r="R36" s="43"/>
      <c r="S36" s="38"/>
      <c r="T36" s="37">
        <f t="shared" si="0"/>
        <v>0</v>
      </c>
    </row>
    <row r="37" spans="2:20" s="2" customFormat="1" x14ac:dyDescent="0.2">
      <c r="B37" s="42" t="s">
        <v>103</v>
      </c>
      <c r="C37" s="11"/>
      <c r="D37" s="11"/>
      <c r="E37" s="11" t="s">
        <v>123</v>
      </c>
      <c r="F37" s="7">
        <v>42404</v>
      </c>
      <c r="G37" s="7">
        <v>42404</v>
      </c>
      <c r="H37" s="11" t="s">
        <v>12</v>
      </c>
      <c r="I37" s="11" t="s">
        <v>63</v>
      </c>
      <c r="J37" s="1">
        <v>1027213</v>
      </c>
      <c r="K37" s="34" t="s">
        <v>104</v>
      </c>
      <c r="L37" s="1">
        <v>80</v>
      </c>
      <c r="M37" s="40">
        <v>224</v>
      </c>
      <c r="N37" s="40">
        <v>21</v>
      </c>
      <c r="O37" s="41" t="s">
        <v>13</v>
      </c>
      <c r="P37" s="38"/>
      <c r="Q37" s="39" t="e">
        <f>IF(O37&lt;&gt;0,C37/(VLOOKUP(O37,#REF!,2,FALSE)),"")</f>
        <v>#REF!</v>
      </c>
      <c r="R37" s="43"/>
      <c r="S37" s="38"/>
      <c r="T37" s="37">
        <f t="shared" si="0"/>
        <v>0</v>
      </c>
    </row>
    <row r="38" spans="2:20" s="2" customFormat="1" x14ac:dyDescent="0.2">
      <c r="B38" s="42" t="s">
        <v>103</v>
      </c>
      <c r="C38" s="11"/>
      <c r="D38" s="11"/>
      <c r="E38" s="11">
        <v>16</v>
      </c>
      <c r="F38" s="7">
        <v>42404</v>
      </c>
      <c r="G38" s="7">
        <v>42404</v>
      </c>
      <c r="H38" s="11" t="s">
        <v>12</v>
      </c>
      <c r="I38" s="11" t="s">
        <v>63</v>
      </c>
      <c r="J38" s="1">
        <v>1027213</v>
      </c>
      <c r="K38" s="34" t="s">
        <v>104</v>
      </c>
      <c r="L38" s="1">
        <v>80</v>
      </c>
      <c r="M38" s="40">
        <v>231</v>
      </c>
      <c r="N38" s="40">
        <v>14</v>
      </c>
      <c r="O38" s="41" t="s">
        <v>13</v>
      </c>
      <c r="P38" s="38"/>
      <c r="Q38" s="39" t="e">
        <f>IF(O38&lt;&gt;0,C38/(VLOOKUP(O38,#REF!,2,FALSE)),"")</f>
        <v>#REF!</v>
      </c>
      <c r="R38" s="43"/>
      <c r="S38" s="38"/>
      <c r="T38" s="37">
        <f t="shared" si="0"/>
        <v>0</v>
      </c>
    </row>
    <row r="39" spans="2:20" s="2" customFormat="1" x14ac:dyDescent="0.2">
      <c r="B39" s="42" t="s">
        <v>103</v>
      </c>
      <c r="C39" s="11"/>
      <c r="D39" s="11"/>
      <c r="E39" s="11">
        <v>14</v>
      </c>
      <c r="F39" s="7">
        <v>42404</v>
      </c>
      <c r="G39" s="7">
        <v>42404</v>
      </c>
      <c r="H39" s="11" t="s">
        <v>12</v>
      </c>
      <c r="I39" s="11" t="s">
        <v>63</v>
      </c>
      <c r="J39" s="1">
        <v>1027213</v>
      </c>
      <c r="K39" s="34" t="s">
        <v>104</v>
      </c>
      <c r="L39" s="1">
        <v>80</v>
      </c>
      <c r="M39" s="40">
        <v>231</v>
      </c>
      <c r="N39" s="40">
        <v>14</v>
      </c>
      <c r="O39" s="41" t="s">
        <v>13</v>
      </c>
      <c r="P39" s="38"/>
      <c r="Q39" s="39" t="e">
        <f>IF(O39&lt;&gt;0,C39/(VLOOKUP(O39,#REF!,2,FALSE)),"")</f>
        <v>#REF!</v>
      </c>
      <c r="R39" s="43"/>
      <c r="S39" s="38"/>
      <c r="T39" s="37">
        <f t="shared" si="0"/>
        <v>0</v>
      </c>
    </row>
    <row r="40" spans="2:20" s="2" customFormat="1" x14ac:dyDescent="0.2">
      <c r="B40" s="42" t="s">
        <v>103</v>
      </c>
      <c r="C40" s="11"/>
      <c r="D40" s="11"/>
      <c r="E40" s="11" t="s">
        <v>124</v>
      </c>
      <c r="F40" s="7">
        <v>42404</v>
      </c>
      <c r="G40" s="7">
        <v>42404</v>
      </c>
      <c r="H40" s="11" t="s">
        <v>12</v>
      </c>
      <c r="I40" s="11" t="s">
        <v>63</v>
      </c>
      <c r="J40" s="1">
        <v>1027213</v>
      </c>
      <c r="K40" s="34" t="s">
        <v>104</v>
      </c>
      <c r="L40" s="1">
        <v>80</v>
      </c>
      <c r="M40" s="40">
        <v>236</v>
      </c>
      <c r="N40" s="40">
        <v>9</v>
      </c>
      <c r="O40" s="41" t="s">
        <v>13</v>
      </c>
      <c r="P40" s="38"/>
      <c r="Q40" s="39" t="e">
        <f>IF(O40&lt;&gt;0,C40/(VLOOKUP(O40,#REF!,2,FALSE)),"")</f>
        <v>#REF!</v>
      </c>
      <c r="R40" s="43"/>
      <c r="S40" s="38"/>
      <c r="T40" s="37">
        <f t="shared" si="0"/>
        <v>0</v>
      </c>
    </row>
    <row r="41" spans="2:20" s="2" customFormat="1" x14ac:dyDescent="0.2">
      <c r="B41" s="42" t="s">
        <v>103</v>
      </c>
      <c r="C41" s="11"/>
      <c r="D41" s="11"/>
      <c r="E41" s="11">
        <v>8</v>
      </c>
      <c r="F41" s="7">
        <v>42404</v>
      </c>
      <c r="G41" s="7">
        <v>42404</v>
      </c>
      <c r="H41" s="11" t="s">
        <v>12</v>
      </c>
      <c r="I41" s="11" t="s">
        <v>63</v>
      </c>
      <c r="J41" s="1">
        <v>1027213</v>
      </c>
      <c r="K41" s="34" t="s">
        <v>104</v>
      </c>
      <c r="L41" s="1">
        <v>80</v>
      </c>
      <c r="M41" s="40">
        <v>235</v>
      </c>
      <c r="N41" s="40">
        <v>10</v>
      </c>
      <c r="O41" s="23" t="s">
        <v>13</v>
      </c>
      <c r="P41" s="38"/>
      <c r="Q41" s="39" t="e">
        <f>IF(O41&lt;&gt;0,C41/(VLOOKUP(O41,#REF!,2,FALSE)),"")</f>
        <v>#REF!</v>
      </c>
      <c r="R41" s="43"/>
      <c r="S41" s="38"/>
      <c r="T41" s="37">
        <f t="shared" si="0"/>
        <v>0</v>
      </c>
    </row>
    <row r="42" spans="2:20" s="2" customFormat="1" x14ac:dyDescent="0.2">
      <c r="B42" s="42" t="s">
        <v>103</v>
      </c>
      <c r="C42" s="11"/>
      <c r="D42" s="11"/>
      <c r="E42" s="11">
        <v>11.2</v>
      </c>
      <c r="F42" s="7">
        <v>42404</v>
      </c>
      <c r="G42" s="7">
        <v>42404</v>
      </c>
      <c r="H42" s="11" t="s">
        <v>12</v>
      </c>
      <c r="I42" s="11" t="s">
        <v>63</v>
      </c>
      <c r="J42" s="1">
        <v>1027213</v>
      </c>
      <c r="K42" s="34" t="s">
        <v>104</v>
      </c>
      <c r="L42" s="9">
        <v>80</v>
      </c>
      <c r="M42" s="40">
        <v>242</v>
      </c>
      <c r="N42" s="40">
        <v>3</v>
      </c>
      <c r="O42" s="41" t="s">
        <v>13</v>
      </c>
      <c r="P42" s="38"/>
      <c r="Q42" s="39" t="e">
        <f>IF(O42&lt;&gt;0,C42/(VLOOKUP(O42,#REF!,2,FALSE)),"")</f>
        <v>#REF!</v>
      </c>
      <c r="R42" s="43"/>
      <c r="S42" s="38"/>
      <c r="T42" s="37">
        <f t="shared" si="0"/>
        <v>0</v>
      </c>
    </row>
    <row r="43" spans="2:20" s="2" customFormat="1" x14ac:dyDescent="0.2">
      <c r="B43" s="42" t="s">
        <v>103</v>
      </c>
      <c r="C43" s="11"/>
      <c r="D43" s="11"/>
      <c r="E43" s="11" t="s">
        <v>125</v>
      </c>
      <c r="F43" s="7">
        <v>42404</v>
      </c>
      <c r="G43" s="7">
        <v>42404</v>
      </c>
      <c r="H43" s="11" t="s">
        <v>12</v>
      </c>
      <c r="I43" s="11" t="s">
        <v>63</v>
      </c>
      <c r="J43" s="1">
        <v>1027213</v>
      </c>
      <c r="K43" s="34" t="s">
        <v>104</v>
      </c>
      <c r="L43" s="9">
        <v>80</v>
      </c>
      <c r="M43" s="40">
        <v>236</v>
      </c>
      <c r="N43" s="40">
        <v>9</v>
      </c>
      <c r="O43" s="41" t="s">
        <v>13</v>
      </c>
      <c r="P43" s="38"/>
      <c r="Q43" s="39" t="e">
        <f>IF(O43&lt;&gt;0,C43/(VLOOKUP(O43,#REF!,2,FALSE)),"")</f>
        <v>#REF!</v>
      </c>
      <c r="R43" s="43"/>
      <c r="S43" s="38"/>
      <c r="T43" s="37">
        <f t="shared" si="0"/>
        <v>0</v>
      </c>
    </row>
    <row r="44" spans="2:20" s="2" customFormat="1" x14ac:dyDescent="0.2">
      <c r="B44" s="42" t="s">
        <v>103</v>
      </c>
      <c r="C44" s="11"/>
      <c r="D44" s="11"/>
      <c r="E44" s="11">
        <v>7</v>
      </c>
      <c r="F44" s="7">
        <v>42404</v>
      </c>
      <c r="G44" s="7">
        <v>42404</v>
      </c>
      <c r="H44" s="11" t="s">
        <v>12</v>
      </c>
      <c r="I44" s="11" t="s">
        <v>63</v>
      </c>
      <c r="J44" s="1">
        <v>1027213</v>
      </c>
      <c r="K44" s="34" t="s">
        <v>104</v>
      </c>
      <c r="L44" s="9">
        <v>80</v>
      </c>
      <c r="M44" s="40">
        <v>171</v>
      </c>
      <c r="N44" s="40">
        <v>74</v>
      </c>
      <c r="O44" s="23" t="s">
        <v>13</v>
      </c>
      <c r="P44" s="38"/>
      <c r="Q44" s="39" t="e">
        <f>IF(O44&lt;&gt;0,C44/(VLOOKUP(O44,#REF!,2,FALSE)),"")</f>
        <v>#REF!</v>
      </c>
      <c r="R44" s="43"/>
      <c r="S44" s="38"/>
      <c r="T44" s="37">
        <f t="shared" si="0"/>
        <v>0</v>
      </c>
    </row>
    <row r="45" spans="2:20" s="2" customFormat="1" x14ac:dyDescent="0.2">
      <c r="B45" s="19" t="s">
        <v>133</v>
      </c>
      <c r="C45" s="20">
        <v>391</v>
      </c>
      <c r="D45" s="20">
        <v>1</v>
      </c>
      <c r="E45" s="11">
        <v>1</v>
      </c>
      <c r="F45" s="7">
        <v>42416</v>
      </c>
      <c r="G45" s="7">
        <v>42416</v>
      </c>
      <c r="H45" s="11" t="s">
        <v>12</v>
      </c>
      <c r="I45" s="11" t="s">
        <v>87</v>
      </c>
      <c r="J45" s="1">
        <v>1027822</v>
      </c>
      <c r="K45" s="34" t="s">
        <v>164</v>
      </c>
      <c r="L45" s="9">
        <v>80</v>
      </c>
      <c r="M45" s="40"/>
      <c r="N45" s="40"/>
      <c r="O45" s="41"/>
      <c r="P45" s="38"/>
      <c r="Q45" s="39" t="str">
        <f>IF(O45&lt;&gt;0,C45/(VLOOKUP(O45,#REF!,2,FALSE)),"")</f>
        <v/>
      </c>
      <c r="R45" s="38"/>
      <c r="S45" s="38"/>
      <c r="T45" s="37">
        <f>IF(COUNTIF(P45,"*érogation*"),C45,0)</f>
        <v>0</v>
      </c>
    </row>
    <row r="46" spans="2:20" s="2" customFormat="1" ht="25.5" x14ac:dyDescent="0.2">
      <c r="B46" s="27" t="s">
        <v>70</v>
      </c>
      <c r="C46" s="20">
        <v>649</v>
      </c>
      <c r="D46" s="20">
        <v>1</v>
      </c>
      <c r="E46" s="11"/>
      <c r="F46" s="7">
        <v>42353</v>
      </c>
      <c r="G46" s="7"/>
      <c r="H46" s="11" t="s">
        <v>12</v>
      </c>
      <c r="I46" s="11" t="s">
        <v>106</v>
      </c>
      <c r="J46" s="1">
        <v>1026624</v>
      </c>
      <c r="K46" s="34" t="s">
        <v>105</v>
      </c>
      <c r="L46" s="9">
        <v>80</v>
      </c>
      <c r="M46" s="40"/>
      <c r="N46" s="40"/>
      <c r="O46" s="41"/>
      <c r="P46" s="43" t="s">
        <v>31</v>
      </c>
      <c r="Q46" s="44" t="str">
        <f>IF(O46&lt;&gt;0,C46/(VLOOKUP(O46,#REF!,2,FALSE)),"")</f>
        <v/>
      </c>
      <c r="R46" s="43"/>
      <c r="S46" s="43"/>
      <c r="T46" s="37">
        <f t="shared" si="0"/>
        <v>0</v>
      </c>
    </row>
    <row r="47" spans="2:20" s="2" customFormat="1" x14ac:dyDescent="0.2">
      <c r="B47" s="19" t="s">
        <v>117</v>
      </c>
      <c r="C47" s="20">
        <v>1100</v>
      </c>
      <c r="D47" s="20">
        <v>1</v>
      </c>
      <c r="E47" s="11">
        <v>10</v>
      </c>
      <c r="F47" s="7">
        <v>42424</v>
      </c>
      <c r="G47" s="7">
        <v>42424</v>
      </c>
      <c r="H47" s="11" t="s">
        <v>12</v>
      </c>
      <c r="I47" s="11" t="s">
        <v>108</v>
      </c>
      <c r="J47" s="1">
        <v>1027919</v>
      </c>
      <c r="K47" s="13" t="s">
        <v>145</v>
      </c>
      <c r="L47" s="9">
        <v>80</v>
      </c>
      <c r="M47" s="40"/>
      <c r="N47" s="40"/>
      <c r="O47" s="41" t="s">
        <v>13</v>
      </c>
      <c r="P47" s="38"/>
      <c r="Q47" s="39" t="e">
        <f>IF(O47&lt;&gt;0,C47/(VLOOKUP(O47,#REF!,2,FALSE)),"")</f>
        <v>#REF!</v>
      </c>
      <c r="R47" s="38"/>
      <c r="S47" s="38"/>
      <c r="T47" s="37">
        <f t="shared" ref="T47:T78" si="2">IF(COUNTIF(P47,"*érogation*"),C47,0)</f>
        <v>0</v>
      </c>
    </row>
    <row r="48" spans="2:20" s="2" customFormat="1" x14ac:dyDescent="0.2">
      <c r="B48" s="27" t="s">
        <v>34</v>
      </c>
      <c r="C48" s="20">
        <v>500</v>
      </c>
      <c r="D48" s="20">
        <v>1</v>
      </c>
      <c r="E48" s="11">
        <v>7</v>
      </c>
      <c r="F48" s="7">
        <v>42426</v>
      </c>
      <c r="G48" s="7">
        <v>42426</v>
      </c>
      <c r="H48" s="11" t="s">
        <v>12</v>
      </c>
      <c r="I48" s="11" t="s">
        <v>134</v>
      </c>
      <c r="J48" s="1">
        <v>1027836</v>
      </c>
      <c r="K48" s="34" t="s">
        <v>128</v>
      </c>
      <c r="L48" s="9">
        <v>80</v>
      </c>
      <c r="M48" s="40"/>
      <c r="N48" s="40"/>
      <c r="O48" s="41"/>
      <c r="P48" s="38"/>
      <c r="Q48" s="39" t="str">
        <f>IF(O48&lt;&gt;0,C48/(VLOOKUP(O48,#REF!,2,FALSE)),"")</f>
        <v/>
      </c>
      <c r="R48" s="38"/>
      <c r="S48" s="38"/>
      <c r="T48" s="37">
        <f>IF(COUNTIF(P48,"*érogation*"),C48,0)</f>
        <v>0</v>
      </c>
    </row>
    <row r="49" spans="2:20" s="2" customFormat="1" ht="25.5" x14ac:dyDescent="0.2">
      <c r="B49" s="27" t="s">
        <v>34</v>
      </c>
      <c r="C49" s="20">
        <v>326</v>
      </c>
      <c r="D49" s="20">
        <v>1</v>
      </c>
      <c r="E49" s="11">
        <v>5</v>
      </c>
      <c r="F49" s="7">
        <v>42244</v>
      </c>
      <c r="G49" s="7">
        <v>42244</v>
      </c>
      <c r="H49" s="11" t="s">
        <v>12</v>
      </c>
      <c r="I49" s="11" t="s">
        <v>38</v>
      </c>
      <c r="J49" s="1">
        <v>1025060</v>
      </c>
      <c r="K49" s="13" t="s">
        <v>35</v>
      </c>
      <c r="L49" s="9">
        <v>80</v>
      </c>
      <c r="M49" s="40"/>
      <c r="N49" s="40"/>
      <c r="O49" s="41"/>
      <c r="P49" s="38" t="s">
        <v>22</v>
      </c>
      <c r="Q49" s="39" t="str">
        <f>IF(O49&lt;&gt;0,C49/(VLOOKUP(O49,#REF!,2,FALSE)),"")</f>
        <v/>
      </c>
      <c r="R49" s="38"/>
      <c r="S49" s="38"/>
      <c r="T49" s="37">
        <f t="shared" si="2"/>
        <v>326</v>
      </c>
    </row>
    <row r="50" spans="2:20" s="2" customFormat="1" ht="25.5" x14ac:dyDescent="0.2">
      <c r="B50" s="27" t="s">
        <v>34</v>
      </c>
      <c r="C50" s="20">
        <v>500</v>
      </c>
      <c r="D50" s="20">
        <v>1</v>
      </c>
      <c r="E50" s="11">
        <v>5</v>
      </c>
      <c r="F50" s="7">
        <v>42263</v>
      </c>
      <c r="G50" s="7">
        <v>42263</v>
      </c>
      <c r="H50" s="11" t="s">
        <v>12</v>
      </c>
      <c r="I50" s="11" t="s">
        <v>38</v>
      </c>
      <c r="J50" s="1">
        <v>1025490</v>
      </c>
      <c r="K50" s="13" t="s">
        <v>37</v>
      </c>
      <c r="L50" s="9">
        <v>80</v>
      </c>
      <c r="M50" s="40"/>
      <c r="N50" s="40"/>
      <c r="O50" s="41"/>
      <c r="P50" s="38" t="s">
        <v>22</v>
      </c>
      <c r="Q50" s="39" t="str">
        <f>IF(O50&lt;&gt;0,C50/(VLOOKUP(O50,#REF!,2,FALSE)),"")</f>
        <v/>
      </c>
      <c r="R50" s="38"/>
      <c r="S50" s="38"/>
      <c r="T50" s="37">
        <f t="shared" si="2"/>
        <v>500</v>
      </c>
    </row>
    <row r="51" spans="2:20" s="2" customFormat="1" x14ac:dyDescent="0.2">
      <c r="B51" s="27" t="s">
        <v>34</v>
      </c>
      <c r="C51" s="20">
        <v>500</v>
      </c>
      <c r="D51" s="20">
        <v>1</v>
      </c>
      <c r="E51" s="1">
        <v>11</v>
      </c>
      <c r="F51" s="7">
        <v>42429</v>
      </c>
      <c r="G51" s="7">
        <v>42429</v>
      </c>
      <c r="H51" s="11" t="s">
        <v>12</v>
      </c>
      <c r="I51" s="11" t="s">
        <v>134</v>
      </c>
      <c r="J51" s="1">
        <v>1027836</v>
      </c>
      <c r="K51" s="13" t="s">
        <v>128</v>
      </c>
      <c r="L51" s="9">
        <v>80</v>
      </c>
      <c r="M51" s="40"/>
      <c r="N51" s="40"/>
      <c r="O51" s="41"/>
      <c r="P51" s="38"/>
      <c r="Q51" s="39" t="str">
        <f>IF(O51&lt;&gt;0,C51/(VLOOKUP(O51,#REF!,2,FALSE)),"")</f>
        <v/>
      </c>
      <c r="R51" s="38"/>
      <c r="S51" s="38"/>
      <c r="T51" s="37">
        <f t="shared" ref="T51:T58" si="3">IF(COUNTIF(P51,"*érogation*"),C51,0)</f>
        <v>0</v>
      </c>
    </row>
    <row r="52" spans="2:20" s="2" customFormat="1" x14ac:dyDescent="0.2">
      <c r="B52" s="42" t="s">
        <v>58</v>
      </c>
      <c r="C52" s="20"/>
      <c r="D52" s="20"/>
      <c r="E52" s="1">
        <v>1</v>
      </c>
      <c r="F52" s="7">
        <v>42424</v>
      </c>
      <c r="G52" s="7">
        <v>42424</v>
      </c>
      <c r="H52" s="11" t="s">
        <v>12</v>
      </c>
      <c r="I52" s="11" t="s">
        <v>143</v>
      </c>
      <c r="J52" s="1">
        <v>1027196</v>
      </c>
      <c r="K52" s="13" t="s">
        <v>144</v>
      </c>
      <c r="L52" s="9">
        <v>80</v>
      </c>
      <c r="M52" s="40">
        <v>129</v>
      </c>
      <c r="N52" s="40">
        <v>46</v>
      </c>
      <c r="O52" s="41"/>
      <c r="P52" s="38"/>
      <c r="Q52" s="39" t="str">
        <f>IF(O52&lt;&gt;0,C52/(VLOOKUP(O52,#REF!,2,FALSE)),"")</f>
        <v/>
      </c>
      <c r="R52" s="38"/>
      <c r="S52" s="38"/>
      <c r="T52" s="37">
        <f t="shared" si="3"/>
        <v>0</v>
      </c>
    </row>
    <row r="53" spans="2:20" s="2" customFormat="1" x14ac:dyDescent="0.2">
      <c r="B53" s="19" t="s">
        <v>58</v>
      </c>
      <c r="C53" s="20">
        <v>500</v>
      </c>
      <c r="D53" s="20">
        <v>1</v>
      </c>
      <c r="E53" s="1">
        <v>12</v>
      </c>
      <c r="F53" s="7">
        <v>42429</v>
      </c>
      <c r="G53" s="7">
        <v>42429</v>
      </c>
      <c r="H53" s="11" t="s">
        <v>12</v>
      </c>
      <c r="I53" s="11" t="s">
        <v>63</v>
      </c>
      <c r="J53" s="1">
        <v>1028078</v>
      </c>
      <c r="K53" s="13" t="s">
        <v>167</v>
      </c>
      <c r="L53" s="9">
        <v>80</v>
      </c>
      <c r="M53" s="40"/>
      <c r="N53" s="40"/>
      <c r="O53" s="41"/>
      <c r="P53" s="38"/>
      <c r="Q53" s="39" t="str">
        <f>IF(O53&lt;&gt;0,C53/(VLOOKUP(O53,#REF!,2,FALSE)),"")</f>
        <v/>
      </c>
      <c r="R53" s="38"/>
      <c r="S53" s="38"/>
      <c r="T53" s="37">
        <f t="shared" si="3"/>
        <v>0</v>
      </c>
    </row>
    <row r="54" spans="2:20" s="2" customFormat="1" x14ac:dyDescent="0.2">
      <c r="B54" s="19" t="s">
        <v>58</v>
      </c>
      <c r="C54" s="20">
        <v>500</v>
      </c>
      <c r="D54" s="20">
        <v>1</v>
      </c>
      <c r="E54" s="1">
        <v>15</v>
      </c>
      <c r="F54" s="7">
        <v>42429</v>
      </c>
      <c r="G54" s="7">
        <v>42429</v>
      </c>
      <c r="H54" s="11" t="s">
        <v>12</v>
      </c>
      <c r="I54" s="11" t="s">
        <v>63</v>
      </c>
      <c r="J54" s="1">
        <v>1028078</v>
      </c>
      <c r="K54" s="13" t="s">
        <v>167</v>
      </c>
      <c r="L54" s="9">
        <v>80</v>
      </c>
      <c r="M54" s="40"/>
      <c r="N54" s="40"/>
      <c r="O54" s="41"/>
      <c r="P54" s="38"/>
      <c r="Q54" s="39" t="str">
        <f>IF(O54&lt;&gt;0,C54/(VLOOKUP(O54,#REF!,2,FALSE)),"")</f>
        <v/>
      </c>
      <c r="R54" s="38"/>
      <c r="S54" s="38"/>
      <c r="T54" s="37">
        <f t="shared" si="3"/>
        <v>0</v>
      </c>
    </row>
    <row r="55" spans="2:20" s="2" customFormat="1" x14ac:dyDescent="0.2">
      <c r="B55" s="19" t="s">
        <v>58</v>
      </c>
      <c r="C55" s="20">
        <v>500</v>
      </c>
      <c r="D55" s="20">
        <v>1</v>
      </c>
      <c r="E55" s="1">
        <v>5</v>
      </c>
      <c r="F55" s="7">
        <v>42429</v>
      </c>
      <c r="G55" s="7">
        <v>42429</v>
      </c>
      <c r="H55" s="11" t="s">
        <v>12</v>
      </c>
      <c r="I55" s="11" t="s">
        <v>63</v>
      </c>
      <c r="J55" s="1">
        <v>1028078</v>
      </c>
      <c r="K55" s="13" t="s">
        <v>167</v>
      </c>
      <c r="L55" s="9">
        <v>80</v>
      </c>
      <c r="M55" s="40"/>
      <c r="N55" s="40"/>
      <c r="O55" s="41"/>
      <c r="P55" s="38"/>
      <c r="Q55" s="39" t="str">
        <f>IF(O55&lt;&gt;0,C55/(VLOOKUP(O55,#REF!,2,FALSE)),"")</f>
        <v/>
      </c>
      <c r="R55" s="38"/>
      <c r="S55" s="38"/>
      <c r="T55" s="37">
        <f t="shared" si="3"/>
        <v>0</v>
      </c>
    </row>
    <row r="56" spans="2:20" s="2" customFormat="1" x14ac:dyDescent="0.2">
      <c r="B56" s="19" t="s">
        <v>58</v>
      </c>
      <c r="C56" s="20">
        <v>500</v>
      </c>
      <c r="D56" s="20">
        <v>1</v>
      </c>
      <c r="E56" s="1">
        <v>7</v>
      </c>
      <c r="F56" s="7">
        <v>42429</v>
      </c>
      <c r="G56" s="7">
        <v>42429</v>
      </c>
      <c r="H56" s="11" t="s">
        <v>12</v>
      </c>
      <c r="I56" s="11" t="s">
        <v>63</v>
      </c>
      <c r="J56" s="1">
        <v>1028078</v>
      </c>
      <c r="K56" s="13" t="s">
        <v>167</v>
      </c>
      <c r="L56" s="9">
        <v>80</v>
      </c>
      <c r="M56" s="40"/>
      <c r="N56" s="40"/>
      <c r="O56" s="41"/>
      <c r="P56" s="38"/>
      <c r="Q56" s="39" t="str">
        <f>IF(O56&lt;&gt;0,C56/(VLOOKUP(O56,#REF!,2,FALSE)),"")</f>
        <v/>
      </c>
      <c r="R56" s="38"/>
      <c r="S56" s="38"/>
      <c r="T56" s="37">
        <f t="shared" si="3"/>
        <v>0</v>
      </c>
    </row>
    <row r="57" spans="2:20" s="2" customFormat="1" x14ac:dyDescent="0.2">
      <c r="B57" s="27" t="s">
        <v>81</v>
      </c>
      <c r="C57" s="20">
        <v>457</v>
      </c>
      <c r="D57" s="20">
        <v>1</v>
      </c>
      <c r="E57" s="1">
        <v>6</v>
      </c>
      <c r="F57" s="7">
        <v>42422</v>
      </c>
      <c r="G57" s="7">
        <v>42422</v>
      </c>
      <c r="H57" s="11" t="s">
        <v>12</v>
      </c>
      <c r="I57" s="11" t="s">
        <v>33</v>
      </c>
      <c r="J57" s="1">
        <v>1027976</v>
      </c>
      <c r="K57" s="34" t="s">
        <v>157</v>
      </c>
      <c r="L57" s="9">
        <v>80</v>
      </c>
      <c r="M57" s="40"/>
      <c r="N57" s="40"/>
      <c r="O57" s="41"/>
      <c r="P57" s="38"/>
      <c r="Q57" s="39" t="str">
        <f>IF(O57&lt;&gt;0,C57/(VLOOKUP(O57,#REF!,2,FALSE)),"")</f>
        <v/>
      </c>
      <c r="R57" s="38"/>
      <c r="S57" s="38"/>
      <c r="T57" s="37">
        <f t="shared" si="3"/>
        <v>0</v>
      </c>
    </row>
    <row r="58" spans="2:20" s="2" customFormat="1" x14ac:dyDescent="0.2">
      <c r="B58" s="27" t="s">
        <v>81</v>
      </c>
      <c r="C58" s="20">
        <v>155</v>
      </c>
      <c r="D58" s="20">
        <v>1</v>
      </c>
      <c r="E58" s="1">
        <v>5</v>
      </c>
      <c r="F58" s="7">
        <v>42426</v>
      </c>
      <c r="G58" s="7">
        <v>42426</v>
      </c>
      <c r="H58" s="11" t="s">
        <v>12</v>
      </c>
      <c r="I58" s="11" t="s">
        <v>158</v>
      </c>
      <c r="J58" s="1">
        <v>1027976</v>
      </c>
      <c r="K58" s="34" t="s">
        <v>157</v>
      </c>
      <c r="L58" s="9">
        <v>80</v>
      </c>
      <c r="M58" s="40"/>
      <c r="N58" s="40"/>
      <c r="O58" s="41"/>
      <c r="P58" s="43"/>
      <c r="Q58" s="44" t="str">
        <f>IF(O58&lt;&gt;0,C58/(VLOOKUP(O58,#REF!,2,FALSE)),"")</f>
        <v/>
      </c>
      <c r="R58" s="43"/>
      <c r="S58" s="43"/>
      <c r="T58" s="37">
        <f t="shared" si="3"/>
        <v>0</v>
      </c>
    </row>
    <row r="59" spans="2:20" s="2" customFormat="1" x14ac:dyDescent="0.2">
      <c r="B59" s="42" t="s">
        <v>81</v>
      </c>
      <c r="C59" s="20"/>
      <c r="D59" s="20"/>
      <c r="E59" s="1">
        <v>10</v>
      </c>
      <c r="F59" s="7">
        <v>42389</v>
      </c>
      <c r="G59" s="7">
        <v>42389</v>
      </c>
      <c r="H59" s="11" t="s">
        <v>12</v>
      </c>
      <c r="I59" s="11" t="s">
        <v>82</v>
      </c>
      <c r="J59" s="1">
        <v>1027009</v>
      </c>
      <c r="K59" s="13" t="s">
        <v>83</v>
      </c>
      <c r="L59" s="9">
        <v>80</v>
      </c>
      <c r="M59" s="40"/>
      <c r="N59" s="40">
        <v>395</v>
      </c>
      <c r="O59" s="41" t="s">
        <v>13</v>
      </c>
      <c r="P59" s="38"/>
      <c r="Q59" s="39" t="e">
        <f>IF(O59&lt;&gt;0,C59/(VLOOKUP(O59,#REF!,2,FALSE)),"")</f>
        <v>#REF!</v>
      </c>
      <c r="R59" s="38"/>
      <c r="S59" s="38"/>
      <c r="T59" s="37">
        <f t="shared" si="2"/>
        <v>0</v>
      </c>
    </row>
    <row r="60" spans="2:20" s="2" customFormat="1" x14ac:dyDescent="0.2">
      <c r="B60" s="27" t="s">
        <v>135</v>
      </c>
      <c r="C60" s="11">
        <v>483</v>
      </c>
      <c r="D60" s="11">
        <v>1</v>
      </c>
      <c r="E60" s="1">
        <v>10</v>
      </c>
      <c r="F60" s="7">
        <v>42418</v>
      </c>
      <c r="G60" s="7">
        <v>42418</v>
      </c>
      <c r="H60" s="11" t="s">
        <v>12</v>
      </c>
      <c r="I60" s="11" t="s">
        <v>142</v>
      </c>
      <c r="J60" s="1">
        <v>1027903</v>
      </c>
      <c r="K60" s="34" t="s">
        <v>136</v>
      </c>
      <c r="L60" s="9">
        <v>80</v>
      </c>
      <c r="M60" s="40"/>
      <c r="N60" s="40"/>
      <c r="O60" s="41" t="s">
        <v>13</v>
      </c>
      <c r="P60" s="43"/>
      <c r="Q60" s="44" t="e">
        <f>IF(O60&lt;&gt;0,C60/(VLOOKUP(O60,#REF!,2,FALSE)),"")</f>
        <v>#REF!</v>
      </c>
      <c r="R60" s="43"/>
      <c r="S60" s="43"/>
      <c r="T60" s="37">
        <f>IF(COUNTIF(P60,"*érogation*"),C60,0)</f>
        <v>0</v>
      </c>
    </row>
    <row r="61" spans="2:20" s="2" customFormat="1" ht="25.5" x14ac:dyDescent="0.2">
      <c r="B61" s="27" t="s">
        <v>135</v>
      </c>
      <c r="C61" s="11">
        <v>600</v>
      </c>
      <c r="D61" s="11">
        <v>1</v>
      </c>
      <c r="E61" s="1">
        <v>26</v>
      </c>
      <c r="F61" s="7">
        <v>42423</v>
      </c>
      <c r="G61" s="7">
        <v>42423</v>
      </c>
      <c r="H61" s="11" t="s">
        <v>12</v>
      </c>
      <c r="I61" s="11" t="s">
        <v>141</v>
      </c>
      <c r="J61" s="1">
        <v>1027903</v>
      </c>
      <c r="K61" s="34" t="s">
        <v>136</v>
      </c>
      <c r="L61" s="9">
        <v>80</v>
      </c>
      <c r="M61" s="40"/>
      <c r="N61" s="40"/>
      <c r="O61" s="41" t="s">
        <v>16</v>
      </c>
      <c r="P61" s="43"/>
      <c r="Q61" s="44" t="e">
        <f>IF(O61&lt;&gt;0,C61/(VLOOKUP(O61,#REF!,2,FALSE)),"")</f>
        <v>#REF!</v>
      </c>
      <c r="R61" s="43"/>
      <c r="S61" s="43"/>
      <c r="T61" s="37">
        <f>IF(COUNTIF(P61,"*érogation*"),C61,0)</f>
        <v>0</v>
      </c>
    </row>
    <row r="62" spans="2:20" s="2" customFormat="1" x14ac:dyDescent="0.2">
      <c r="B62" s="27" t="s">
        <v>101</v>
      </c>
      <c r="C62" s="20">
        <v>484</v>
      </c>
      <c r="D62" s="20">
        <v>1</v>
      </c>
      <c r="E62" s="1">
        <v>1</v>
      </c>
      <c r="F62" s="7">
        <v>42410</v>
      </c>
      <c r="G62" s="7">
        <v>42411</v>
      </c>
      <c r="H62" s="11" t="s">
        <v>12</v>
      </c>
      <c r="I62" s="11" t="s">
        <v>115</v>
      </c>
      <c r="J62" s="1">
        <v>1027760</v>
      </c>
      <c r="K62" s="34" t="s">
        <v>116</v>
      </c>
      <c r="L62" s="9">
        <v>80</v>
      </c>
      <c r="M62" s="40"/>
      <c r="N62" s="40"/>
      <c r="O62" s="41" t="s">
        <v>13</v>
      </c>
      <c r="P62" s="43"/>
      <c r="Q62" s="44" t="e">
        <f>IF(O62&lt;&gt;0,C62/(VLOOKUP(O62,#REF!,2,FALSE)),"")</f>
        <v>#REF!</v>
      </c>
      <c r="R62" s="43"/>
      <c r="S62" s="43"/>
      <c r="T62" s="37">
        <f t="shared" si="2"/>
        <v>0</v>
      </c>
    </row>
    <row r="63" spans="2:20" s="2" customFormat="1" x14ac:dyDescent="0.2">
      <c r="B63" s="27" t="s">
        <v>101</v>
      </c>
      <c r="C63" s="20">
        <v>600</v>
      </c>
      <c r="D63" s="20">
        <v>1</v>
      </c>
      <c r="E63" s="1">
        <v>6</v>
      </c>
      <c r="F63" s="7">
        <v>42412</v>
      </c>
      <c r="G63" s="7">
        <v>42412</v>
      </c>
      <c r="H63" s="11" t="s">
        <v>12</v>
      </c>
      <c r="I63" s="11" t="s">
        <v>118</v>
      </c>
      <c r="J63" s="1">
        <v>1027761</v>
      </c>
      <c r="K63" s="34" t="s">
        <v>119</v>
      </c>
      <c r="L63" s="9">
        <v>80</v>
      </c>
      <c r="M63" s="40"/>
      <c r="N63" s="40"/>
      <c r="O63" s="41" t="s">
        <v>14</v>
      </c>
      <c r="P63" s="38"/>
      <c r="Q63" s="39" t="e">
        <f>IF(O63&lt;&gt;0,C63/(VLOOKUP(O63,#REF!,2,FALSE)),"")</f>
        <v>#REF!</v>
      </c>
      <c r="R63" s="38"/>
      <c r="S63" s="38"/>
      <c r="T63" s="37">
        <f t="shared" si="2"/>
        <v>0</v>
      </c>
    </row>
    <row r="64" spans="2:20" s="2" customFormat="1" x14ac:dyDescent="0.2">
      <c r="B64" s="27" t="s">
        <v>45</v>
      </c>
      <c r="C64" s="11">
        <v>600</v>
      </c>
      <c r="D64" s="11">
        <v>1</v>
      </c>
      <c r="E64" s="1">
        <v>11</v>
      </c>
      <c r="F64" s="7">
        <v>42421</v>
      </c>
      <c r="G64" s="7">
        <v>42421</v>
      </c>
      <c r="H64" s="11" t="s">
        <v>12</v>
      </c>
      <c r="I64" s="11" t="s">
        <v>148</v>
      </c>
      <c r="J64" s="1">
        <v>1027883</v>
      </c>
      <c r="K64" s="34" t="s">
        <v>137</v>
      </c>
      <c r="L64" s="9">
        <v>80</v>
      </c>
      <c r="M64" s="40"/>
      <c r="N64" s="40"/>
      <c r="O64" s="41" t="s">
        <v>14</v>
      </c>
      <c r="P64" s="43"/>
      <c r="Q64" s="44" t="e">
        <f>IF(O64&lt;&gt;0,C64/(VLOOKUP(O64,#REF!,2,FALSE)),"")</f>
        <v>#REF!</v>
      </c>
      <c r="R64" s="43"/>
      <c r="S64" s="43"/>
      <c r="T64" s="37">
        <f t="shared" si="2"/>
        <v>0</v>
      </c>
    </row>
    <row r="65" spans="2:20" s="2" customFormat="1" x14ac:dyDescent="0.2">
      <c r="B65" s="42" t="s">
        <v>45</v>
      </c>
      <c r="C65" s="11"/>
      <c r="D65" s="11"/>
      <c r="E65" s="1">
        <v>4</v>
      </c>
      <c r="F65" s="7">
        <v>42419</v>
      </c>
      <c r="G65" s="7">
        <v>42419</v>
      </c>
      <c r="H65" s="11" t="s">
        <v>12</v>
      </c>
      <c r="I65" s="11" t="s">
        <v>148</v>
      </c>
      <c r="J65" s="1">
        <v>1027883</v>
      </c>
      <c r="K65" s="34" t="s">
        <v>137</v>
      </c>
      <c r="L65" s="9">
        <v>80</v>
      </c>
      <c r="M65" s="40">
        <v>141</v>
      </c>
      <c r="N65" s="40">
        <v>32</v>
      </c>
      <c r="O65" s="41" t="s">
        <v>14</v>
      </c>
      <c r="P65" s="43"/>
      <c r="Q65" s="44" t="e">
        <f>IF(O65&lt;&gt;0,C65/(VLOOKUP(O65,#REF!,2,FALSE)),"")</f>
        <v>#REF!</v>
      </c>
      <c r="R65" s="43"/>
      <c r="S65" s="43"/>
      <c r="T65" s="37">
        <f t="shared" si="2"/>
        <v>0</v>
      </c>
    </row>
    <row r="66" spans="2:20" s="2" customFormat="1" x14ac:dyDescent="0.2">
      <c r="B66" s="27" t="s">
        <v>45</v>
      </c>
      <c r="C66" s="11">
        <v>600</v>
      </c>
      <c r="D66" s="11">
        <v>1</v>
      </c>
      <c r="E66" s="1">
        <v>6</v>
      </c>
      <c r="F66" s="7">
        <v>42424</v>
      </c>
      <c r="G66" s="7">
        <v>42424</v>
      </c>
      <c r="H66" s="11" t="s">
        <v>12</v>
      </c>
      <c r="I66" s="11" t="s">
        <v>149</v>
      </c>
      <c r="J66" s="1">
        <v>1027883</v>
      </c>
      <c r="K66" s="34" t="s">
        <v>137</v>
      </c>
      <c r="L66" s="9">
        <v>80</v>
      </c>
      <c r="M66" s="40"/>
      <c r="N66" s="40"/>
      <c r="O66" s="41" t="s">
        <v>14</v>
      </c>
      <c r="P66" s="43"/>
      <c r="Q66" s="44" t="e">
        <f>IF(O66&lt;&gt;0,C66/(VLOOKUP(O66,#REF!,2,FALSE)),"")</f>
        <v>#REF!</v>
      </c>
      <c r="R66" s="43"/>
      <c r="S66" s="43"/>
      <c r="T66" s="37">
        <f t="shared" si="2"/>
        <v>0</v>
      </c>
    </row>
    <row r="67" spans="2:20" s="2" customFormat="1" x14ac:dyDescent="0.2">
      <c r="B67" s="27" t="s">
        <v>45</v>
      </c>
      <c r="C67" s="11">
        <v>449</v>
      </c>
      <c r="D67" s="11">
        <v>1</v>
      </c>
      <c r="E67" s="1">
        <v>1</v>
      </c>
      <c r="F67" s="7">
        <v>42424</v>
      </c>
      <c r="G67" s="7">
        <v>42424</v>
      </c>
      <c r="H67" s="11" t="s">
        <v>12</v>
      </c>
      <c r="I67" s="11" t="s">
        <v>87</v>
      </c>
      <c r="J67" s="1">
        <v>1027883</v>
      </c>
      <c r="K67" s="34" t="s">
        <v>137</v>
      </c>
      <c r="L67" s="9">
        <v>80</v>
      </c>
      <c r="M67" s="40"/>
      <c r="N67" s="40"/>
      <c r="O67" s="41" t="s">
        <v>13</v>
      </c>
      <c r="P67" s="43"/>
      <c r="Q67" s="44" t="e">
        <f>IF(O67&lt;&gt;0,C67/(VLOOKUP(O67,#REF!,2,FALSE)),"")</f>
        <v>#REF!</v>
      </c>
      <c r="R67" s="43"/>
      <c r="S67" s="43"/>
      <c r="T67" s="37">
        <f t="shared" si="2"/>
        <v>0</v>
      </c>
    </row>
    <row r="68" spans="2:20" s="2" customFormat="1" x14ac:dyDescent="0.2">
      <c r="B68" s="27" t="s">
        <v>45</v>
      </c>
      <c r="C68" s="11">
        <v>600</v>
      </c>
      <c r="D68" s="11">
        <v>1</v>
      </c>
      <c r="E68" s="1">
        <v>13</v>
      </c>
      <c r="F68" s="7">
        <v>42423</v>
      </c>
      <c r="G68" s="7">
        <v>42423</v>
      </c>
      <c r="H68" s="11" t="s">
        <v>12</v>
      </c>
      <c r="I68" s="11" t="s">
        <v>53</v>
      </c>
      <c r="J68" s="1">
        <v>1027883</v>
      </c>
      <c r="K68" s="34" t="s">
        <v>137</v>
      </c>
      <c r="L68" s="9">
        <v>80</v>
      </c>
      <c r="M68" s="40"/>
      <c r="N68" s="40"/>
      <c r="O68" s="41"/>
      <c r="P68" s="43"/>
      <c r="Q68" s="44" t="str">
        <f>IF(O68&lt;&gt;0,C68/(VLOOKUP(O68,#REF!,2,FALSE)),"")</f>
        <v/>
      </c>
      <c r="R68" s="43"/>
      <c r="S68" s="43"/>
      <c r="T68" s="37">
        <f t="shared" si="2"/>
        <v>0</v>
      </c>
    </row>
    <row r="69" spans="2:20" s="2" customFormat="1" x14ac:dyDescent="0.2">
      <c r="B69" s="42" t="s">
        <v>93</v>
      </c>
      <c r="C69" s="20"/>
      <c r="D69" s="20"/>
      <c r="E69" s="1">
        <v>11</v>
      </c>
      <c r="F69" s="7">
        <v>42416</v>
      </c>
      <c r="G69" s="7">
        <v>42416</v>
      </c>
      <c r="H69" s="11" t="s">
        <v>12</v>
      </c>
      <c r="I69" s="11" t="s">
        <v>163</v>
      </c>
      <c r="J69" s="1">
        <v>1027830</v>
      </c>
      <c r="K69" s="34" t="s">
        <v>120</v>
      </c>
      <c r="L69" s="9">
        <v>80</v>
      </c>
      <c r="M69" s="40">
        <v>143</v>
      </c>
      <c r="N69" s="40">
        <v>50</v>
      </c>
      <c r="O69" s="41"/>
      <c r="P69" s="38"/>
      <c r="Q69" s="39" t="str">
        <f>IF(O69&lt;&gt;0,C69/(VLOOKUP(O69,#REF!,2,FALSE)),"")</f>
        <v/>
      </c>
      <c r="R69" s="38"/>
      <c r="S69" s="38"/>
      <c r="T69" s="37">
        <f t="shared" si="2"/>
        <v>0</v>
      </c>
    </row>
    <row r="70" spans="2:20" s="2" customFormat="1" x14ac:dyDescent="0.2">
      <c r="B70" s="42" t="s">
        <v>93</v>
      </c>
      <c r="C70" s="11"/>
      <c r="D70" s="11"/>
      <c r="E70" s="1">
        <v>14</v>
      </c>
      <c r="F70" s="7">
        <v>42416</v>
      </c>
      <c r="G70" s="7">
        <v>42416</v>
      </c>
      <c r="H70" s="11" t="s">
        <v>12</v>
      </c>
      <c r="I70" s="11" t="s">
        <v>150</v>
      </c>
      <c r="J70" s="1">
        <v>1027830</v>
      </c>
      <c r="K70" s="34" t="s">
        <v>120</v>
      </c>
      <c r="L70" s="9">
        <v>80</v>
      </c>
      <c r="M70" s="40">
        <v>203</v>
      </c>
      <c r="N70" s="40"/>
      <c r="O70" s="41"/>
      <c r="P70" s="43"/>
      <c r="Q70" s="44" t="str">
        <f>IF(O70&lt;&gt;0,C70/(VLOOKUP(O70,#REF!,2,FALSE)),"")</f>
        <v/>
      </c>
      <c r="R70" s="43"/>
      <c r="S70" s="43"/>
      <c r="T70" s="37">
        <f t="shared" si="2"/>
        <v>0</v>
      </c>
    </row>
    <row r="71" spans="2:20" s="2" customFormat="1" x14ac:dyDescent="0.2">
      <c r="B71" s="27" t="s">
        <v>36</v>
      </c>
      <c r="C71" s="11">
        <v>450</v>
      </c>
      <c r="D71" s="11">
        <v>1</v>
      </c>
      <c r="E71" s="1">
        <v>12</v>
      </c>
      <c r="F71" s="7">
        <v>42425</v>
      </c>
      <c r="G71" s="7">
        <v>42425</v>
      </c>
      <c r="H71" s="11" t="s">
        <v>12</v>
      </c>
      <c r="I71" s="11" t="s">
        <v>53</v>
      </c>
      <c r="J71" s="1">
        <v>1027758</v>
      </c>
      <c r="K71" s="34" t="s">
        <v>146</v>
      </c>
      <c r="L71" s="9">
        <v>80</v>
      </c>
      <c r="M71" s="40"/>
      <c r="N71" s="40"/>
      <c r="O71" s="41"/>
      <c r="P71" s="43"/>
      <c r="Q71" s="44" t="str">
        <f>IF(O71&lt;&gt;0,C71/(VLOOKUP(O71,#REF!,2,FALSE)),"")</f>
        <v/>
      </c>
      <c r="R71" s="43"/>
      <c r="S71" s="43"/>
      <c r="T71" s="37">
        <f>IF(COUNTIF(P71,"*érogation*"),C71,0)</f>
        <v>0</v>
      </c>
    </row>
    <row r="72" spans="2:20" s="2" customFormat="1" x14ac:dyDescent="0.2">
      <c r="B72" s="27" t="s">
        <v>36</v>
      </c>
      <c r="C72" s="11">
        <v>450</v>
      </c>
      <c r="D72" s="11">
        <v>1</v>
      </c>
      <c r="E72" s="1">
        <v>16</v>
      </c>
      <c r="F72" s="7">
        <v>42425</v>
      </c>
      <c r="G72" s="7">
        <v>42425</v>
      </c>
      <c r="H72" s="11" t="s">
        <v>12</v>
      </c>
      <c r="I72" s="11" t="s">
        <v>53</v>
      </c>
      <c r="J72" s="1">
        <v>1027758</v>
      </c>
      <c r="K72" s="34" t="s">
        <v>146</v>
      </c>
      <c r="L72" s="9">
        <v>80</v>
      </c>
      <c r="M72" s="40"/>
      <c r="N72" s="40"/>
      <c r="O72" s="41"/>
      <c r="P72" s="43"/>
      <c r="Q72" s="44" t="str">
        <f>IF(O72&lt;&gt;0,C72/(VLOOKUP(O72,#REF!,2,FALSE)),"")</f>
        <v/>
      </c>
      <c r="R72" s="43"/>
      <c r="S72" s="43"/>
      <c r="T72" s="37">
        <f>IF(COUNTIF(P72,"*érogation*"),C72,0)</f>
        <v>0</v>
      </c>
    </row>
    <row r="73" spans="2:20" s="2" customFormat="1" x14ac:dyDescent="0.2">
      <c r="B73" s="27" t="s">
        <v>36</v>
      </c>
      <c r="C73" s="11">
        <v>450</v>
      </c>
      <c r="D73" s="11">
        <v>1</v>
      </c>
      <c r="E73" s="1">
        <v>25</v>
      </c>
      <c r="F73" s="7">
        <v>42425</v>
      </c>
      <c r="G73" s="7">
        <v>42425</v>
      </c>
      <c r="H73" s="11" t="s">
        <v>12</v>
      </c>
      <c r="I73" s="11" t="s">
        <v>151</v>
      </c>
      <c r="J73" s="1">
        <v>1027758</v>
      </c>
      <c r="K73" s="34" t="s">
        <v>146</v>
      </c>
      <c r="L73" s="9">
        <v>80</v>
      </c>
      <c r="M73" s="40"/>
      <c r="N73" s="40"/>
      <c r="O73" s="41"/>
      <c r="P73" s="43"/>
      <c r="Q73" s="44" t="str">
        <f>IF(O73&lt;&gt;0,C73/(VLOOKUP(O73,#REF!,2,FALSE)),"")</f>
        <v/>
      </c>
      <c r="R73" s="43"/>
      <c r="S73" s="43"/>
      <c r="T73" s="37">
        <f>IF(COUNTIF(P73,"*érogation*"),C73,0)</f>
        <v>0</v>
      </c>
    </row>
    <row r="74" spans="2:20" s="2" customFormat="1" x14ac:dyDescent="0.2">
      <c r="B74" s="27" t="s">
        <v>36</v>
      </c>
      <c r="C74" s="11">
        <v>450</v>
      </c>
      <c r="D74" s="11">
        <v>1</v>
      </c>
      <c r="E74" s="1">
        <v>24</v>
      </c>
      <c r="F74" s="7">
        <v>42425</v>
      </c>
      <c r="G74" s="7">
        <v>42425</v>
      </c>
      <c r="H74" s="11" t="s">
        <v>12</v>
      </c>
      <c r="I74" s="11" t="s">
        <v>151</v>
      </c>
      <c r="J74" s="1">
        <v>1027758</v>
      </c>
      <c r="K74" s="34" t="s">
        <v>146</v>
      </c>
      <c r="L74" s="9">
        <v>80</v>
      </c>
      <c r="M74" s="40"/>
      <c r="N74" s="40"/>
      <c r="O74" s="41"/>
      <c r="P74" s="43"/>
      <c r="Q74" s="44" t="str">
        <f>IF(O74&lt;&gt;0,C74/(VLOOKUP(O74,#REF!,2,FALSE)),"")</f>
        <v/>
      </c>
      <c r="R74" s="43"/>
      <c r="S74" s="43"/>
      <c r="T74" s="37">
        <f>IF(COUNTIF(P74,"*érogation*"),C74,0)</f>
        <v>0</v>
      </c>
    </row>
    <row r="75" spans="2:20" s="2" customFormat="1" x14ac:dyDescent="0.2">
      <c r="B75" s="27" t="s">
        <v>36</v>
      </c>
      <c r="C75" s="20">
        <v>178</v>
      </c>
      <c r="D75" s="20">
        <v>1</v>
      </c>
      <c r="E75" s="1">
        <v>2</v>
      </c>
      <c r="F75" s="7">
        <v>42424</v>
      </c>
      <c r="G75" s="7">
        <v>42424</v>
      </c>
      <c r="H75" s="11" t="s">
        <v>12</v>
      </c>
      <c r="I75" s="11" t="s">
        <v>53</v>
      </c>
      <c r="J75" s="1">
        <v>1027758</v>
      </c>
      <c r="K75" s="34" t="s">
        <v>146</v>
      </c>
      <c r="L75" s="9">
        <v>80</v>
      </c>
      <c r="M75" s="40"/>
      <c r="N75" s="40"/>
      <c r="O75" s="41"/>
      <c r="P75" s="38"/>
      <c r="Q75" s="39" t="str">
        <f>IF(O75&lt;&gt;0,C75/(VLOOKUP(O75,#REF!,2,FALSE)),"")</f>
        <v/>
      </c>
      <c r="R75" s="38"/>
      <c r="S75" s="38"/>
      <c r="T75" s="37">
        <f t="shared" si="2"/>
        <v>0</v>
      </c>
    </row>
    <row r="76" spans="2:20" s="2" customFormat="1" x14ac:dyDescent="0.2">
      <c r="B76" s="27" t="s">
        <v>36</v>
      </c>
      <c r="C76" s="20">
        <v>450</v>
      </c>
      <c r="D76" s="20">
        <v>1</v>
      </c>
      <c r="E76" s="1">
        <v>13</v>
      </c>
      <c r="F76" s="7">
        <v>42387</v>
      </c>
      <c r="G76" s="7">
        <v>42387</v>
      </c>
      <c r="H76" s="11" t="s">
        <v>12</v>
      </c>
      <c r="I76" s="51" t="s">
        <v>127</v>
      </c>
      <c r="J76" s="1">
        <v>1026827</v>
      </c>
      <c r="K76" s="34" t="s">
        <v>72</v>
      </c>
      <c r="L76" s="9">
        <v>80</v>
      </c>
      <c r="M76" s="40"/>
      <c r="N76" s="40"/>
      <c r="O76" s="41"/>
      <c r="P76" s="43"/>
      <c r="Q76" s="44" t="str">
        <f>IF(O76&lt;&gt;0,C76/(VLOOKUP(O76,#REF!,2,FALSE)),"")</f>
        <v/>
      </c>
      <c r="R76" s="43"/>
      <c r="S76" s="43"/>
      <c r="T76" s="37">
        <f t="shared" si="2"/>
        <v>0</v>
      </c>
    </row>
    <row r="77" spans="2:20" s="2" customFormat="1" x14ac:dyDescent="0.2">
      <c r="B77" s="45" t="s">
        <v>99</v>
      </c>
      <c r="C77" s="11">
        <v>1100</v>
      </c>
      <c r="D77" s="11">
        <v>1</v>
      </c>
      <c r="E77" s="1">
        <v>9</v>
      </c>
      <c r="F77" s="7">
        <v>42416</v>
      </c>
      <c r="G77" s="7">
        <v>42416</v>
      </c>
      <c r="H77" s="11" t="s">
        <v>12</v>
      </c>
      <c r="I77" s="11" t="s">
        <v>129</v>
      </c>
      <c r="J77" s="1">
        <v>1027834</v>
      </c>
      <c r="K77" s="34" t="s">
        <v>126</v>
      </c>
      <c r="L77" s="9">
        <v>80</v>
      </c>
      <c r="M77" s="40"/>
      <c r="N77" s="40"/>
      <c r="O77" s="41" t="s">
        <v>13</v>
      </c>
      <c r="P77" s="38"/>
      <c r="Q77" s="39" t="e">
        <f>IF(O77&lt;&gt;0,C77/(VLOOKUP(O77,#REF!,2,FALSE)),"")</f>
        <v>#REF!</v>
      </c>
      <c r="R77" s="38"/>
      <c r="S77" s="38"/>
      <c r="T77" s="37">
        <f t="shared" si="2"/>
        <v>0</v>
      </c>
    </row>
    <row r="78" spans="2:20" s="2" customFormat="1" x14ac:dyDescent="0.2">
      <c r="B78" s="45" t="s">
        <v>99</v>
      </c>
      <c r="C78" s="11">
        <v>210</v>
      </c>
      <c r="D78" s="11">
        <v>1</v>
      </c>
      <c r="E78" s="1">
        <v>13</v>
      </c>
      <c r="F78" s="7">
        <v>42416</v>
      </c>
      <c r="G78" s="7">
        <v>42416</v>
      </c>
      <c r="H78" s="11" t="s">
        <v>12</v>
      </c>
      <c r="I78" s="11" t="s">
        <v>100</v>
      </c>
      <c r="J78" s="1">
        <v>1027834</v>
      </c>
      <c r="K78" s="34" t="s">
        <v>126</v>
      </c>
      <c r="L78" s="9">
        <v>80</v>
      </c>
      <c r="M78" s="40"/>
      <c r="N78" s="40"/>
      <c r="O78" s="41" t="s">
        <v>13</v>
      </c>
      <c r="P78" s="43"/>
      <c r="Q78" s="44" t="e">
        <f>IF(O78&lt;&gt;0,C78/(VLOOKUP(O78,#REF!,2,FALSE)),"")</f>
        <v>#REF!</v>
      </c>
      <c r="R78" s="43"/>
      <c r="S78" s="43"/>
      <c r="T78" s="37">
        <f t="shared" si="2"/>
        <v>0</v>
      </c>
    </row>
    <row r="79" spans="2:20" s="2" customFormat="1" x14ac:dyDescent="0.2">
      <c r="B79" s="19" t="s">
        <v>107</v>
      </c>
      <c r="C79" s="20">
        <v>1000</v>
      </c>
      <c r="D79" s="20">
        <v>1</v>
      </c>
      <c r="E79" s="1">
        <v>9</v>
      </c>
      <c r="F79" s="7">
        <v>42429</v>
      </c>
      <c r="G79" s="7">
        <v>42429</v>
      </c>
      <c r="H79" s="11" t="s">
        <v>12</v>
      </c>
      <c r="I79" s="11" t="s">
        <v>108</v>
      </c>
      <c r="J79" s="1">
        <v>1027978</v>
      </c>
      <c r="K79" s="34" t="s">
        <v>168</v>
      </c>
      <c r="L79" s="9">
        <v>80</v>
      </c>
      <c r="M79" s="40"/>
      <c r="N79" s="40"/>
      <c r="O79" s="41"/>
      <c r="P79" s="38"/>
      <c r="Q79" s="39" t="str">
        <f>IF(O79&lt;&gt;0,C79/(VLOOKUP(O79,#REF!,2,FALSE)),"")</f>
        <v/>
      </c>
      <c r="R79" s="38"/>
      <c r="S79" s="38"/>
      <c r="T79" s="37">
        <f>IF(COUNTIF(P79,"*érogation*"),C79,0)</f>
        <v>0</v>
      </c>
    </row>
    <row r="80" spans="2:20" x14ac:dyDescent="0.2">
      <c r="B80" s="48" t="s">
        <v>15</v>
      </c>
      <c r="C80" s="49">
        <f>SUBTOTAL(109,Liste1_737578185102118131_6152_4169_14199_2221_4242_2257_182993203633864114144214264324394474564754864982345678910234567891112131415234567891011121314161718172021222323456789101112131415161718192122[Nombre de pièces])</f>
        <v>32691</v>
      </c>
      <c r="D80" s="49">
        <f>SUBTOTAL(109,Liste1_737578185102118131_6152_4169_14199_2221_4242_2257_182993203633864114144214264324394474564754864982345678910234567891112131415234567891011121314161718172021222323456789101112131415161718192122[[Nombre de bacs ]])</f>
        <v>54</v>
      </c>
      <c r="E80" s="49"/>
      <c r="F80" s="49"/>
      <c r="G80" s="49"/>
      <c r="H80" s="49"/>
      <c r="I80" s="49"/>
      <c r="J80" s="49"/>
      <c r="K80" s="26"/>
      <c r="L80" s="49"/>
      <c r="M80" s="49">
        <f>SUBTOTAL(109,Liste1_737578185102118131_6152_4169_14199_2221_4242_2257_182993203633864114144214264324394474564754864982345678910234567891112131415234567891011121314161718172021222323456789101112131415161718192122[Débloquées])</f>
        <v>5008</v>
      </c>
      <c r="N80" s="49">
        <f>SUBTOTAL(109,Liste1_737578185102118131_6152_4169_14199_2221_4242_2257_182993203633864114144214264324394474564754864982345678910234567891112131415234567891011121314161718172021222323456789101112131415161718192122[[Rebutées ]])</f>
        <v>754</v>
      </c>
      <c r="O80" s="49"/>
      <c r="P80" s="49"/>
      <c r="Q80" s="50" t="e">
        <f>SUBTOTAL(109,Liste1_737578185102118131_6152_4169_14199_2221_4242_2257_182993203633864114144214264324394474564754864982345678910234567891112131415234567891011121314161718172021222323456789101112131415161718192122[Durée de tri (h)])</f>
        <v>#REF!</v>
      </c>
      <c r="R80" s="49"/>
      <c r="S80" s="50">
        <f>SUBTOTAL(109,Liste1_737578185102118131_6152_4169_14199_2221_4242_2257_182993203633864114144214264324394474564754864982345678910234567891112131415234567891011121314161718172021222323456789101112131415161718192122[Efficience tri])</f>
        <v>0</v>
      </c>
      <c r="T80" s="49">
        <f>SUBTOTAL(109,Liste1_737578185102118131_6152_4169_14199_2221_4242_2257_182993203633864114144214264324394474564754864982345678910234567891112131415234567891011121314161718172021222323456789101112131415161718192122[Attente Dérogation])</f>
        <v>1110</v>
      </c>
    </row>
    <row r="87" spans="4:5" x14ac:dyDescent="0.2">
      <c r="D87" s="54"/>
      <c r="E87" s="16" t="s">
        <v>165</v>
      </c>
    </row>
    <row r="89" spans="4:5" x14ac:dyDescent="0.2">
      <c r="D89" s="47"/>
      <c r="E89" s="16"/>
    </row>
    <row r="90" spans="4:5" ht="12" customHeight="1" x14ac:dyDescent="0.2"/>
    <row r="93" spans="4:5" x14ac:dyDescent="0.2">
      <c r="E93" s="47"/>
    </row>
    <row r="95" spans="4:5" x14ac:dyDescent="0.2">
      <c r="E95" s="47"/>
    </row>
  </sheetData>
  <conditionalFormatting sqref="B1:B3 K1:K3 B81:B65528 K81:K65528">
    <cfRule type="expression" dxfId="7" priority="1" stopIfTrue="1">
      <formula>VLOOKUP(LEFT($B1,8),#REF!,1,0)=LEFT($B1,8)</formula>
    </cfRule>
  </conditionalFormatting>
  <dataValidations count="2">
    <dataValidation type="list" allowBlank="1" showInputMessage="1" showErrorMessage="1" sqref="P4:P79">
      <formula1>"Dérogation (décision client),Attente décision interne,OK QUA"</formula1>
    </dataValidation>
    <dataValidation type="list" allowBlank="1" showInputMessage="1" showErrorMessage="1" sqref="O4:O79">
      <formula1>"Montage,Montage + Visuel,Visuel"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81"/>
  <sheetViews>
    <sheetView topLeftCell="H1" zoomScale="80" zoomScaleNormal="80" workbookViewId="0">
      <selection activeCell="N12" sqref="N12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42" t="s">
        <v>161</v>
      </c>
      <c r="C4" s="20"/>
      <c r="D4" s="20"/>
      <c r="E4" s="20">
        <v>7</v>
      </c>
      <c r="F4" s="7">
        <v>42426</v>
      </c>
      <c r="G4" s="7">
        <v>42426</v>
      </c>
      <c r="H4" s="11" t="s">
        <v>12</v>
      </c>
      <c r="I4" s="11" t="s">
        <v>108</v>
      </c>
      <c r="J4" s="1">
        <v>1027917</v>
      </c>
      <c r="K4" s="34" t="s">
        <v>162</v>
      </c>
      <c r="L4" s="9">
        <v>80</v>
      </c>
      <c r="M4" s="40">
        <v>857</v>
      </c>
      <c r="N4" s="40"/>
      <c r="O4" s="41" t="s">
        <v>13</v>
      </c>
      <c r="P4" s="38"/>
      <c r="Q4" s="39" t="e">
        <f>IF(O4&lt;&gt;0,C4/(VLOOKUP(O4,#REF!,2,FALSE)),"")</f>
        <v>#REF!</v>
      </c>
      <c r="R4" s="38"/>
      <c r="S4" s="38"/>
      <c r="T4" s="37">
        <f t="shared" ref="T4:T51" si="0">IF(COUNTIF(P4,"*érogation*"),C4,0)</f>
        <v>0</v>
      </c>
    </row>
    <row r="5" spans="1:20" s="2" customFormat="1" x14ac:dyDescent="0.2">
      <c r="B5" s="42" t="s">
        <v>161</v>
      </c>
      <c r="C5" s="11"/>
      <c r="D5" s="11"/>
      <c r="E5" s="20">
        <v>1</v>
      </c>
      <c r="F5" s="7">
        <v>42425</v>
      </c>
      <c r="G5" s="7">
        <v>42425</v>
      </c>
      <c r="H5" s="11" t="s">
        <v>12</v>
      </c>
      <c r="I5" s="11" t="s">
        <v>108</v>
      </c>
      <c r="J5" s="1">
        <v>1027917</v>
      </c>
      <c r="K5" s="34" t="s">
        <v>162</v>
      </c>
      <c r="L5" s="9">
        <v>80</v>
      </c>
      <c r="M5" s="40">
        <v>950</v>
      </c>
      <c r="N5" s="40"/>
      <c r="O5" s="41" t="s">
        <v>13</v>
      </c>
      <c r="P5" s="43"/>
      <c r="Q5" s="44" t="e">
        <f>IF(O5&lt;&gt;0,C5/(VLOOKUP(O5,#REF!,2,FALSE)),"")</f>
        <v>#REF!</v>
      </c>
      <c r="R5" s="43"/>
      <c r="S5" s="43"/>
      <c r="T5" s="37">
        <f t="shared" si="0"/>
        <v>0</v>
      </c>
    </row>
    <row r="6" spans="1:20" s="2" customFormat="1" x14ac:dyDescent="0.2">
      <c r="B6" s="42" t="s">
        <v>161</v>
      </c>
      <c r="C6" s="11"/>
      <c r="D6" s="11"/>
      <c r="E6" s="20">
        <v>5</v>
      </c>
      <c r="F6" s="7">
        <v>42425</v>
      </c>
      <c r="G6" s="7">
        <v>42425</v>
      </c>
      <c r="H6" s="11" t="s">
        <v>12</v>
      </c>
      <c r="I6" s="11" t="s">
        <v>108</v>
      </c>
      <c r="J6" s="1">
        <v>1027917</v>
      </c>
      <c r="K6" s="34" t="s">
        <v>162</v>
      </c>
      <c r="L6" s="9">
        <v>80</v>
      </c>
      <c r="M6" s="40">
        <v>950</v>
      </c>
      <c r="N6" s="40"/>
      <c r="O6" s="41" t="s">
        <v>13</v>
      </c>
      <c r="P6" s="43"/>
      <c r="Q6" s="44" t="e">
        <f>IF(O6&lt;&gt;0,C6/(VLOOKUP(O6,#REF!,2,FALSE)),"")</f>
        <v>#REF!</v>
      </c>
      <c r="R6" s="43"/>
      <c r="S6" s="43"/>
      <c r="T6" s="37">
        <f t="shared" si="0"/>
        <v>0</v>
      </c>
    </row>
    <row r="7" spans="1:20" s="2" customFormat="1" x14ac:dyDescent="0.2">
      <c r="B7" s="42" t="s">
        <v>161</v>
      </c>
      <c r="C7" s="11"/>
      <c r="D7" s="11"/>
      <c r="E7" s="20">
        <v>2</v>
      </c>
      <c r="F7" s="7">
        <v>42425</v>
      </c>
      <c r="G7" s="7">
        <v>42425</v>
      </c>
      <c r="H7" s="11" t="s">
        <v>12</v>
      </c>
      <c r="I7" s="11" t="s">
        <v>108</v>
      </c>
      <c r="J7" s="1">
        <v>1027917</v>
      </c>
      <c r="K7" s="34" t="s">
        <v>162</v>
      </c>
      <c r="L7" s="9">
        <v>80</v>
      </c>
      <c r="M7" s="40">
        <v>950</v>
      </c>
      <c r="N7" s="40"/>
      <c r="O7" s="41" t="s">
        <v>13</v>
      </c>
      <c r="P7" s="43"/>
      <c r="Q7" s="44" t="e">
        <f>IF(O7&lt;&gt;0,C7/(VLOOKUP(O7,#REF!,2,FALSE)),"")</f>
        <v>#REF!</v>
      </c>
      <c r="R7" s="43"/>
      <c r="S7" s="43"/>
      <c r="T7" s="37">
        <f t="shared" si="0"/>
        <v>0</v>
      </c>
    </row>
    <row r="8" spans="1:20" s="2" customFormat="1" x14ac:dyDescent="0.2">
      <c r="B8" s="42" t="s">
        <v>161</v>
      </c>
      <c r="C8" s="11"/>
      <c r="D8" s="11"/>
      <c r="E8" s="20">
        <v>3</v>
      </c>
      <c r="F8" s="7">
        <v>42425</v>
      </c>
      <c r="G8" s="7">
        <v>42425</v>
      </c>
      <c r="H8" s="11" t="s">
        <v>12</v>
      </c>
      <c r="I8" s="11" t="s">
        <v>108</v>
      </c>
      <c r="J8" s="1">
        <v>1027917</v>
      </c>
      <c r="K8" s="34" t="s">
        <v>162</v>
      </c>
      <c r="L8" s="9">
        <v>80</v>
      </c>
      <c r="M8" s="40">
        <v>950</v>
      </c>
      <c r="N8" s="40"/>
      <c r="O8" s="41" t="s">
        <v>13</v>
      </c>
      <c r="P8" s="43"/>
      <c r="Q8" s="44" t="e">
        <f>IF(O8&lt;&gt;0,C8/(VLOOKUP(O8,#REF!,2,FALSE)),"")</f>
        <v>#REF!</v>
      </c>
      <c r="R8" s="43"/>
      <c r="S8" s="43"/>
      <c r="T8" s="37">
        <f t="shared" si="0"/>
        <v>0</v>
      </c>
    </row>
    <row r="9" spans="1:20" s="2" customFormat="1" x14ac:dyDescent="0.2">
      <c r="B9" s="42" t="s">
        <v>161</v>
      </c>
      <c r="C9" s="11"/>
      <c r="D9" s="11"/>
      <c r="E9" s="20">
        <v>4</v>
      </c>
      <c r="F9" s="7">
        <v>42425</v>
      </c>
      <c r="G9" s="7">
        <v>42425</v>
      </c>
      <c r="H9" s="11" t="s">
        <v>12</v>
      </c>
      <c r="I9" s="11" t="s">
        <v>108</v>
      </c>
      <c r="J9" s="1">
        <v>1027917</v>
      </c>
      <c r="K9" s="34" t="s">
        <v>162</v>
      </c>
      <c r="L9" s="9">
        <v>80</v>
      </c>
      <c r="M9" s="40">
        <v>950</v>
      </c>
      <c r="N9" s="40"/>
      <c r="O9" s="41" t="s">
        <v>13</v>
      </c>
      <c r="P9" s="43"/>
      <c r="Q9" s="44" t="e">
        <f>IF(O9&lt;&gt;0,C9/(VLOOKUP(O9,#REF!,2,FALSE)),"")</f>
        <v>#REF!</v>
      </c>
      <c r="R9" s="43"/>
      <c r="S9" s="43"/>
      <c r="T9" s="37">
        <f t="shared" si="0"/>
        <v>0</v>
      </c>
    </row>
    <row r="10" spans="1:20" s="2" customFormat="1" x14ac:dyDescent="0.2">
      <c r="B10" s="42" t="s">
        <v>130</v>
      </c>
      <c r="C10" s="20"/>
      <c r="D10" s="20"/>
      <c r="E10" s="20">
        <v>15</v>
      </c>
      <c r="F10" s="7">
        <v>42418</v>
      </c>
      <c r="G10" s="7">
        <v>42418</v>
      </c>
      <c r="H10" s="11" t="s">
        <v>12</v>
      </c>
      <c r="I10" s="11" t="s">
        <v>152</v>
      </c>
      <c r="J10" s="1">
        <v>1027916</v>
      </c>
      <c r="K10" s="34" t="s">
        <v>153</v>
      </c>
      <c r="L10" s="9">
        <v>80</v>
      </c>
      <c r="M10" s="40">
        <v>556</v>
      </c>
      <c r="N10" s="40">
        <v>156</v>
      </c>
      <c r="O10" s="41" t="s">
        <v>13</v>
      </c>
      <c r="P10" s="43"/>
      <c r="Q10" s="44" t="e">
        <f>IF(O10&lt;&gt;0,C10/(VLOOKUP(O10,#REF!,2,FALSE)),"")</f>
        <v>#REF!</v>
      </c>
      <c r="R10" s="43"/>
      <c r="S10" s="43"/>
      <c r="T10" s="37">
        <f t="shared" si="0"/>
        <v>0</v>
      </c>
    </row>
    <row r="11" spans="1:20" s="2" customFormat="1" x14ac:dyDescent="0.2">
      <c r="B11" s="42" t="s">
        <v>130</v>
      </c>
      <c r="C11" s="11"/>
      <c r="D11" s="11"/>
      <c r="E11" s="20">
        <v>16</v>
      </c>
      <c r="F11" s="7">
        <v>42418</v>
      </c>
      <c r="G11" s="7">
        <v>42418</v>
      </c>
      <c r="H11" s="11" t="s">
        <v>12</v>
      </c>
      <c r="I11" s="11" t="s">
        <v>152</v>
      </c>
      <c r="J11" s="1">
        <v>1027916</v>
      </c>
      <c r="K11" s="34" t="s">
        <v>153</v>
      </c>
      <c r="L11" s="9">
        <v>80</v>
      </c>
      <c r="M11" s="40">
        <v>694</v>
      </c>
      <c r="N11" s="40">
        <v>56</v>
      </c>
      <c r="O11" s="41" t="s">
        <v>13</v>
      </c>
      <c r="P11" s="43"/>
      <c r="Q11" s="44" t="e">
        <f>IF(O11&lt;&gt;0,C11/(VLOOKUP(O11,#REF!,2,FALSE)),"")</f>
        <v>#REF!</v>
      </c>
      <c r="R11" s="43"/>
      <c r="S11" s="43"/>
      <c r="T11" s="37">
        <f t="shared" si="0"/>
        <v>0</v>
      </c>
    </row>
    <row r="12" spans="1:20" s="2" customFormat="1" x14ac:dyDescent="0.2">
      <c r="B12" s="42" t="s">
        <v>130</v>
      </c>
      <c r="C12" s="20"/>
      <c r="D12" s="20"/>
      <c r="E12" s="20">
        <v>4</v>
      </c>
      <c r="F12" s="7">
        <v>42411</v>
      </c>
      <c r="G12" s="7">
        <v>42411</v>
      </c>
      <c r="H12" s="11" t="s">
        <v>12</v>
      </c>
      <c r="I12" s="11" t="s">
        <v>131</v>
      </c>
      <c r="J12" s="1">
        <v>1027759</v>
      </c>
      <c r="K12" s="13" t="s">
        <v>132</v>
      </c>
      <c r="L12" s="9">
        <v>80</v>
      </c>
      <c r="M12" s="40">
        <v>650</v>
      </c>
      <c r="N12" s="40">
        <v>6</v>
      </c>
      <c r="O12" s="41" t="s">
        <v>13</v>
      </c>
      <c r="P12" s="43"/>
      <c r="Q12" s="44" t="e">
        <f>IF(O12&lt;&gt;0,C12/(VLOOKUP(O12,#REF!,2,FALSE)),"")</f>
        <v>#REF!</v>
      </c>
      <c r="R12" s="43"/>
      <c r="S12" s="43"/>
      <c r="T12" s="37">
        <f t="shared" si="0"/>
        <v>0</v>
      </c>
    </row>
    <row r="13" spans="1:20" s="2" customFormat="1" x14ac:dyDescent="0.2">
      <c r="B13" s="42" t="s">
        <v>130</v>
      </c>
      <c r="C13" s="20"/>
      <c r="D13" s="20"/>
      <c r="E13" s="20">
        <v>18</v>
      </c>
      <c r="F13" s="7">
        <v>42415</v>
      </c>
      <c r="G13" s="7">
        <v>42415</v>
      </c>
      <c r="H13" s="11" t="s">
        <v>12</v>
      </c>
      <c r="I13" s="11" t="s">
        <v>114</v>
      </c>
      <c r="J13" s="1">
        <v>1027759</v>
      </c>
      <c r="K13" s="13" t="s">
        <v>132</v>
      </c>
      <c r="L13" s="9">
        <v>80</v>
      </c>
      <c r="M13" s="40">
        <v>737</v>
      </c>
      <c r="N13" s="40">
        <v>13</v>
      </c>
      <c r="O13" s="41" t="s">
        <v>13</v>
      </c>
      <c r="P13" s="38"/>
      <c r="Q13" s="39" t="e">
        <f>IF(O13&lt;&gt;0,C13/(VLOOKUP(O13,#REF!,2,FALSE)),"")</f>
        <v>#REF!</v>
      </c>
      <c r="R13" s="38"/>
      <c r="S13" s="38"/>
      <c r="T13" s="37">
        <f t="shared" si="0"/>
        <v>0</v>
      </c>
    </row>
    <row r="14" spans="1:20" s="2" customFormat="1" x14ac:dyDescent="0.2">
      <c r="B14" s="27" t="s">
        <v>112</v>
      </c>
      <c r="C14" s="11"/>
      <c r="D14" s="11"/>
      <c r="E14" s="11" t="s">
        <v>21</v>
      </c>
      <c r="F14" s="7">
        <v>42423</v>
      </c>
      <c r="G14" s="7">
        <v>42423</v>
      </c>
      <c r="H14" s="11" t="s">
        <v>12</v>
      </c>
      <c r="I14" s="11" t="s">
        <v>52</v>
      </c>
      <c r="J14" s="1">
        <v>1027588</v>
      </c>
      <c r="K14" s="34" t="s">
        <v>113</v>
      </c>
      <c r="L14" s="9">
        <v>80</v>
      </c>
      <c r="M14" s="40">
        <v>198</v>
      </c>
      <c r="N14" s="40"/>
      <c r="O14" s="41" t="s">
        <v>14</v>
      </c>
      <c r="P14" s="43"/>
      <c r="Q14" s="44" t="e">
        <f>IF(O14&lt;&gt;0,C14/(VLOOKUP(O14,#REF!,2,FALSE)),"")</f>
        <v>#REF!</v>
      </c>
      <c r="R14" s="43"/>
      <c r="S14" s="43"/>
      <c r="T14" s="37">
        <f t="shared" si="0"/>
        <v>0</v>
      </c>
    </row>
    <row r="15" spans="1:20" s="2" customFormat="1" x14ac:dyDescent="0.2">
      <c r="B15" s="19" t="s">
        <v>42</v>
      </c>
      <c r="C15" s="20">
        <v>146</v>
      </c>
      <c r="D15" s="20">
        <v>1</v>
      </c>
      <c r="E15" s="11">
        <v>6</v>
      </c>
      <c r="F15" s="7">
        <v>42424</v>
      </c>
      <c r="G15" s="7">
        <v>42429</v>
      </c>
      <c r="H15" s="11" t="s">
        <v>12</v>
      </c>
      <c r="I15" s="11" t="s">
        <v>88</v>
      </c>
      <c r="J15" s="1">
        <v>1027951</v>
      </c>
      <c r="K15" s="34" t="s">
        <v>166</v>
      </c>
      <c r="L15" s="9">
        <v>80</v>
      </c>
      <c r="M15" s="40"/>
      <c r="N15" s="40"/>
      <c r="O15" s="41" t="s">
        <v>13</v>
      </c>
      <c r="P15" s="38"/>
      <c r="Q15" s="39" t="e">
        <f>IF(O15&lt;&gt;0,C15/(VLOOKUP(O15,#REF!,2,FALSE)),"")</f>
        <v>#REF!</v>
      </c>
      <c r="R15" s="38"/>
      <c r="S15" s="38"/>
      <c r="T15" s="37">
        <f t="shared" si="0"/>
        <v>0</v>
      </c>
    </row>
    <row r="16" spans="1:20" s="2" customFormat="1" x14ac:dyDescent="0.2">
      <c r="B16" s="42" t="s">
        <v>42</v>
      </c>
      <c r="C16" s="20"/>
      <c r="D16" s="20"/>
      <c r="E16" s="11">
        <v>9</v>
      </c>
      <c r="F16" s="7">
        <v>42429</v>
      </c>
      <c r="G16" s="7">
        <v>42429</v>
      </c>
      <c r="H16" s="11" t="s">
        <v>12</v>
      </c>
      <c r="I16" s="11" t="s">
        <v>169</v>
      </c>
      <c r="J16" s="1">
        <v>1027951</v>
      </c>
      <c r="K16" s="34" t="s">
        <v>166</v>
      </c>
      <c r="L16" s="9">
        <v>80</v>
      </c>
      <c r="M16" s="40">
        <v>650</v>
      </c>
      <c r="N16" s="40"/>
      <c r="O16" s="41"/>
      <c r="P16" s="38"/>
      <c r="Q16" s="39" t="str">
        <f>IF(O16&lt;&gt;0,C16/(VLOOKUP(O16,#REF!,2,FALSE)),"")</f>
        <v/>
      </c>
      <c r="R16" s="38"/>
      <c r="S16" s="38"/>
      <c r="T16" s="37">
        <f t="shared" si="0"/>
        <v>0</v>
      </c>
    </row>
    <row r="17" spans="2:20" s="2" customFormat="1" x14ac:dyDescent="0.2">
      <c r="B17" s="42" t="s">
        <v>42</v>
      </c>
      <c r="C17" s="20"/>
      <c r="D17" s="20"/>
      <c r="E17" s="11">
        <v>8</v>
      </c>
      <c r="F17" s="7">
        <v>42429</v>
      </c>
      <c r="G17" s="7">
        <v>42429</v>
      </c>
      <c r="H17" s="11" t="s">
        <v>12</v>
      </c>
      <c r="I17" s="11" t="s">
        <v>169</v>
      </c>
      <c r="J17" s="1">
        <v>1027951</v>
      </c>
      <c r="K17" s="34" t="s">
        <v>166</v>
      </c>
      <c r="L17" s="9">
        <v>80</v>
      </c>
      <c r="M17" s="40">
        <v>650</v>
      </c>
      <c r="N17" s="40"/>
      <c r="O17" s="41"/>
      <c r="P17" s="38"/>
      <c r="Q17" s="39" t="str">
        <f>IF(O17&lt;&gt;0,C17/(VLOOKUP(O17,#REF!,2,FALSE)),"")</f>
        <v/>
      </c>
      <c r="R17" s="38"/>
      <c r="S17" s="38"/>
      <c r="T17" s="37">
        <f t="shared" si="0"/>
        <v>0</v>
      </c>
    </row>
    <row r="18" spans="2:20" s="2" customFormat="1" x14ac:dyDescent="0.2">
      <c r="B18" s="42" t="s">
        <v>42</v>
      </c>
      <c r="C18" s="20"/>
      <c r="D18" s="20"/>
      <c r="E18" s="11">
        <v>11</v>
      </c>
      <c r="F18" s="7">
        <v>42429</v>
      </c>
      <c r="G18" s="7">
        <v>42429</v>
      </c>
      <c r="H18" s="11" t="s">
        <v>12</v>
      </c>
      <c r="I18" s="11" t="s">
        <v>169</v>
      </c>
      <c r="J18" s="1">
        <v>1027951</v>
      </c>
      <c r="K18" s="34" t="s">
        <v>166</v>
      </c>
      <c r="L18" s="9">
        <v>80</v>
      </c>
      <c r="M18" s="40">
        <v>650</v>
      </c>
      <c r="N18" s="40"/>
      <c r="O18" s="41"/>
      <c r="P18" s="38"/>
      <c r="Q18" s="39" t="str">
        <f>IF(O18&lt;&gt;0,C18/(VLOOKUP(O18,#REF!,2,FALSE)),"")</f>
        <v/>
      </c>
      <c r="R18" s="38"/>
      <c r="S18" s="38"/>
      <c r="T18" s="37">
        <f t="shared" si="0"/>
        <v>0</v>
      </c>
    </row>
    <row r="19" spans="2:20" s="2" customFormat="1" x14ac:dyDescent="0.2">
      <c r="B19" s="27" t="s">
        <v>46</v>
      </c>
      <c r="C19" s="11">
        <v>800</v>
      </c>
      <c r="D19" s="11">
        <v>1</v>
      </c>
      <c r="E19" s="11">
        <v>23</v>
      </c>
      <c r="F19" s="7">
        <v>42423</v>
      </c>
      <c r="G19" s="7">
        <v>42423</v>
      </c>
      <c r="H19" s="33" t="s">
        <v>12</v>
      </c>
      <c r="I19" s="11" t="s">
        <v>138</v>
      </c>
      <c r="J19" s="1">
        <v>1027823</v>
      </c>
      <c r="K19" s="34" t="s">
        <v>139</v>
      </c>
      <c r="L19" s="9">
        <v>80</v>
      </c>
      <c r="M19" s="40"/>
      <c r="N19" s="40"/>
      <c r="O19" s="41" t="s">
        <v>14</v>
      </c>
      <c r="P19" s="43"/>
      <c r="Q19" s="44" t="e">
        <f>IF(O19&lt;&gt;0,C19/(VLOOKUP(O19,#REF!,2,FALSE)),"")</f>
        <v>#REF!</v>
      </c>
      <c r="R19" s="43"/>
      <c r="S19" s="43"/>
      <c r="T19" s="37">
        <f t="shared" si="0"/>
        <v>0</v>
      </c>
    </row>
    <row r="20" spans="2:20" s="2" customFormat="1" ht="25.5" x14ac:dyDescent="0.2">
      <c r="B20" s="27" t="s">
        <v>46</v>
      </c>
      <c r="C20" s="20">
        <v>800</v>
      </c>
      <c r="D20" s="20">
        <v>1</v>
      </c>
      <c r="E20" s="1">
        <v>2</v>
      </c>
      <c r="F20" s="7">
        <v>42268</v>
      </c>
      <c r="G20" s="7">
        <v>42376</v>
      </c>
      <c r="H20" s="11" t="s">
        <v>12</v>
      </c>
      <c r="I20" s="11" t="s">
        <v>56</v>
      </c>
      <c r="J20" s="1">
        <v>1023105</v>
      </c>
      <c r="K20" s="13" t="s">
        <v>55</v>
      </c>
      <c r="L20" s="9">
        <v>80</v>
      </c>
      <c r="M20" s="40"/>
      <c r="N20" s="40"/>
      <c r="O20" s="41"/>
      <c r="P20" s="43" t="s">
        <v>31</v>
      </c>
      <c r="Q20" s="39" t="str">
        <f>IF(O20&lt;&gt;0,C20/(VLOOKUP(O20,#REF!,2,FALSE)),"")</f>
        <v/>
      </c>
      <c r="R20" s="38"/>
      <c r="S20" s="38"/>
      <c r="T20" s="37">
        <f t="shared" si="0"/>
        <v>0</v>
      </c>
    </row>
    <row r="21" spans="2:20" s="2" customFormat="1" ht="25.5" x14ac:dyDescent="0.2">
      <c r="B21" s="27" t="s">
        <v>46</v>
      </c>
      <c r="C21" s="20">
        <v>504</v>
      </c>
      <c r="D21" s="20">
        <v>1</v>
      </c>
      <c r="E21" s="1">
        <v>1</v>
      </c>
      <c r="F21" s="7">
        <v>42268</v>
      </c>
      <c r="G21" s="7">
        <v>42376</v>
      </c>
      <c r="H21" s="11" t="s">
        <v>12</v>
      </c>
      <c r="I21" s="11" t="s">
        <v>56</v>
      </c>
      <c r="J21" s="1">
        <v>1023105</v>
      </c>
      <c r="K21" s="13" t="s">
        <v>55</v>
      </c>
      <c r="L21" s="9">
        <v>80</v>
      </c>
      <c r="M21" s="40"/>
      <c r="N21" s="40"/>
      <c r="O21" s="41"/>
      <c r="P21" s="43" t="s">
        <v>31</v>
      </c>
      <c r="Q21" s="39" t="str">
        <f>IF(O21&lt;&gt;0,C21/(VLOOKUP(O21,#REF!,2,FALSE)),"")</f>
        <v/>
      </c>
      <c r="R21" s="38"/>
      <c r="S21" s="38"/>
      <c r="T21" s="37">
        <f t="shared" si="0"/>
        <v>0</v>
      </c>
    </row>
    <row r="22" spans="2:20" s="2" customFormat="1" x14ac:dyDescent="0.2">
      <c r="B22" s="42" t="s">
        <v>110</v>
      </c>
      <c r="C22" s="11"/>
      <c r="D22" s="11"/>
      <c r="E22" s="1">
        <v>1</v>
      </c>
      <c r="F22" s="7">
        <v>42423</v>
      </c>
      <c r="G22" s="7">
        <v>42423</v>
      </c>
      <c r="H22" s="11" t="s">
        <v>12</v>
      </c>
      <c r="I22" s="11" t="s">
        <v>159</v>
      </c>
      <c r="J22" s="1">
        <v>1027952</v>
      </c>
      <c r="K22" s="34" t="s">
        <v>160</v>
      </c>
      <c r="L22" s="9">
        <v>80</v>
      </c>
      <c r="M22" s="40">
        <v>946</v>
      </c>
      <c r="N22" s="40">
        <v>4</v>
      </c>
      <c r="O22" s="41" t="s">
        <v>13</v>
      </c>
      <c r="P22" s="43"/>
      <c r="Q22" s="44" t="e">
        <f>IF(O22&lt;&gt;0,C22/(VLOOKUP(O22,#REF!,2,FALSE)),"")</f>
        <v>#REF!</v>
      </c>
      <c r="R22" s="43"/>
      <c r="S22" s="43"/>
      <c r="T22" s="37">
        <f t="shared" si="0"/>
        <v>0</v>
      </c>
    </row>
    <row r="23" spans="2:20" s="2" customFormat="1" x14ac:dyDescent="0.2">
      <c r="B23" s="42" t="s">
        <v>110</v>
      </c>
      <c r="C23" s="20"/>
      <c r="D23" s="20"/>
      <c r="E23" s="1">
        <v>15</v>
      </c>
      <c r="F23" s="7">
        <v>42426</v>
      </c>
      <c r="G23" s="7">
        <v>42426</v>
      </c>
      <c r="H23" s="11" t="s">
        <v>12</v>
      </c>
      <c r="I23" s="11" t="s">
        <v>159</v>
      </c>
      <c r="J23" s="1">
        <v>1027952</v>
      </c>
      <c r="K23" s="34" t="s">
        <v>160</v>
      </c>
      <c r="L23" s="9">
        <v>80</v>
      </c>
      <c r="M23" s="40">
        <v>949</v>
      </c>
      <c r="N23" s="40">
        <v>1</v>
      </c>
      <c r="O23" s="41" t="s">
        <v>13</v>
      </c>
      <c r="P23" s="38"/>
      <c r="Q23" s="39" t="e">
        <f>IF(O23&lt;&gt;0,C23/(VLOOKUP(O23,#REF!,2,FALSE)),"")</f>
        <v>#REF!</v>
      </c>
      <c r="R23" s="38"/>
      <c r="S23" s="38"/>
      <c r="T23" s="37">
        <f>IF(COUNTIF(P23,"*érogation*"),C23,0)</f>
        <v>0</v>
      </c>
    </row>
    <row r="24" spans="2:20" s="2" customFormat="1" x14ac:dyDescent="0.2">
      <c r="B24" s="19" t="s">
        <v>110</v>
      </c>
      <c r="C24" s="20">
        <v>950</v>
      </c>
      <c r="D24" s="20">
        <v>1</v>
      </c>
      <c r="E24" s="1">
        <v>3</v>
      </c>
      <c r="F24" s="7">
        <v>42423</v>
      </c>
      <c r="G24" s="7">
        <v>42423</v>
      </c>
      <c r="H24" s="11" t="s">
        <v>12</v>
      </c>
      <c r="I24" s="11" t="s">
        <v>159</v>
      </c>
      <c r="J24" s="1">
        <v>1027952</v>
      </c>
      <c r="K24" s="34" t="s">
        <v>160</v>
      </c>
      <c r="L24" s="9">
        <v>80</v>
      </c>
      <c r="M24" s="40"/>
      <c r="N24" s="40"/>
      <c r="O24" s="41" t="s">
        <v>13</v>
      </c>
      <c r="P24" s="38"/>
      <c r="Q24" s="39" t="e">
        <f>IF(O24&lt;&gt;0,C24/(VLOOKUP(O24,#REF!,2,FALSE)),"")</f>
        <v>#REF!</v>
      </c>
      <c r="R24" s="38"/>
      <c r="S24" s="38"/>
      <c r="T24" s="37">
        <f>IF(COUNTIF(P24,"*érogation*"),C24,0)</f>
        <v>0</v>
      </c>
    </row>
    <row r="25" spans="2:20" s="2" customFormat="1" x14ac:dyDescent="0.2">
      <c r="B25" s="42" t="s">
        <v>110</v>
      </c>
      <c r="C25" s="52"/>
      <c r="D25" s="20"/>
      <c r="E25" s="52">
        <v>13</v>
      </c>
      <c r="F25" s="7">
        <v>42411</v>
      </c>
      <c r="G25" s="7">
        <v>42411</v>
      </c>
      <c r="H25" s="11" t="s">
        <v>12</v>
      </c>
      <c r="I25" s="11" t="s">
        <v>147</v>
      </c>
      <c r="J25" s="1">
        <v>1027504</v>
      </c>
      <c r="K25" s="34" t="s">
        <v>109</v>
      </c>
      <c r="L25" s="9">
        <v>80</v>
      </c>
      <c r="M25" s="40">
        <v>403</v>
      </c>
      <c r="N25" s="40"/>
      <c r="O25" s="41"/>
      <c r="P25" s="38"/>
      <c r="Q25" s="39" t="str">
        <f>IF(O25&lt;&gt;0,C25/(VLOOKUP(O25,#REF!,2,FALSE)),"")</f>
        <v/>
      </c>
      <c r="R25" s="38"/>
      <c r="S25" s="38"/>
      <c r="T25" s="37">
        <f t="shared" si="0"/>
        <v>0</v>
      </c>
    </row>
    <row r="26" spans="2:20" s="2" customFormat="1" x14ac:dyDescent="0.2">
      <c r="B26" s="19" t="s">
        <v>154</v>
      </c>
      <c r="C26" s="53">
        <v>450</v>
      </c>
      <c r="D26" s="20">
        <v>1</v>
      </c>
      <c r="E26" s="52">
        <v>12</v>
      </c>
      <c r="F26" s="7">
        <v>42423</v>
      </c>
      <c r="G26" s="7">
        <v>42423</v>
      </c>
      <c r="H26" s="11" t="s">
        <v>12</v>
      </c>
      <c r="I26" s="11" t="s">
        <v>114</v>
      </c>
      <c r="J26" s="1">
        <v>1027918</v>
      </c>
      <c r="K26" s="34" t="s">
        <v>156</v>
      </c>
      <c r="L26" s="9"/>
      <c r="M26" s="40"/>
      <c r="N26" s="40"/>
      <c r="O26" s="41" t="s">
        <v>13</v>
      </c>
      <c r="P26" s="38"/>
      <c r="Q26" s="39" t="e">
        <f>IF(O26&lt;&gt;0,C26/(VLOOKUP(O26,#REF!,2,FALSE)),"")</f>
        <v>#REF!</v>
      </c>
      <c r="R26" s="38"/>
      <c r="S26" s="38"/>
      <c r="T26" s="37">
        <f>IF(COUNTIF(P26,"*érogation*"),C26,0)</f>
        <v>0</v>
      </c>
    </row>
    <row r="27" spans="2:20" s="2" customFormat="1" x14ac:dyDescent="0.2">
      <c r="B27" s="19" t="s">
        <v>154</v>
      </c>
      <c r="C27" s="53">
        <v>700</v>
      </c>
      <c r="D27" s="20">
        <v>1</v>
      </c>
      <c r="E27" s="52">
        <v>3</v>
      </c>
      <c r="F27" s="7">
        <v>42426</v>
      </c>
      <c r="G27" s="7">
        <v>42426</v>
      </c>
      <c r="H27" s="11" t="s">
        <v>12</v>
      </c>
      <c r="I27" s="11" t="s">
        <v>155</v>
      </c>
      <c r="J27" s="1">
        <v>1027918</v>
      </c>
      <c r="K27" s="34" t="s">
        <v>156</v>
      </c>
      <c r="L27" s="9">
        <v>80</v>
      </c>
      <c r="M27" s="40"/>
      <c r="N27" s="40"/>
      <c r="O27" s="41" t="s">
        <v>14</v>
      </c>
      <c r="P27" s="38"/>
      <c r="Q27" s="39" t="e">
        <f>IF(O27&lt;&gt;0,C27/(VLOOKUP(O27,#REF!,2,FALSE)),"")</f>
        <v>#REF!</v>
      </c>
      <c r="R27" s="38"/>
      <c r="S27" s="38"/>
      <c r="T27" s="37">
        <f t="shared" si="0"/>
        <v>0</v>
      </c>
    </row>
    <row r="28" spans="2:20" s="2" customFormat="1" ht="25.5" x14ac:dyDescent="0.2">
      <c r="B28" s="27" t="s">
        <v>49</v>
      </c>
      <c r="C28" s="20">
        <v>284</v>
      </c>
      <c r="D28" s="20">
        <v>1</v>
      </c>
      <c r="E28" s="11">
        <v>2</v>
      </c>
      <c r="F28" s="7">
        <v>42356</v>
      </c>
      <c r="G28" s="7">
        <v>42356</v>
      </c>
      <c r="H28" s="11" t="s">
        <v>12</v>
      </c>
      <c r="I28" s="11" t="s">
        <v>98</v>
      </c>
      <c r="J28" s="1">
        <v>1027045</v>
      </c>
      <c r="K28" s="13" t="s">
        <v>50</v>
      </c>
      <c r="L28" s="9">
        <v>80</v>
      </c>
      <c r="M28" s="40"/>
      <c r="N28" s="40"/>
      <c r="O28" s="41"/>
      <c r="P28" s="38" t="s">
        <v>22</v>
      </c>
      <c r="Q28" s="39" t="str">
        <f>IF(O28&lt;&gt;0,C28/(VLOOKUP(O28,#REF!,2,FALSE)),"")</f>
        <v/>
      </c>
      <c r="R28" s="38"/>
      <c r="S28" s="38"/>
      <c r="T28" s="37">
        <f t="shared" si="0"/>
        <v>284</v>
      </c>
    </row>
    <row r="29" spans="2:20" s="2" customFormat="1" x14ac:dyDescent="0.2">
      <c r="B29" s="42" t="s">
        <v>133</v>
      </c>
      <c r="C29" s="20"/>
      <c r="D29" s="20"/>
      <c r="E29" s="11">
        <v>1</v>
      </c>
      <c r="F29" s="7">
        <v>42416</v>
      </c>
      <c r="G29" s="7">
        <v>42416</v>
      </c>
      <c r="H29" s="11" t="s">
        <v>12</v>
      </c>
      <c r="I29" s="11" t="s">
        <v>87</v>
      </c>
      <c r="J29" s="1">
        <v>1027822</v>
      </c>
      <c r="K29" s="34" t="s">
        <v>164</v>
      </c>
      <c r="L29" s="9">
        <v>80</v>
      </c>
      <c r="M29" s="40">
        <v>271</v>
      </c>
      <c r="N29" s="40">
        <v>120</v>
      </c>
      <c r="O29" s="41" t="s">
        <v>13</v>
      </c>
      <c r="P29" s="38"/>
      <c r="Q29" s="39" t="e">
        <f>IF(O29&lt;&gt;0,C29/(VLOOKUP(O29,#REF!,2,FALSE)),"")</f>
        <v>#REF!</v>
      </c>
      <c r="R29" s="38"/>
      <c r="S29" s="38"/>
      <c r="T29" s="37">
        <f>IF(COUNTIF(P29,"*érogation*"),C29,0)</f>
        <v>0</v>
      </c>
    </row>
    <row r="30" spans="2:20" s="2" customFormat="1" ht="25.5" x14ac:dyDescent="0.2">
      <c r="B30" s="27" t="s">
        <v>70</v>
      </c>
      <c r="C30" s="20">
        <v>649</v>
      </c>
      <c r="D30" s="20">
        <v>1</v>
      </c>
      <c r="E30" s="11"/>
      <c r="F30" s="7">
        <v>42353</v>
      </c>
      <c r="G30" s="7"/>
      <c r="H30" s="11" t="s">
        <v>12</v>
      </c>
      <c r="I30" s="11" t="s">
        <v>106</v>
      </c>
      <c r="J30" s="1">
        <v>1026624</v>
      </c>
      <c r="K30" s="34" t="s">
        <v>105</v>
      </c>
      <c r="L30" s="9">
        <v>80</v>
      </c>
      <c r="M30" s="40"/>
      <c r="N30" s="40"/>
      <c r="O30" s="41"/>
      <c r="P30" s="43" t="s">
        <v>31</v>
      </c>
      <c r="Q30" s="44" t="str">
        <f>IF(O30&lt;&gt;0,C30/(VLOOKUP(O30,#REF!,2,FALSE)),"")</f>
        <v/>
      </c>
      <c r="R30" s="43"/>
      <c r="S30" s="43"/>
      <c r="T30" s="37">
        <f t="shared" si="0"/>
        <v>0</v>
      </c>
    </row>
    <row r="31" spans="2:20" s="2" customFormat="1" x14ac:dyDescent="0.2">
      <c r="B31" s="19" t="s">
        <v>170</v>
      </c>
      <c r="C31" s="20">
        <v>950</v>
      </c>
      <c r="D31" s="20">
        <v>1</v>
      </c>
      <c r="E31" s="11">
        <v>2</v>
      </c>
      <c r="F31" s="7">
        <v>42430</v>
      </c>
      <c r="G31" s="7">
        <v>42430</v>
      </c>
      <c r="H31" s="11" t="s">
        <v>12</v>
      </c>
      <c r="I31" s="11" t="s">
        <v>108</v>
      </c>
      <c r="J31" s="1">
        <v>1028030</v>
      </c>
      <c r="K31" s="34" t="s">
        <v>171</v>
      </c>
      <c r="L31" s="9">
        <v>80</v>
      </c>
      <c r="M31" s="40"/>
      <c r="N31" s="40"/>
      <c r="O31" s="41" t="s">
        <v>13</v>
      </c>
      <c r="P31" s="38"/>
      <c r="Q31" s="39" t="e">
        <f>IF(O31&lt;&gt;0,C31/(VLOOKUP(O31,#REF!,2,FALSE)),"")</f>
        <v>#REF!</v>
      </c>
      <c r="R31" s="38"/>
      <c r="S31" s="38"/>
      <c r="T31" s="37">
        <f>IF(COUNTIF(P31,"*érogation*"),C31,0)</f>
        <v>0</v>
      </c>
    </row>
    <row r="32" spans="2:20" s="2" customFormat="1" x14ac:dyDescent="0.2">
      <c r="B32" s="19" t="s">
        <v>170</v>
      </c>
      <c r="C32" s="20">
        <v>950</v>
      </c>
      <c r="D32" s="20">
        <v>1</v>
      </c>
      <c r="E32" s="11">
        <v>1</v>
      </c>
      <c r="F32" s="7">
        <v>42430</v>
      </c>
      <c r="G32" s="7">
        <v>42430</v>
      </c>
      <c r="H32" s="11" t="s">
        <v>12</v>
      </c>
      <c r="I32" s="11" t="s">
        <v>108</v>
      </c>
      <c r="J32" s="1">
        <v>1028030</v>
      </c>
      <c r="K32" s="34" t="s">
        <v>171</v>
      </c>
      <c r="L32" s="9">
        <v>80</v>
      </c>
      <c r="M32" s="40"/>
      <c r="N32" s="40"/>
      <c r="O32" s="41" t="s">
        <v>13</v>
      </c>
      <c r="P32" s="38"/>
      <c r="Q32" s="39" t="e">
        <f>IF(O32&lt;&gt;0,C32/(VLOOKUP(O32,#REF!,2,FALSE)),"")</f>
        <v>#REF!</v>
      </c>
      <c r="R32" s="38"/>
      <c r="S32" s="38"/>
      <c r="T32" s="37">
        <f>IF(COUNTIF(P32,"*érogation*"),C32,0)</f>
        <v>0</v>
      </c>
    </row>
    <row r="33" spans="2:20" s="2" customFormat="1" x14ac:dyDescent="0.2">
      <c r="B33" s="19" t="s">
        <v>170</v>
      </c>
      <c r="C33" s="20">
        <v>950</v>
      </c>
      <c r="D33" s="20">
        <v>1</v>
      </c>
      <c r="E33" s="11">
        <v>3</v>
      </c>
      <c r="F33" s="7">
        <v>42430</v>
      </c>
      <c r="G33" s="7">
        <v>42430</v>
      </c>
      <c r="H33" s="11" t="s">
        <v>12</v>
      </c>
      <c r="I33" s="11" t="s">
        <v>108</v>
      </c>
      <c r="J33" s="1">
        <v>1028030</v>
      </c>
      <c r="K33" s="34" t="s">
        <v>171</v>
      </c>
      <c r="L33" s="9">
        <v>80</v>
      </c>
      <c r="M33" s="40"/>
      <c r="N33" s="40"/>
      <c r="O33" s="41" t="s">
        <v>13</v>
      </c>
      <c r="P33" s="38"/>
      <c r="Q33" s="39" t="e">
        <f>IF(O33&lt;&gt;0,C33/(VLOOKUP(O33,#REF!,2,FALSE)),"")</f>
        <v>#REF!</v>
      </c>
      <c r="R33" s="38"/>
      <c r="S33" s="38"/>
      <c r="T33" s="37">
        <f>IF(COUNTIF(P33,"*érogation*"),C33,0)</f>
        <v>0</v>
      </c>
    </row>
    <row r="34" spans="2:20" s="2" customFormat="1" x14ac:dyDescent="0.2">
      <c r="B34" s="19" t="s">
        <v>117</v>
      </c>
      <c r="C34" s="20">
        <v>1100</v>
      </c>
      <c r="D34" s="20">
        <v>1</v>
      </c>
      <c r="E34" s="11">
        <v>10</v>
      </c>
      <c r="F34" s="7">
        <v>42424</v>
      </c>
      <c r="G34" s="7">
        <v>42424</v>
      </c>
      <c r="H34" s="11" t="s">
        <v>12</v>
      </c>
      <c r="I34" s="11" t="s">
        <v>108</v>
      </c>
      <c r="J34" s="1">
        <v>1027919</v>
      </c>
      <c r="K34" s="13" t="s">
        <v>145</v>
      </c>
      <c r="L34" s="9">
        <v>80</v>
      </c>
      <c r="M34" s="40"/>
      <c r="N34" s="40"/>
      <c r="O34" s="41" t="s">
        <v>13</v>
      </c>
      <c r="P34" s="38"/>
      <c r="Q34" s="39" t="e">
        <f>IF(O34&lt;&gt;0,C34/(VLOOKUP(O34,#REF!,2,FALSE)),"")</f>
        <v>#REF!</v>
      </c>
      <c r="R34" s="38"/>
      <c r="S34" s="38"/>
      <c r="T34" s="37">
        <f t="shared" si="0"/>
        <v>0</v>
      </c>
    </row>
    <row r="35" spans="2:20" s="2" customFormat="1" x14ac:dyDescent="0.2">
      <c r="B35" s="27" t="s">
        <v>34</v>
      </c>
      <c r="C35" s="20">
        <v>500</v>
      </c>
      <c r="D35" s="20">
        <v>1</v>
      </c>
      <c r="E35" s="11">
        <v>7</v>
      </c>
      <c r="F35" s="7">
        <v>42426</v>
      </c>
      <c r="G35" s="7">
        <v>42426</v>
      </c>
      <c r="H35" s="11" t="s">
        <v>12</v>
      </c>
      <c r="I35" s="11" t="s">
        <v>134</v>
      </c>
      <c r="J35" s="1">
        <v>1027836</v>
      </c>
      <c r="K35" s="34" t="s">
        <v>128</v>
      </c>
      <c r="L35" s="9">
        <v>80</v>
      </c>
      <c r="M35" s="40"/>
      <c r="N35" s="40"/>
      <c r="O35" s="41" t="s">
        <v>14</v>
      </c>
      <c r="P35" s="38"/>
      <c r="Q35" s="39" t="e">
        <f>IF(O35&lt;&gt;0,C35/(VLOOKUP(O35,#REF!,2,FALSE)),"")</f>
        <v>#REF!</v>
      </c>
      <c r="R35" s="38"/>
      <c r="S35" s="38"/>
      <c r="T35" s="37">
        <f>IF(COUNTIF(P35,"*érogation*"),C35,0)</f>
        <v>0</v>
      </c>
    </row>
    <row r="36" spans="2:20" s="2" customFormat="1" ht="25.5" x14ac:dyDescent="0.2">
      <c r="B36" s="27" t="s">
        <v>34</v>
      </c>
      <c r="C36" s="20">
        <v>326</v>
      </c>
      <c r="D36" s="20">
        <v>1</v>
      </c>
      <c r="E36" s="11">
        <v>5</v>
      </c>
      <c r="F36" s="7">
        <v>42244</v>
      </c>
      <c r="G36" s="7">
        <v>42244</v>
      </c>
      <c r="H36" s="11" t="s">
        <v>12</v>
      </c>
      <c r="I36" s="11" t="s">
        <v>38</v>
      </c>
      <c r="J36" s="1">
        <v>1025060</v>
      </c>
      <c r="K36" s="13" t="s">
        <v>35</v>
      </c>
      <c r="L36" s="9">
        <v>80</v>
      </c>
      <c r="M36" s="40"/>
      <c r="N36" s="40"/>
      <c r="O36" s="41"/>
      <c r="P36" s="38" t="s">
        <v>22</v>
      </c>
      <c r="Q36" s="39" t="str">
        <f>IF(O36&lt;&gt;0,C36/(VLOOKUP(O36,#REF!,2,FALSE)),"")</f>
        <v/>
      </c>
      <c r="R36" s="38"/>
      <c r="S36" s="38"/>
      <c r="T36" s="37">
        <f t="shared" si="0"/>
        <v>326</v>
      </c>
    </row>
    <row r="37" spans="2:20" s="2" customFormat="1" ht="25.5" x14ac:dyDescent="0.2">
      <c r="B37" s="27" t="s">
        <v>34</v>
      </c>
      <c r="C37" s="20">
        <v>500</v>
      </c>
      <c r="D37" s="20">
        <v>1</v>
      </c>
      <c r="E37" s="11">
        <v>5</v>
      </c>
      <c r="F37" s="7">
        <v>42263</v>
      </c>
      <c r="G37" s="7">
        <v>42263</v>
      </c>
      <c r="H37" s="11" t="s">
        <v>12</v>
      </c>
      <c r="I37" s="11" t="s">
        <v>38</v>
      </c>
      <c r="J37" s="1">
        <v>1025490</v>
      </c>
      <c r="K37" s="13" t="s">
        <v>37</v>
      </c>
      <c r="L37" s="9">
        <v>80</v>
      </c>
      <c r="M37" s="40"/>
      <c r="N37" s="40"/>
      <c r="O37" s="41"/>
      <c r="P37" s="38" t="s">
        <v>22</v>
      </c>
      <c r="Q37" s="39" t="str">
        <f>IF(O37&lt;&gt;0,C37/(VLOOKUP(O37,#REF!,2,FALSE)),"")</f>
        <v/>
      </c>
      <c r="R37" s="38"/>
      <c r="S37" s="38"/>
      <c r="T37" s="37">
        <f t="shared" si="0"/>
        <v>500</v>
      </c>
    </row>
    <row r="38" spans="2:20" s="2" customFormat="1" x14ac:dyDescent="0.2">
      <c r="B38" s="27" t="s">
        <v>34</v>
      </c>
      <c r="C38" s="20">
        <v>500</v>
      </c>
      <c r="D38" s="20">
        <v>1</v>
      </c>
      <c r="E38" s="1">
        <v>11</v>
      </c>
      <c r="F38" s="7">
        <v>42429</v>
      </c>
      <c r="G38" s="7">
        <v>42429</v>
      </c>
      <c r="H38" s="11" t="s">
        <v>12</v>
      </c>
      <c r="I38" s="11" t="s">
        <v>134</v>
      </c>
      <c r="J38" s="1">
        <v>1027836</v>
      </c>
      <c r="K38" s="13" t="s">
        <v>128</v>
      </c>
      <c r="L38" s="9">
        <v>80</v>
      </c>
      <c r="M38" s="40"/>
      <c r="N38" s="40"/>
      <c r="O38" s="41" t="s">
        <v>14</v>
      </c>
      <c r="P38" s="38"/>
      <c r="Q38" s="39" t="e">
        <f>IF(O38&lt;&gt;0,C38/(VLOOKUP(O38,#REF!,2,FALSE)),"")</f>
        <v>#REF!</v>
      </c>
      <c r="R38" s="38"/>
      <c r="S38" s="38"/>
      <c r="T38" s="37">
        <f t="shared" si="0"/>
        <v>0</v>
      </c>
    </row>
    <row r="39" spans="2:20" s="2" customFormat="1" x14ac:dyDescent="0.2">
      <c r="B39" s="42" t="s">
        <v>58</v>
      </c>
      <c r="C39" s="20"/>
      <c r="D39" s="20"/>
      <c r="E39" s="1">
        <v>12</v>
      </c>
      <c r="F39" s="7">
        <v>42429</v>
      </c>
      <c r="G39" s="7">
        <v>42429</v>
      </c>
      <c r="H39" s="11" t="s">
        <v>12</v>
      </c>
      <c r="I39" s="11" t="s">
        <v>63</v>
      </c>
      <c r="J39" s="1">
        <v>1028078</v>
      </c>
      <c r="K39" s="13" t="s">
        <v>167</v>
      </c>
      <c r="L39" s="9">
        <v>80</v>
      </c>
      <c r="M39" s="40">
        <v>500</v>
      </c>
      <c r="N39" s="40"/>
      <c r="O39" s="41" t="s">
        <v>13</v>
      </c>
      <c r="P39" s="38"/>
      <c r="Q39" s="39" t="e">
        <f>IF(O39&lt;&gt;0,C39/(VLOOKUP(O39,#REF!,2,FALSE)),"")</f>
        <v>#REF!</v>
      </c>
      <c r="R39" s="38"/>
      <c r="S39" s="38"/>
      <c r="T39" s="37">
        <f t="shared" si="0"/>
        <v>0</v>
      </c>
    </row>
    <row r="40" spans="2:20" s="2" customFormat="1" x14ac:dyDescent="0.2">
      <c r="B40" s="42" t="s">
        <v>58</v>
      </c>
      <c r="C40" s="20"/>
      <c r="D40" s="20"/>
      <c r="E40" s="1">
        <v>15</v>
      </c>
      <c r="F40" s="7">
        <v>42429</v>
      </c>
      <c r="G40" s="7">
        <v>42429</v>
      </c>
      <c r="H40" s="11" t="s">
        <v>12</v>
      </c>
      <c r="I40" s="11" t="s">
        <v>63</v>
      </c>
      <c r="J40" s="1">
        <v>1028078</v>
      </c>
      <c r="K40" s="13" t="s">
        <v>167</v>
      </c>
      <c r="L40" s="9">
        <v>80</v>
      </c>
      <c r="M40" s="40">
        <v>500</v>
      </c>
      <c r="N40" s="40"/>
      <c r="O40" s="41" t="s">
        <v>13</v>
      </c>
      <c r="P40" s="38"/>
      <c r="Q40" s="39" t="e">
        <f>IF(O40&lt;&gt;0,C40/(VLOOKUP(O40,#REF!,2,FALSE)),"")</f>
        <v>#REF!</v>
      </c>
      <c r="R40" s="38"/>
      <c r="S40" s="38"/>
      <c r="T40" s="37">
        <f t="shared" si="0"/>
        <v>0</v>
      </c>
    </row>
    <row r="41" spans="2:20" s="2" customFormat="1" x14ac:dyDescent="0.2">
      <c r="B41" s="19" t="s">
        <v>58</v>
      </c>
      <c r="C41" s="20">
        <v>500</v>
      </c>
      <c r="D41" s="20">
        <v>1</v>
      </c>
      <c r="E41" s="1">
        <v>5</v>
      </c>
      <c r="F41" s="7">
        <v>42429</v>
      </c>
      <c r="G41" s="7">
        <v>42429</v>
      </c>
      <c r="H41" s="11" t="s">
        <v>12</v>
      </c>
      <c r="I41" s="11" t="s">
        <v>63</v>
      </c>
      <c r="J41" s="1">
        <v>1028078</v>
      </c>
      <c r="K41" s="13" t="s">
        <v>167</v>
      </c>
      <c r="L41" s="9">
        <v>80</v>
      </c>
      <c r="M41" s="40"/>
      <c r="N41" s="40"/>
      <c r="O41" s="41" t="s">
        <v>13</v>
      </c>
      <c r="P41" s="38"/>
      <c r="Q41" s="39" t="e">
        <f>IF(O41&lt;&gt;0,C41/(VLOOKUP(O41,#REF!,2,FALSE)),"")</f>
        <v>#REF!</v>
      </c>
      <c r="R41" s="38"/>
      <c r="S41" s="38"/>
      <c r="T41" s="37">
        <f t="shared" si="0"/>
        <v>0</v>
      </c>
    </row>
    <row r="42" spans="2:20" s="2" customFormat="1" x14ac:dyDescent="0.2">
      <c r="B42" s="42" t="s">
        <v>58</v>
      </c>
      <c r="C42" s="20"/>
      <c r="D42" s="20"/>
      <c r="E42" s="1">
        <v>7</v>
      </c>
      <c r="F42" s="7">
        <v>42429</v>
      </c>
      <c r="G42" s="7">
        <v>42429</v>
      </c>
      <c r="H42" s="11" t="s">
        <v>12</v>
      </c>
      <c r="I42" s="11" t="s">
        <v>63</v>
      </c>
      <c r="J42" s="1">
        <v>1028078</v>
      </c>
      <c r="K42" s="13" t="s">
        <v>167</v>
      </c>
      <c r="L42" s="9">
        <v>80</v>
      </c>
      <c r="M42" s="40">
        <v>500</v>
      </c>
      <c r="N42" s="40"/>
      <c r="O42" s="41" t="s">
        <v>13</v>
      </c>
      <c r="P42" s="38"/>
      <c r="Q42" s="39" t="e">
        <f>IF(O42&lt;&gt;0,C42/(VLOOKUP(O42,#REF!,2,FALSE)),"")</f>
        <v>#REF!</v>
      </c>
      <c r="R42" s="38"/>
      <c r="S42" s="38"/>
      <c r="T42" s="37">
        <f t="shared" si="0"/>
        <v>0</v>
      </c>
    </row>
    <row r="43" spans="2:20" s="2" customFormat="1" x14ac:dyDescent="0.2">
      <c r="B43" s="27" t="s">
        <v>81</v>
      </c>
      <c r="C43" s="20">
        <v>457</v>
      </c>
      <c r="D43" s="20">
        <v>1</v>
      </c>
      <c r="E43" s="1">
        <v>6</v>
      </c>
      <c r="F43" s="7">
        <v>42422</v>
      </c>
      <c r="G43" s="7">
        <v>42422</v>
      </c>
      <c r="H43" s="11" t="s">
        <v>12</v>
      </c>
      <c r="I43" s="11" t="s">
        <v>33</v>
      </c>
      <c r="J43" s="1">
        <v>1027976</v>
      </c>
      <c r="K43" s="34" t="s">
        <v>157</v>
      </c>
      <c r="L43" s="9">
        <v>80</v>
      </c>
      <c r="M43" s="40"/>
      <c r="N43" s="40"/>
      <c r="O43" s="41" t="s">
        <v>14</v>
      </c>
      <c r="P43" s="38"/>
      <c r="Q43" s="39" t="e">
        <f>IF(O43&lt;&gt;0,C43/(VLOOKUP(O43,#REF!,2,FALSE)),"")</f>
        <v>#REF!</v>
      </c>
      <c r="R43" s="38"/>
      <c r="S43" s="38"/>
      <c r="T43" s="37">
        <f t="shared" si="0"/>
        <v>0</v>
      </c>
    </row>
    <row r="44" spans="2:20" s="2" customFormat="1" x14ac:dyDescent="0.2">
      <c r="B44" s="27" t="s">
        <v>81</v>
      </c>
      <c r="C44" s="20">
        <v>155</v>
      </c>
      <c r="D44" s="20">
        <v>1</v>
      </c>
      <c r="E44" s="1">
        <v>5</v>
      </c>
      <c r="F44" s="7">
        <v>42426</v>
      </c>
      <c r="G44" s="7">
        <v>42426</v>
      </c>
      <c r="H44" s="11" t="s">
        <v>12</v>
      </c>
      <c r="I44" s="11" t="s">
        <v>158</v>
      </c>
      <c r="J44" s="1">
        <v>1027976</v>
      </c>
      <c r="K44" s="34" t="s">
        <v>157</v>
      </c>
      <c r="L44" s="9">
        <v>80</v>
      </c>
      <c r="M44" s="40"/>
      <c r="N44" s="40"/>
      <c r="O44" s="41"/>
      <c r="P44" s="43"/>
      <c r="Q44" s="44" t="str">
        <f>IF(O44&lt;&gt;0,C44/(VLOOKUP(O44,#REF!,2,FALSE)),"")</f>
        <v/>
      </c>
      <c r="R44" s="43"/>
      <c r="S44" s="43"/>
      <c r="T44" s="37">
        <f t="shared" si="0"/>
        <v>0</v>
      </c>
    </row>
    <row r="45" spans="2:20" s="2" customFormat="1" x14ac:dyDescent="0.2">
      <c r="B45" s="42" t="s">
        <v>135</v>
      </c>
      <c r="C45" s="11"/>
      <c r="D45" s="11"/>
      <c r="E45" s="1">
        <v>10</v>
      </c>
      <c r="F45" s="7">
        <v>42418</v>
      </c>
      <c r="G45" s="7">
        <v>42418</v>
      </c>
      <c r="H45" s="11" t="s">
        <v>12</v>
      </c>
      <c r="I45" s="11" t="s">
        <v>142</v>
      </c>
      <c r="J45" s="1">
        <v>1027903</v>
      </c>
      <c r="K45" s="34" t="s">
        <v>136</v>
      </c>
      <c r="L45" s="9">
        <v>80</v>
      </c>
      <c r="M45" s="40">
        <v>419</v>
      </c>
      <c r="N45" s="40">
        <v>64</v>
      </c>
      <c r="O45" s="41" t="s">
        <v>13</v>
      </c>
      <c r="P45" s="43"/>
      <c r="Q45" s="44" t="e">
        <f>IF(O45&lt;&gt;0,C45/(VLOOKUP(O45,#REF!,2,FALSE)),"")</f>
        <v>#REF!</v>
      </c>
      <c r="R45" s="43"/>
      <c r="S45" s="43"/>
      <c r="T45" s="37">
        <f>IF(COUNTIF(P45,"*érogation*"),C45,0)</f>
        <v>0</v>
      </c>
    </row>
    <row r="46" spans="2:20" s="2" customFormat="1" ht="25.5" x14ac:dyDescent="0.2">
      <c r="B46" s="27" t="s">
        <v>135</v>
      </c>
      <c r="C46" s="11">
        <v>600</v>
      </c>
      <c r="D46" s="11">
        <v>1</v>
      </c>
      <c r="E46" s="1">
        <v>26</v>
      </c>
      <c r="F46" s="7">
        <v>42423</v>
      </c>
      <c r="G46" s="7">
        <v>42423</v>
      </c>
      <c r="H46" s="11" t="s">
        <v>12</v>
      </c>
      <c r="I46" s="11" t="s">
        <v>141</v>
      </c>
      <c r="J46" s="1">
        <v>1027903</v>
      </c>
      <c r="K46" s="34" t="s">
        <v>136</v>
      </c>
      <c r="L46" s="9">
        <v>80</v>
      </c>
      <c r="M46" s="40"/>
      <c r="N46" s="40"/>
      <c r="O46" s="41" t="s">
        <v>16</v>
      </c>
      <c r="P46" s="43"/>
      <c r="Q46" s="44" t="e">
        <f>IF(O46&lt;&gt;0,C46/(VLOOKUP(O46,#REF!,2,FALSE)),"")</f>
        <v>#REF!</v>
      </c>
      <c r="R46" s="43"/>
      <c r="S46" s="43"/>
      <c r="T46" s="37">
        <f>IF(COUNTIF(P46,"*érogation*"),C46,0)</f>
        <v>0</v>
      </c>
    </row>
    <row r="47" spans="2:20" s="2" customFormat="1" x14ac:dyDescent="0.2">
      <c r="B47" s="42" t="s">
        <v>101</v>
      </c>
      <c r="C47" s="20"/>
      <c r="D47" s="20"/>
      <c r="E47" s="1">
        <v>1</v>
      </c>
      <c r="F47" s="7">
        <v>42410</v>
      </c>
      <c r="G47" s="7">
        <v>42411</v>
      </c>
      <c r="H47" s="11" t="s">
        <v>12</v>
      </c>
      <c r="I47" s="11" t="s">
        <v>115</v>
      </c>
      <c r="J47" s="1">
        <v>1027760</v>
      </c>
      <c r="K47" s="34" t="s">
        <v>116</v>
      </c>
      <c r="L47" s="9">
        <v>80</v>
      </c>
      <c r="M47" s="40">
        <v>484</v>
      </c>
      <c r="N47" s="40"/>
      <c r="O47" s="41" t="s">
        <v>13</v>
      </c>
      <c r="P47" s="43"/>
      <c r="Q47" s="44" t="e">
        <f>IF(O47&lt;&gt;0,C47/(VLOOKUP(O47,#REF!,2,FALSE)),"")</f>
        <v>#REF!</v>
      </c>
      <c r="R47" s="43"/>
      <c r="S47" s="43"/>
      <c r="T47" s="37">
        <f t="shared" si="0"/>
        <v>0</v>
      </c>
    </row>
    <row r="48" spans="2:20" s="2" customFormat="1" x14ac:dyDescent="0.2">
      <c r="B48" s="42" t="s">
        <v>101</v>
      </c>
      <c r="C48" s="20"/>
      <c r="D48" s="20"/>
      <c r="E48" s="1">
        <v>6</v>
      </c>
      <c r="F48" s="7">
        <v>42412</v>
      </c>
      <c r="G48" s="7">
        <v>42412</v>
      </c>
      <c r="H48" s="11" t="s">
        <v>12</v>
      </c>
      <c r="I48" s="11" t="s">
        <v>118</v>
      </c>
      <c r="J48" s="1">
        <v>1027761</v>
      </c>
      <c r="K48" s="34" t="s">
        <v>119</v>
      </c>
      <c r="L48" s="9">
        <v>80</v>
      </c>
      <c r="M48" s="40">
        <v>600</v>
      </c>
      <c r="N48" s="40"/>
      <c r="O48" s="41" t="s">
        <v>14</v>
      </c>
      <c r="P48" s="38"/>
      <c r="Q48" s="39" t="e">
        <f>IF(O48&lt;&gt;0,C48/(VLOOKUP(O48,#REF!,2,FALSE)),"")</f>
        <v>#REF!</v>
      </c>
      <c r="R48" s="38"/>
      <c r="S48" s="38"/>
      <c r="T48" s="37">
        <f t="shared" si="0"/>
        <v>0</v>
      </c>
    </row>
    <row r="49" spans="2:20" s="2" customFormat="1" x14ac:dyDescent="0.2">
      <c r="B49" s="27" t="s">
        <v>45</v>
      </c>
      <c r="C49" s="11">
        <v>600</v>
      </c>
      <c r="D49" s="11">
        <v>1</v>
      </c>
      <c r="E49" s="1">
        <v>11</v>
      </c>
      <c r="F49" s="7">
        <v>42421</v>
      </c>
      <c r="G49" s="7">
        <v>42421</v>
      </c>
      <c r="H49" s="11" t="s">
        <v>12</v>
      </c>
      <c r="I49" s="11" t="s">
        <v>148</v>
      </c>
      <c r="J49" s="1">
        <v>1027883</v>
      </c>
      <c r="K49" s="34" t="s">
        <v>137</v>
      </c>
      <c r="L49" s="9">
        <v>80</v>
      </c>
      <c r="M49" s="40"/>
      <c r="N49" s="40"/>
      <c r="O49" s="41" t="s">
        <v>14</v>
      </c>
      <c r="P49" s="43"/>
      <c r="Q49" s="44" t="e">
        <f>IF(O49&lt;&gt;0,C49/(VLOOKUP(O49,#REF!,2,FALSE)),"")</f>
        <v>#REF!</v>
      </c>
      <c r="R49" s="43"/>
      <c r="S49" s="43"/>
      <c r="T49" s="37">
        <f t="shared" si="0"/>
        <v>0</v>
      </c>
    </row>
    <row r="50" spans="2:20" s="2" customFormat="1" x14ac:dyDescent="0.2">
      <c r="B50" s="27" t="s">
        <v>45</v>
      </c>
      <c r="C50" s="11">
        <v>600</v>
      </c>
      <c r="D50" s="11">
        <v>1</v>
      </c>
      <c r="E50" s="1">
        <v>6</v>
      </c>
      <c r="F50" s="7">
        <v>42424</v>
      </c>
      <c r="G50" s="7">
        <v>42424</v>
      </c>
      <c r="H50" s="11" t="s">
        <v>12</v>
      </c>
      <c r="I50" s="11" t="s">
        <v>149</v>
      </c>
      <c r="J50" s="1">
        <v>1027883</v>
      </c>
      <c r="K50" s="34" t="s">
        <v>137</v>
      </c>
      <c r="L50" s="9">
        <v>80</v>
      </c>
      <c r="M50" s="40"/>
      <c r="N50" s="40"/>
      <c r="O50" s="41" t="s">
        <v>14</v>
      </c>
      <c r="P50" s="43"/>
      <c r="Q50" s="44" t="e">
        <f>IF(O50&lt;&gt;0,C50/(VLOOKUP(O50,#REF!,2,FALSE)),"")</f>
        <v>#REF!</v>
      </c>
      <c r="R50" s="43"/>
      <c r="S50" s="43"/>
      <c r="T50" s="37">
        <f t="shared" si="0"/>
        <v>0</v>
      </c>
    </row>
    <row r="51" spans="2:20" s="2" customFormat="1" x14ac:dyDescent="0.2">
      <c r="B51" s="27" t="s">
        <v>45</v>
      </c>
      <c r="C51" s="11">
        <v>449</v>
      </c>
      <c r="D51" s="11">
        <v>1</v>
      </c>
      <c r="E51" s="1">
        <v>1</v>
      </c>
      <c r="F51" s="7">
        <v>42424</v>
      </c>
      <c r="G51" s="7">
        <v>42424</v>
      </c>
      <c r="H51" s="11" t="s">
        <v>12</v>
      </c>
      <c r="I51" s="11" t="s">
        <v>87</v>
      </c>
      <c r="J51" s="1">
        <v>1027883</v>
      </c>
      <c r="K51" s="34" t="s">
        <v>137</v>
      </c>
      <c r="L51" s="9">
        <v>80</v>
      </c>
      <c r="M51" s="40"/>
      <c r="N51" s="40"/>
      <c r="O51" s="41" t="s">
        <v>13</v>
      </c>
      <c r="P51" s="43"/>
      <c r="Q51" s="44" t="e">
        <f>IF(O51&lt;&gt;0,C51/(VLOOKUP(O51,#REF!,2,FALSE)),"")</f>
        <v>#REF!</v>
      </c>
      <c r="R51" s="43"/>
      <c r="S51" s="43"/>
      <c r="T51" s="37">
        <f t="shared" si="0"/>
        <v>0</v>
      </c>
    </row>
    <row r="52" spans="2:20" s="2" customFormat="1" x14ac:dyDescent="0.2">
      <c r="B52" s="27" t="s">
        <v>45</v>
      </c>
      <c r="C52" s="11">
        <v>600</v>
      </c>
      <c r="D52" s="11">
        <v>1</v>
      </c>
      <c r="E52" s="1">
        <v>13</v>
      </c>
      <c r="F52" s="7">
        <v>42423</v>
      </c>
      <c r="G52" s="7">
        <v>42423</v>
      </c>
      <c r="H52" s="11" t="s">
        <v>12</v>
      </c>
      <c r="I52" s="11" t="s">
        <v>53</v>
      </c>
      <c r="J52" s="1">
        <v>1027883</v>
      </c>
      <c r="K52" s="34" t="s">
        <v>137</v>
      </c>
      <c r="L52" s="9">
        <v>80</v>
      </c>
      <c r="M52" s="40"/>
      <c r="N52" s="40"/>
      <c r="O52" s="41"/>
      <c r="P52" s="43"/>
      <c r="Q52" s="44" t="str">
        <f>IF(O52&lt;&gt;0,C52/(VLOOKUP(O52,#REF!,2,FALSE)),"")</f>
        <v/>
      </c>
      <c r="R52" s="43"/>
      <c r="S52" s="43"/>
      <c r="T52" s="37">
        <f t="shared" ref="T52:T60" si="1">IF(COUNTIF(P52,"*érogation*"),C52,0)</f>
        <v>0</v>
      </c>
    </row>
    <row r="53" spans="2:20" s="2" customFormat="1" x14ac:dyDescent="0.2">
      <c r="B53" s="27" t="s">
        <v>36</v>
      </c>
      <c r="C53" s="11">
        <v>450</v>
      </c>
      <c r="D53" s="11">
        <v>1</v>
      </c>
      <c r="E53" s="1">
        <v>12</v>
      </c>
      <c r="F53" s="7">
        <v>42425</v>
      </c>
      <c r="G53" s="7">
        <v>42425</v>
      </c>
      <c r="H53" s="11" t="s">
        <v>12</v>
      </c>
      <c r="I53" s="11" t="s">
        <v>53</v>
      </c>
      <c r="J53" s="1">
        <v>1027758</v>
      </c>
      <c r="K53" s="34" t="s">
        <v>146</v>
      </c>
      <c r="L53" s="9">
        <v>80</v>
      </c>
      <c r="M53" s="40"/>
      <c r="N53" s="40"/>
      <c r="O53" s="41"/>
      <c r="P53" s="43"/>
      <c r="Q53" s="44" t="str">
        <f>IF(O53&lt;&gt;0,C53/(VLOOKUP(O53,#REF!,2,FALSE)),"")</f>
        <v/>
      </c>
      <c r="R53" s="43"/>
      <c r="S53" s="43"/>
      <c r="T53" s="37">
        <f>IF(COUNTIF(P53,"*érogation*"),C53,0)</f>
        <v>0</v>
      </c>
    </row>
    <row r="54" spans="2:20" s="2" customFormat="1" x14ac:dyDescent="0.2">
      <c r="B54" s="27" t="s">
        <v>36</v>
      </c>
      <c r="C54" s="11">
        <v>450</v>
      </c>
      <c r="D54" s="11">
        <v>1</v>
      </c>
      <c r="E54" s="1">
        <v>16</v>
      </c>
      <c r="F54" s="7">
        <v>42425</v>
      </c>
      <c r="G54" s="7">
        <v>42425</v>
      </c>
      <c r="H54" s="11" t="s">
        <v>12</v>
      </c>
      <c r="I54" s="11" t="s">
        <v>53</v>
      </c>
      <c r="J54" s="1">
        <v>1027758</v>
      </c>
      <c r="K54" s="34" t="s">
        <v>146</v>
      </c>
      <c r="L54" s="9">
        <v>80</v>
      </c>
      <c r="M54" s="40"/>
      <c r="N54" s="40"/>
      <c r="O54" s="41"/>
      <c r="P54" s="43"/>
      <c r="Q54" s="44" t="str">
        <f>IF(O54&lt;&gt;0,C54/(VLOOKUP(O54,#REF!,2,FALSE)),"")</f>
        <v/>
      </c>
      <c r="R54" s="43"/>
      <c r="S54" s="43"/>
      <c r="T54" s="37">
        <f>IF(COUNTIF(P54,"*érogation*"),C54,0)</f>
        <v>0</v>
      </c>
    </row>
    <row r="55" spans="2:20" s="2" customFormat="1" x14ac:dyDescent="0.2">
      <c r="B55" s="27" t="s">
        <v>36</v>
      </c>
      <c r="C55" s="11">
        <v>450</v>
      </c>
      <c r="D55" s="11">
        <v>1</v>
      </c>
      <c r="E55" s="1">
        <v>25</v>
      </c>
      <c r="F55" s="7">
        <v>42425</v>
      </c>
      <c r="G55" s="7">
        <v>42425</v>
      </c>
      <c r="H55" s="11" t="s">
        <v>12</v>
      </c>
      <c r="I55" s="11" t="s">
        <v>151</v>
      </c>
      <c r="J55" s="1">
        <v>1027758</v>
      </c>
      <c r="K55" s="34" t="s">
        <v>146</v>
      </c>
      <c r="L55" s="9">
        <v>80</v>
      </c>
      <c r="M55" s="40"/>
      <c r="N55" s="40"/>
      <c r="O55" s="41"/>
      <c r="P55" s="43"/>
      <c r="Q55" s="44" t="str">
        <f>IF(O55&lt;&gt;0,C55/(VLOOKUP(O55,#REF!,2,FALSE)),"")</f>
        <v/>
      </c>
      <c r="R55" s="43"/>
      <c r="S55" s="43"/>
      <c r="T55" s="37">
        <f>IF(COUNTIF(P55,"*érogation*"),C55,0)</f>
        <v>0</v>
      </c>
    </row>
    <row r="56" spans="2:20" s="2" customFormat="1" x14ac:dyDescent="0.2">
      <c r="B56" s="27" t="s">
        <v>36</v>
      </c>
      <c r="C56" s="11">
        <v>450</v>
      </c>
      <c r="D56" s="11">
        <v>1</v>
      </c>
      <c r="E56" s="1">
        <v>24</v>
      </c>
      <c r="F56" s="7">
        <v>42425</v>
      </c>
      <c r="G56" s="7">
        <v>42425</v>
      </c>
      <c r="H56" s="11" t="s">
        <v>12</v>
      </c>
      <c r="I56" s="11" t="s">
        <v>151</v>
      </c>
      <c r="J56" s="1">
        <v>1027758</v>
      </c>
      <c r="K56" s="34" t="s">
        <v>146</v>
      </c>
      <c r="L56" s="9">
        <v>80</v>
      </c>
      <c r="M56" s="40"/>
      <c r="N56" s="40"/>
      <c r="O56" s="41"/>
      <c r="P56" s="43"/>
      <c r="Q56" s="44" t="str">
        <f>IF(O56&lt;&gt;0,C56/(VLOOKUP(O56,#REF!,2,FALSE)),"")</f>
        <v/>
      </c>
      <c r="R56" s="43"/>
      <c r="S56" s="43"/>
      <c r="T56" s="37">
        <f>IF(COUNTIF(P56,"*érogation*"),C56,0)</f>
        <v>0</v>
      </c>
    </row>
    <row r="57" spans="2:20" s="2" customFormat="1" x14ac:dyDescent="0.2">
      <c r="B57" s="27" t="s">
        <v>36</v>
      </c>
      <c r="C57" s="20">
        <v>178</v>
      </c>
      <c r="D57" s="20">
        <v>1</v>
      </c>
      <c r="E57" s="1">
        <v>2</v>
      </c>
      <c r="F57" s="7">
        <v>42424</v>
      </c>
      <c r="G57" s="7">
        <v>42424</v>
      </c>
      <c r="H57" s="11" t="s">
        <v>12</v>
      </c>
      <c r="I57" s="11" t="s">
        <v>53</v>
      </c>
      <c r="J57" s="1">
        <v>1027758</v>
      </c>
      <c r="K57" s="34" t="s">
        <v>146</v>
      </c>
      <c r="L57" s="9">
        <v>80</v>
      </c>
      <c r="M57" s="40"/>
      <c r="N57" s="40"/>
      <c r="O57" s="41"/>
      <c r="P57" s="38"/>
      <c r="Q57" s="39" t="str">
        <f>IF(O57&lt;&gt;0,C57/(VLOOKUP(O57,#REF!,2,FALSE)),"")</f>
        <v/>
      </c>
      <c r="R57" s="38"/>
      <c r="S57" s="38"/>
      <c r="T57" s="37">
        <f t="shared" si="1"/>
        <v>0</v>
      </c>
    </row>
    <row r="58" spans="2:20" s="2" customFormat="1" x14ac:dyDescent="0.2">
      <c r="B58" s="27" t="s">
        <v>36</v>
      </c>
      <c r="C58" s="20">
        <v>450</v>
      </c>
      <c r="D58" s="20">
        <v>1</v>
      </c>
      <c r="E58" s="1">
        <v>13</v>
      </c>
      <c r="F58" s="7">
        <v>42387</v>
      </c>
      <c r="G58" s="7">
        <v>42387</v>
      </c>
      <c r="H58" s="11" t="s">
        <v>12</v>
      </c>
      <c r="I58" s="51" t="s">
        <v>127</v>
      </c>
      <c r="J58" s="1">
        <v>1026827</v>
      </c>
      <c r="K58" s="34" t="s">
        <v>72</v>
      </c>
      <c r="L58" s="9">
        <v>80</v>
      </c>
      <c r="M58" s="40"/>
      <c r="N58" s="40"/>
      <c r="O58" s="41"/>
      <c r="P58" s="43"/>
      <c r="Q58" s="44" t="str">
        <f>IF(O58&lt;&gt;0,C58/(VLOOKUP(O58,#REF!,2,FALSE)),"")</f>
        <v/>
      </c>
      <c r="R58" s="43"/>
      <c r="S58" s="43"/>
      <c r="T58" s="37">
        <f t="shared" si="1"/>
        <v>0</v>
      </c>
    </row>
    <row r="59" spans="2:20" s="2" customFormat="1" x14ac:dyDescent="0.2">
      <c r="B59" s="45" t="s">
        <v>99</v>
      </c>
      <c r="C59" s="11">
        <v>1100</v>
      </c>
      <c r="D59" s="11">
        <v>1</v>
      </c>
      <c r="E59" s="1">
        <v>9</v>
      </c>
      <c r="F59" s="7">
        <v>42416</v>
      </c>
      <c r="G59" s="7">
        <v>42416</v>
      </c>
      <c r="H59" s="11" t="s">
        <v>12</v>
      </c>
      <c r="I59" s="11" t="s">
        <v>129</v>
      </c>
      <c r="J59" s="1">
        <v>1027834</v>
      </c>
      <c r="K59" s="34" t="s">
        <v>126</v>
      </c>
      <c r="L59" s="9">
        <v>80</v>
      </c>
      <c r="M59" s="40"/>
      <c r="N59" s="40"/>
      <c r="O59" s="41" t="s">
        <v>13</v>
      </c>
      <c r="P59" s="38"/>
      <c r="Q59" s="39" t="e">
        <f>IF(O59&lt;&gt;0,C59/(VLOOKUP(O59,#REF!,2,FALSE)),"")</f>
        <v>#REF!</v>
      </c>
      <c r="R59" s="38"/>
      <c r="S59" s="38"/>
      <c r="T59" s="37">
        <f t="shared" si="1"/>
        <v>0</v>
      </c>
    </row>
    <row r="60" spans="2:20" s="2" customFormat="1" x14ac:dyDescent="0.2">
      <c r="B60" s="45" t="s">
        <v>99</v>
      </c>
      <c r="C60" s="11">
        <v>210</v>
      </c>
      <c r="D60" s="11">
        <v>1</v>
      </c>
      <c r="E60" s="1">
        <v>13</v>
      </c>
      <c r="F60" s="7">
        <v>42416</v>
      </c>
      <c r="G60" s="7">
        <v>42416</v>
      </c>
      <c r="H60" s="11" t="s">
        <v>12</v>
      </c>
      <c r="I60" s="11" t="s">
        <v>100</v>
      </c>
      <c r="J60" s="1">
        <v>1027834</v>
      </c>
      <c r="K60" s="34" t="s">
        <v>126</v>
      </c>
      <c r="L60" s="9">
        <v>80</v>
      </c>
      <c r="M60" s="40"/>
      <c r="N60" s="40"/>
      <c r="O60" s="41" t="s">
        <v>13</v>
      </c>
      <c r="P60" s="43"/>
      <c r="Q60" s="44" t="e">
        <f>IF(O60&lt;&gt;0,C60/(VLOOKUP(O60,#REF!,2,FALSE)),"")</f>
        <v>#REF!</v>
      </c>
      <c r="R60" s="43"/>
      <c r="S60" s="43"/>
      <c r="T60" s="37">
        <f t="shared" si="1"/>
        <v>0</v>
      </c>
    </row>
    <row r="61" spans="2:20" s="2" customFormat="1" x14ac:dyDescent="0.2">
      <c r="B61" s="19" t="s">
        <v>107</v>
      </c>
      <c r="C61" s="20">
        <v>1000</v>
      </c>
      <c r="D61" s="11">
        <v>1</v>
      </c>
      <c r="E61" s="1">
        <v>10</v>
      </c>
      <c r="F61" s="7">
        <v>42430</v>
      </c>
      <c r="G61" s="7">
        <v>42430</v>
      </c>
      <c r="H61" s="11" t="s">
        <v>12</v>
      </c>
      <c r="I61" s="11" t="s">
        <v>108</v>
      </c>
      <c r="J61" s="1">
        <v>1027978</v>
      </c>
      <c r="K61" s="34" t="s">
        <v>168</v>
      </c>
      <c r="L61" s="9">
        <v>80</v>
      </c>
      <c r="M61" s="40"/>
      <c r="N61" s="40"/>
      <c r="O61" s="41" t="s">
        <v>13</v>
      </c>
      <c r="P61" s="38"/>
      <c r="Q61" s="39" t="e">
        <f>IF(O61&lt;&gt;0,C61/(VLOOKUP(O61,#REF!,2,FALSE)),"")</f>
        <v>#REF!</v>
      </c>
      <c r="R61" s="38"/>
      <c r="S61" s="38"/>
      <c r="T61" s="37">
        <f>IF(COUNTIF(P61,"*érogation*"),C61,0)</f>
        <v>0</v>
      </c>
    </row>
    <row r="62" spans="2:20" s="2" customFormat="1" x14ac:dyDescent="0.2">
      <c r="B62" s="19" t="s">
        <v>107</v>
      </c>
      <c r="C62" s="20">
        <v>1000</v>
      </c>
      <c r="D62" s="11">
        <v>1</v>
      </c>
      <c r="E62" s="1">
        <v>12</v>
      </c>
      <c r="F62" s="7">
        <v>42430</v>
      </c>
      <c r="G62" s="7">
        <v>42430</v>
      </c>
      <c r="H62" s="11" t="s">
        <v>12</v>
      </c>
      <c r="I62" s="11" t="s">
        <v>108</v>
      </c>
      <c r="J62" s="1">
        <v>1027978</v>
      </c>
      <c r="K62" s="34" t="s">
        <v>168</v>
      </c>
      <c r="L62" s="9">
        <v>80</v>
      </c>
      <c r="M62" s="40"/>
      <c r="N62" s="40"/>
      <c r="O62" s="41" t="s">
        <v>13</v>
      </c>
      <c r="P62" s="38"/>
      <c r="Q62" s="39" t="e">
        <f>IF(O62&lt;&gt;0,C62/(VLOOKUP(O62,#REF!,2,FALSE)),"")</f>
        <v>#REF!</v>
      </c>
      <c r="R62" s="38"/>
      <c r="S62" s="38"/>
      <c r="T62" s="37">
        <f>IF(COUNTIF(P62,"*érogation*"),C62,0)</f>
        <v>0</v>
      </c>
    </row>
    <row r="63" spans="2:20" s="2" customFormat="1" x14ac:dyDescent="0.2">
      <c r="B63" s="19" t="s">
        <v>107</v>
      </c>
      <c r="C63" s="20">
        <v>1000</v>
      </c>
      <c r="D63" s="11">
        <v>1</v>
      </c>
      <c r="E63" s="1">
        <v>8</v>
      </c>
      <c r="F63" s="7">
        <v>42430</v>
      </c>
      <c r="G63" s="7">
        <v>42430</v>
      </c>
      <c r="H63" s="11" t="s">
        <v>12</v>
      </c>
      <c r="I63" s="11" t="s">
        <v>108</v>
      </c>
      <c r="J63" s="1">
        <v>1027978</v>
      </c>
      <c r="K63" s="34" t="s">
        <v>168</v>
      </c>
      <c r="L63" s="9">
        <v>80</v>
      </c>
      <c r="M63" s="40"/>
      <c r="N63" s="40"/>
      <c r="O63" s="41" t="s">
        <v>13</v>
      </c>
      <c r="P63" s="38"/>
      <c r="Q63" s="39" t="e">
        <f>IF(O63&lt;&gt;0,C63/(VLOOKUP(O63,#REF!,2,FALSE)),"")</f>
        <v>#REF!</v>
      </c>
      <c r="R63" s="38"/>
      <c r="S63" s="38"/>
      <c r="T63" s="37">
        <f>IF(COUNTIF(P63,"*érogation*"),C63,0)</f>
        <v>0</v>
      </c>
    </row>
    <row r="64" spans="2:20" s="2" customFormat="1" x14ac:dyDescent="0.2">
      <c r="B64" s="19" t="s">
        <v>107</v>
      </c>
      <c r="C64" s="20">
        <v>1000</v>
      </c>
      <c r="D64" s="11">
        <v>1</v>
      </c>
      <c r="E64" s="1">
        <v>7</v>
      </c>
      <c r="F64" s="7">
        <v>42430</v>
      </c>
      <c r="G64" s="7">
        <v>42430</v>
      </c>
      <c r="H64" s="11" t="s">
        <v>12</v>
      </c>
      <c r="I64" s="11" t="s">
        <v>108</v>
      </c>
      <c r="J64" s="1">
        <v>1027978</v>
      </c>
      <c r="K64" s="34" t="s">
        <v>168</v>
      </c>
      <c r="L64" s="9">
        <v>80</v>
      </c>
      <c r="M64" s="40"/>
      <c r="N64" s="40"/>
      <c r="O64" s="41" t="s">
        <v>13</v>
      </c>
      <c r="P64" s="38"/>
      <c r="Q64" s="39" t="e">
        <f>IF(O64&lt;&gt;0,C64/(VLOOKUP(O64,#REF!,2,FALSE)),"")</f>
        <v>#REF!</v>
      </c>
      <c r="R64" s="38"/>
      <c r="S64" s="38"/>
      <c r="T64" s="37">
        <f>IF(COUNTIF(P64,"*érogation*"),C64,0)</f>
        <v>0</v>
      </c>
    </row>
    <row r="65" spans="2:20" s="2" customFormat="1" x14ac:dyDescent="0.2">
      <c r="B65" s="19" t="s">
        <v>107</v>
      </c>
      <c r="C65" s="20">
        <v>1000</v>
      </c>
      <c r="D65" s="20">
        <v>1</v>
      </c>
      <c r="E65" s="1">
        <v>9</v>
      </c>
      <c r="F65" s="7">
        <v>42429</v>
      </c>
      <c r="G65" s="7">
        <v>42429</v>
      </c>
      <c r="H65" s="11" t="s">
        <v>12</v>
      </c>
      <c r="I65" s="11" t="s">
        <v>108</v>
      </c>
      <c r="J65" s="1">
        <v>1027978</v>
      </c>
      <c r="K65" s="34" t="s">
        <v>168</v>
      </c>
      <c r="L65" s="9">
        <v>80</v>
      </c>
      <c r="M65" s="40"/>
      <c r="N65" s="40"/>
      <c r="O65" s="41" t="s">
        <v>13</v>
      </c>
      <c r="P65" s="38"/>
      <c r="Q65" s="39" t="e">
        <f>IF(O65&lt;&gt;0,C65/(VLOOKUP(O65,#REF!,2,FALSE)),"")</f>
        <v>#REF!</v>
      </c>
      <c r="R65" s="38"/>
      <c r="S65" s="38"/>
      <c r="T65" s="37">
        <f>IF(COUNTIF(P65,"*érogation*"),C65,0)</f>
        <v>0</v>
      </c>
    </row>
    <row r="66" spans="2:20" x14ac:dyDescent="0.2">
      <c r="B66" s="48" t="s">
        <v>15</v>
      </c>
      <c r="C66" s="49">
        <f>SUBTOTAL(109,Liste1_737578185102118131_6152_4169_14199_2221_4242_2257_18299320363386411414421426432439447456475486498234567891023456789111213141523456789101112131416171817202122232345678910111213141516171819212224[Nombre de pièces])</f>
        <v>23758</v>
      </c>
      <c r="D66" s="49">
        <f>SUBTOTAL(109,Liste1_737578185102118131_6152_4169_14199_2221_4242_2257_18299320363386411414421426432439447456475486498234567891023456789111213141523456789101112131416171817202122232345678910111213141516171819212224[[Nombre de bacs ]])</f>
        <v>38</v>
      </c>
      <c r="E66" s="49"/>
      <c r="F66" s="49"/>
      <c r="G66" s="49"/>
      <c r="H66" s="49"/>
      <c r="I66" s="49"/>
      <c r="J66" s="49"/>
      <c r="K66" s="26"/>
      <c r="L66" s="49"/>
      <c r="M66" s="49">
        <f>SUBTOTAL(109,Liste1_737578185102118131_6152_4169_14199_2221_4242_2257_18299320363386411414421426432439447456475486498234567891023456789111213141523456789101112131416171817202122232345678910111213141516171819212224[Débloquées])</f>
        <v>15964</v>
      </c>
      <c r="N66" s="49">
        <f>SUBTOTAL(109,Liste1_737578185102118131_6152_4169_14199_2221_4242_2257_18299320363386411414421426432439447456475486498234567891023456789111213141523456789101112131416171817202122232345678910111213141516171819212224[[Rebutées ]])</f>
        <v>420</v>
      </c>
      <c r="O66" s="49"/>
      <c r="P66" s="49"/>
      <c r="Q66" s="50" t="e">
        <f>SUBTOTAL(109,Liste1_737578185102118131_6152_4169_14199_2221_4242_2257_18299320363386411414421426432439447456475486498234567891023456789111213141523456789101112131416171817202122232345678910111213141516171819212224[Durée de tri (h)])</f>
        <v>#REF!</v>
      </c>
      <c r="R66" s="49"/>
      <c r="S66" s="50">
        <f>SUBTOTAL(109,Liste1_737578185102118131_6152_4169_14199_2221_4242_2257_18299320363386411414421426432439447456475486498234567891023456789111213141523456789101112131416171817202122232345678910111213141516171819212224[Efficience tri])</f>
        <v>0</v>
      </c>
      <c r="T66" s="49">
        <f>SUBTOTAL(109,Liste1_737578185102118131_6152_4169_14199_2221_4242_2257_18299320363386411414421426432439447456475486498234567891023456789111213141523456789101112131416171817202122232345678910111213141516171819212224[Attente Dérogation])</f>
        <v>1110</v>
      </c>
    </row>
    <row r="73" spans="2:20" x14ac:dyDescent="0.2">
      <c r="D73" s="54"/>
      <c r="E73" s="16" t="s">
        <v>165</v>
      </c>
    </row>
    <row r="75" spans="2:20" x14ac:dyDescent="0.2">
      <c r="D75" s="47"/>
      <c r="E75" s="16"/>
    </row>
    <row r="76" spans="2:20" ht="12" customHeight="1" x14ac:dyDescent="0.2"/>
    <row r="79" spans="2:20" x14ac:dyDescent="0.2">
      <c r="E79" s="47"/>
    </row>
    <row r="81" spans="5:5" x14ac:dyDescent="0.2">
      <c r="E81" s="47"/>
    </row>
  </sheetData>
  <conditionalFormatting sqref="B1:B3 K1:K3 B67:B65514 K67:K65514">
    <cfRule type="expression" dxfId="6" priority="1" stopIfTrue="1">
      <formula>VLOOKUP(LEFT($B1,8),#REF!,1,0)=LEFT($B1,8)</formula>
    </cfRule>
  </conditionalFormatting>
  <dataValidations count="2">
    <dataValidation type="list" allowBlank="1" showInputMessage="1" showErrorMessage="1" sqref="O4:O65">
      <formula1>"Montage,Montage + Visuel,Visuel"</formula1>
    </dataValidation>
    <dataValidation type="list" allowBlank="1" showInputMessage="1" showErrorMessage="1" sqref="P4:P65">
      <formula1>"Dérogation (décision client),Attente décision interne,OK QUA"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T66"/>
  <sheetViews>
    <sheetView topLeftCell="H1" zoomScale="80" zoomScaleNormal="80" workbookViewId="0">
      <selection activeCell="I33" sqref="I33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19" t="s">
        <v>42</v>
      </c>
      <c r="C4" s="20">
        <v>146</v>
      </c>
      <c r="D4" s="20">
        <v>1</v>
      </c>
      <c r="E4" s="11">
        <v>6</v>
      </c>
      <c r="F4" s="7">
        <v>42424</v>
      </c>
      <c r="G4" s="7">
        <v>42429</v>
      </c>
      <c r="H4" s="11" t="s">
        <v>12</v>
      </c>
      <c r="I4" s="11" t="s">
        <v>88</v>
      </c>
      <c r="J4" s="1">
        <v>1027951</v>
      </c>
      <c r="K4" s="34" t="s">
        <v>166</v>
      </c>
      <c r="L4" s="9">
        <v>80</v>
      </c>
      <c r="M4" s="40"/>
      <c r="N4" s="40"/>
      <c r="O4" s="41" t="s">
        <v>13</v>
      </c>
      <c r="P4" s="38"/>
      <c r="Q4" s="39" t="e">
        <f>IF(O4&lt;&gt;0,C4/(VLOOKUP(O4,#REF!,2,FALSE)),"")</f>
        <v>#REF!</v>
      </c>
      <c r="R4" s="38"/>
      <c r="S4" s="38"/>
      <c r="T4" s="37">
        <f t="shared" ref="T4:T42" si="0">IF(COUNTIF(P4,"*érogation*"),C4,0)</f>
        <v>0</v>
      </c>
    </row>
    <row r="5" spans="1:20" s="2" customFormat="1" x14ac:dyDescent="0.2">
      <c r="B5" s="42" t="s">
        <v>46</v>
      </c>
      <c r="C5" s="11"/>
      <c r="D5" s="11"/>
      <c r="E5" s="11">
        <v>23</v>
      </c>
      <c r="F5" s="7">
        <v>42423</v>
      </c>
      <c r="G5" s="7">
        <v>42423</v>
      </c>
      <c r="H5" s="33" t="s">
        <v>12</v>
      </c>
      <c r="I5" s="11" t="s">
        <v>138</v>
      </c>
      <c r="J5" s="1">
        <v>1027823</v>
      </c>
      <c r="K5" s="34" t="s">
        <v>139</v>
      </c>
      <c r="L5" s="9">
        <v>80</v>
      </c>
      <c r="M5" s="40">
        <v>800</v>
      </c>
      <c r="N5" s="40"/>
      <c r="O5" s="41" t="s">
        <v>14</v>
      </c>
      <c r="P5" s="43"/>
      <c r="Q5" s="44" t="e">
        <f>IF(O5&lt;&gt;0,C5/(VLOOKUP(O5,#REF!,2,FALSE)),"")</f>
        <v>#REF!</v>
      </c>
      <c r="R5" s="43"/>
      <c r="S5" s="43"/>
      <c r="T5" s="37">
        <f t="shared" si="0"/>
        <v>0</v>
      </c>
    </row>
    <row r="6" spans="1:20" s="2" customFormat="1" ht="25.5" x14ac:dyDescent="0.2">
      <c r="B6" s="27" t="s">
        <v>46</v>
      </c>
      <c r="C6" s="20">
        <v>800</v>
      </c>
      <c r="D6" s="20">
        <v>1</v>
      </c>
      <c r="E6" s="1">
        <v>2</v>
      </c>
      <c r="F6" s="7">
        <v>42268</v>
      </c>
      <c r="G6" s="7">
        <v>42376</v>
      </c>
      <c r="H6" s="11" t="s">
        <v>12</v>
      </c>
      <c r="I6" s="11" t="s">
        <v>56</v>
      </c>
      <c r="J6" s="1">
        <v>1023105</v>
      </c>
      <c r="K6" s="13" t="s">
        <v>55</v>
      </c>
      <c r="L6" s="9">
        <v>80</v>
      </c>
      <c r="M6" s="40"/>
      <c r="N6" s="40"/>
      <c r="O6" s="41"/>
      <c r="P6" s="43" t="s">
        <v>31</v>
      </c>
      <c r="Q6" s="39" t="str">
        <f>IF(O6&lt;&gt;0,C6/(VLOOKUP(O6,#REF!,2,FALSE)),"")</f>
        <v/>
      </c>
      <c r="R6" s="38"/>
      <c r="S6" s="38"/>
      <c r="T6" s="37">
        <f t="shared" si="0"/>
        <v>0</v>
      </c>
    </row>
    <row r="7" spans="1:20" s="2" customFormat="1" ht="25.5" x14ac:dyDescent="0.2">
      <c r="B7" s="27" t="s">
        <v>46</v>
      </c>
      <c r="C7" s="20">
        <v>504</v>
      </c>
      <c r="D7" s="20">
        <v>1</v>
      </c>
      <c r="E7" s="1">
        <v>1</v>
      </c>
      <c r="F7" s="7">
        <v>42268</v>
      </c>
      <c r="G7" s="7">
        <v>42376</v>
      </c>
      <c r="H7" s="11" t="s">
        <v>12</v>
      </c>
      <c r="I7" s="11" t="s">
        <v>56</v>
      </c>
      <c r="J7" s="1">
        <v>1023105</v>
      </c>
      <c r="K7" s="13" t="s">
        <v>55</v>
      </c>
      <c r="L7" s="9">
        <v>80</v>
      </c>
      <c r="M7" s="40"/>
      <c r="N7" s="40"/>
      <c r="O7" s="41"/>
      <c r="P7" s="43" t="s">
        <v>31</v>
      </c>
      <c r="Q7" s="39" t="str">
        <f>IF(O7&lt;&gt;0,C7/(VLOOKUP(O7,#REF!,2,FALSE)),"")</f>
        <v/>
      </c>
      <c r="R7" s="38"/>
      <c r="S7" s="38"/>
      <c r="T7" s="37">
        <f t="shared" si="0"/>
        <v>0</v>
      </c>
    </row>
    <row r="8" spans="1:20" s="2" customFormat="1" x14ac:dyDescent="0.2">
      <c r="B8" s="19" t="s">
        <v>110</v>
      </c>
      <c r="C8" s="20">
        <v>950</v>
      </c>
      <c r="D8" s="20">
        <v>1</v>
      </c>
      <c r="E8" s="1">
        <v>3</v>
      </c>
      <c r="F8" s="7">
        <v>42423</v>
      </c>
      <c r="G8" s="7">
        <v>42423</v>
      </c>
      <c r="H8" s="11" t="s">
        <v>12</v>
      </c>
      <c r="I8" s="11" t="s">
        <v>159</v>
      </c>
      <c r="J8" s="1">
        <v>1027952</v>
      </c>
      <c r="K8" s="34" t="s">
        <v>160</v>
      </c>
      <c r="L8" s="9">
        <v>80</v>
      </c>
      <c r="M8" s="40"/>
      <c r="N8" s="40"/>
      <c r="O8" s="41" t="s">
        <v>13</v>
      </c>
      <c r="P8" s="38"/>
      <c r="Q8" s="39" t="e">
        <f>IF(O8&lt;&gt;0,C8/(VLOOKUP(O8,#REF!,2,FALSE)),"")</f>
        <v>#REF!</v>
      </c>
      <c r="R8" s="38"/>
      <c r="S8" s="38"/>
      <c r="T8" s="37">
        <f>IF(COUNTIF(P8,"*érogation*"),C8,0)</f>
        <v>0</v>
      </c>
    </row>
    <row r="9" spans="1:20" s="2" customFormat="1" x14ac:dyDescent="0.2">
      <c r="B9" s="19" t="s">
        <v>154</v>
      </c>
      <c r="C9" s="53">
        <v>450</v>
      </c>
      <c r="D9" s="20">
        <v>1</v>
      </c>
      <c r="E9" s="52">
        <v>12</v>
      </c>
      <c r="F9" s="7">
        <v>42423</v>
      </c>
      <c r="G9" s="7">
        <v>42423</v>
      </c>
      <c r="H9" s="11" t="s">
        <v>12</v>
      </c>
      <c r="I9" s="11" t="s">
        <v>114</v>
      </c>
      <c r="J9" s="1">
        <v>1027918</v>
      </c>
      <c r="K9" s="34" t="s">
        <v>156</v>
      </c>
      <c r="L9" s="9">
        <v>80</v>
      </c>
      <c r="M9" s="40"/>
      <c r="N9" s="40"/>
      <c r="O9" s="41" t="s">
        <v>13</v>
      </c>
      <c r="P9" s="38"/>
      <c r="Q9" s="39" t="e">
        <f>IF(O9&lt;&gt;0,C9/(VLOOKUP(O9,#REF!,2,FALSE)),"")</f>
        <v>#REF!</v>
      </c>
      <c r="R9" s="38"/>
      <c r="S9" s="38"/>
      <c r="T9" s="37">
        <f>IF(COUNTIF(P9,"*érogation*"),C9,0)</f>
        <v>0</v>
      </c>
    </row>
    <row r="10" spans="1:20" s="2" customFormat="1" x14ac:dyDescent="0.2">
      <c r="B10" s="42" t="s">
        <v>154</v>
      </c>
      <c r="C10" s="53"/>
      <c r="D10" s="20"/>
      <c r="E10" s="52">
        <v>3</v>
      </c>
      <c r="F10" s="7">
        <v>42426</v>
      </c>
      <c r="G10" s="7">
        <v>42426</v>
      </c>
      <c r="H10" s="11" t="s">
        <v>12</v>
      </c>
      <c r="I10" s="11" t="s">
        <v>155</v>
      </c>
      <c r="J10" s="1">
        <v>1027918</v>
      </c>
      <c r="K10" s="34" t="s">
        <v>156</v>
      </c>
      <c r="L10" s="9">
        <v>80</v>
      </c>
      <c r="M10" s="40">
        <v>700</v>
      </c>
      <c r="N10" s="40"/>
      <c r="O10" s="41" t="s">
        <v>14</v>
      </c>
      <c r="P10" s="38"/>
      <c r="Q10" s="39" t="e">
        <f>IF(O10&lt;&gt;0,C10/(VLOOKUP(O10,#REF!,2,FALSE)),"")</f>
        <v>#REF!</v>
      </c>
      <c r="R10" s="38"/>
      <c r="S10" s="38"/>
      <c r="T10" s="37">
        <f t="shared" si="0"/>
        <v>0</v>
      </c>
    </row>
    <row r="11" spans="1:20" s="2" customFormat="1" ht="25.5" x14ac:dyDescent="0.2">
      <c r="B11" s="27" t="s">
        <v>49</v>
      </c>
      <c r="C11" s="20">
        <v>284</v>
      </c>
      <c r="D11" s="20">
        <v>1</v>
      </c>
      <c r="E11" s="11">
        <v>2</v>
      </c>
      <c r="F11" s="7">
        <v>42356</v>
      </c>
      <c r="G11" s="7">
        <v>42356</v>
      </c>
      <c r="H11" s="11" t="s">
        <v>12</v>
      </c>
      <c r="I11" s="11" t="s">
        <v>98</v>
      </c>
      <c r="J11" s="1">
        <v>1027045</v>
      </c>
      <c r="K11" s="13" t="s">
        <v>50</v>
      </c>
      <c r="L11" s="9">
        <v>80</v>
      </c>
      <c r="M11" s="40"/>
      <c r="N11" s="40"/>
      <c r="O11" s="41"/>
      <c r="P11" s="38" t="s">
        <v>22</v>
      </c>
      <c r="Q11" s="39" t="str">
        <f>IF(O11&lt;&gt;0,C11/(VLOOKUP(O11,#REF!,2,FALSE)),"")</f>
        <v/>
      </c>
      <c r="R11" s="38"/>
      <c r="S11" s="38"/>
      <c r="T11" s="37">
        <f t="shared" si="0"/>
        <v>284</v>
      </c>
    </row>
    <row r="12" spans="1:20" s="2" customFormat="1" ht="25.5" x14ac:dyDescent="0.2">
      <c r="B12" s="42" t="s">
        <v>70</v>
      </c>
      <c r="C12" s="20"/>
      <c r="D12" s="20"/>
      <c r="E12" s="11"/>
      <c r="F12" s="7">
        <v>42353</v>
      </c>
      <c r="G12" s="7"/>
      <c r="H12" s="11" t="s">
        <v>12</v>
      </c>
      <c r="I12" s="11" t="s">
        <v>140</v>
      </c>
      <c r="J12" s="1">
        <v>1026624</v>
      </c>
      <c r="K12" s="34" t="s">
        <v>105</v>
      </c>
      <c r="L12" s="9">
        <v>80</v>
      </c>
      <c r="M12" s="40"/>
      <c r="N12" s="40">
        <v>649</v>
      </c>
      <c r="O12" s="41"/>
      <c r="P12" s="43" t="s">
        <v>31</v>
      </c>
      <c r="Q12" s="44" t="str">
        <f>IF(O12&lt;&gt;0,C12/(VLOOKUP(O12,#REF!,2,FALSE)),"")</f>
        <v/>
      </c>
      <c r="R12" s="43"/>
      <c r="S12" s="43"/>
      <c r="T12" s="37">
        <f t="shared" si="0"/>
        <v>0</v>
      </c>
    </row>
    <row r="13" spans="1:20" s="2" customFormat="1" x14ac:dyDescent="0.2">
      <c r="B13" s="42" t="s">
        <v>170</v>
      </c>
      <c r="C13" s="20"/>
      <c r="D13" s="20"/>
      <c r="E13" s="11">
        <v>2</v>
      </c>
      <c r="F13" s="7">
        <v>42430</v>
      </c>
      <c r="G13" s="7">
        <v>42430</v>
      </c>
      <c r="H13" s="11" t="s">
        <v>12</v>
      </c>
      <c r="I13" s="11" t="s">
        <v>108</v>
      </c>
      <c r="J13" s="1">
        <v>1028030</v>
      </c>
      <c r="K13" s="34" t="s">
        <v>171</v>
      </c>
      <c r="L13" s="9">
        <v>80</v>
      </c>
      <c r="M13" s="40">
        <v>950</v>
      </c>
      <c r="N13" s="40"/>
      <c r="O13" s="41" t="s">
        <v>13</v>
      </c>
      <c r="P13" s="38"/>
      <c r="Q13" s="39" t="e">
        <f>IF(O13&lt;&gt;0,C13/(VLOOKUP(O13,#REF!,2,FALSE)),"")</f>
        <v>#REF!</v>
      </c>
      <c r="R13" s="38"/>
      <c r="S13" s="38"/>
      <c r="T13" s="37">
        <f>IF(COUNTIF(P13,"*érogation*"),C13,0)</f>
        <v>0</v>
      </c>
    </row>
    <row r="14" spans="1:20" s="2" customFormat="1" x14ac:dyDescent="0.2">
      <c r="B14" s="42" t="s">
        <v>170</v>
      </c>
      <c r="C14" s="20"/>
      <c r="D14" s="20"/>
      <c r="E14" s="11">
        <v>1</v>
      </c>
      <c r="F14" s="7">
        <v>42430</v>
      </c>
      <c r="G14" s="7">
        <v>42430</v>
      </c>
      <c r="H14" s="11" t="s">
        <v>12</v>
      </c>
      <c r="I14" s="11" t="s">
        <v>108</v>
      </c>
      <c r="J14" s="1">
        <v>1028030</v>
      </c>
      <c r="K14" s="34" t="s">
        <v>171</v>
      </c>
      <c r="L14" s="9">
        <v>80</v>
      </c>
      <c r="M14" s="40">
        <v>950</v>
      </c>
      <c r="N14" s="40"/>
      <c r="O14" s="41" t="s">
        <v>13</v>
      </c>
      <c r="P14" s="38"/>
      <c r="Q14" s="39" t="e">
        <f>IF(O14&lt;&gt;0,C14/(VLOOKUP(O14,#REF!,2,FALSE)),"")</f>
        <v>#REF!</v>
      </c>
      <c r="R14" s="38"/>
      <c r="S14" s="38"/>
      <c r="T14" s="37">
        <f>IF(COUNTIF(P14,"*érogation*"),C14,0)</f>
        <v>0</v>
      </c>
    </row>
    <row r="15" spans="1:20" s="2" customFormat="1" x14ac:dyDescent="0.2">
      <c r="B15" s="42" t="s">
        <v>170</v>
      </c>
      <c r="C15" s="20"/>
      <c r="D15" s="20"/>
      <c r="E15" s="11">
        <v>3</v>
      </c>
      <c r="F15" s="7">
        <v>42430</v>
      </c>
      <c r="G15" s="7">
        <v>42430</v>
      </c>
      <c r="H15" s="11" t="s">
        <v>12</v>
      </c>
      <c r="I15" s="11" t="s">
        <v>108</v>
      </c>
      <c r="J15" s="1">
        <v>1028030</v>
      </c>
      <c r="K15" s="34" t="s">
        <v>171</v>
      </c>
      <c r="L15" s="9">
        <v>80</v>
      </c>
      <c r="M15" s="40">
        <v>950</v>
      </c>
      <c r="N15" s="40"/>
      <c r="O15" s="41" t="s">
        <v>13</v>
      </c>
      <c r="P15" s="38"/>
      <c r="Q15" s="39" t="e">
        <f>IF(O15&lt;&gt;0,C15/(VLOOKUP(O15,#REF!,2,FALSE)),"")</f>
        <v>#REF!</v>
      </c>
      <c r="R15" s="38"/>
      <c r="S15" s="38"/>
      <c r="T15" s="37">
        <f>IF(COUNTIF(P15,"*érogation*"),C15,0)</f>
        <v>0</v>
      </c>
    </row>
    <row r="16" spans="1:20" s="2" customFormat="1" x14ac:dyDescent="0.2">
      <c r="B16" s="27" t="s">
        <v>34</v>
      </c>
      <c r="C16" s="20">
        <v>500</v>
      </c>
      <c r="D16" s="20">
        <v>1</v>
      </c>
      <c r="E16" s="11">
        <v>7</v>
      </c>
      <c r="F16" s="7">
        <v>42426</v>
      </c>
      <c r="G16" s="7">
        <v>42426</v>
      </c>
      <c r="H16" s="11" t="s">
        <v>12</v>
      </c>
      <c r="I16" s="11" t="s">
        <v>134</v>
      </c>
      <c r="J16" s="1">
        <v>1027836</v>
      </c>
      <c r="K16" s="34" t="s">
        <v>128</v>
      </c>
      <c r="L16" s="9">
        <v>80</v>
      </c>
      <c r="M16" s="40"/>
      <c r="N16" s="40"/>
      <c r="O16" s="41" t="s">
        <v>14</v>
      </c>
      <c r="P16" s="38"/>
      <c r="Q16" s="39" t="e">
        <f>IF(O16&lt;&gt;0,C16/(VLOOKUP(O16,#REF!,2,FALSE)),"")</f>
        <v>#REF!</v>
      </c>
      <c r="R16" s="38"/>
      <c r="S16" s="38"/>
      <c r="T16" s="37">
        <f>IF(COUNTIF(P16,"*érogation*"),C16,0)</f>
        <v>0</v>
      </c>
    </row>
    <row r="17" spans="2:20" s="2" customFormat="1" ht="25.5" x14ac:dyDescent="0.2">
      <c r="B17" s="27" t="s">
        <v>34</v>
      </c>
      <c r="C17" s="20">
        <v>326</v>
      </c>
      <c r="D17" s="20">
        <v>1</v>
      </c>
      <c r="E17" s="11">
        <v>5</v>
      </c>
      <c r="F17" s="7">
        <v>42244</v>
      </c>
      <c r="G17" s="7">
        <v>42244</v>
      </c>
      <c r="H17" s="11" t="s">
        <v>12</v>
      </c>
      <c r="I17" s="11" t="s">
        <v>38</v>
      </c>
      <c r="J17" s="1">
        <v>1025060</v>
      </c>
      <c r="K17" s="13" t="s">
        <v>35</v>
      </c>
      <c r="L17" s="9">
        <v>80</v>
      </c>
      <c r="M17" s="40"/>
      <c r="N17" s="40"/>
      <c r="O17" s="41"/>
      <c r="P17" s="38" t="s">
        <v>22</v>
      </c>
      <c r="Q17" s="39" t="str">
        <f>IF(O17&lt;&gt;0,C17/(VLOOKUP(O17,#REF!,2,FALSE)),"")</f>
        <v/>
      </c>
      <c r="R17" s="38"/>
      <c r="S17" s="38"/>
      <c r="T17" s="37">
        <f t="shared" si="0"/>
        <v>326</v>
      </c>
    </row>
    <row r="18" spans="2:20" s="2" customFormat="1" ht="25.5" x14ac:dyDescent="0.2">
      <c r="B18" s="27" t="s">
        <v>34</v>
      </c>
      <c r="C18" s="20">
        <v>500</v>
      </c>
      <c r="D18" s="20">
        <v>1</v>
      </c>
      <c r="E18" s="11">
        <v>5</v>
      </c>
      <c r="F18" s="7">
        <v>42263</v>
      </c>
      <c r="G18" s="7">
        <v>42263</v>
      </c>
      <c r="H18" s="11" t="s">
        <v>12</v>
      </c>
      <c r="I18" s="11" t="s">
        <v>38</v>
      </c>
      <c r="J18" s="1">
        <v>1025490</v>
      </c>
      <c r="K18" s="13" t="s">
        <v>37</v>
      </c>
      <c r="L18" s="9">
        <v>80</v>
      </c>
      <c r="M18" s="40"/>
      <c r="N18" s="40"/>
      <c r="O18" s="41"/>
      <c r="P18" s="38" t="s">
        <v>22</v>
      </c>
      <c r="Q18" s="39" t="str">
        <f>IF(O18&lt;&gt;0,C18/(VLOOKUP(O18,#REF!,2,FALSE)),"")</f>
        <v/>
      </c>
      <c r="R18" s="38"/>
      <c r="S18" s="38"/>
      <c r="T18" s="37">
        <f t="shared" si="0"/>
        <v>500</v>
      </c>
    </row>
    <row r="19" spans="2:20" s="2" customFormat="1" x14ac:dyDescent="0.2">
      <c r="B19" s="42" t="s">
        <v>58</v>
      </c>
      <c r="C19" s="20"/>
      <c r="D19" s="20"/>
      <c r="E19" s="1">
        <v>5</v>
      </c>
      <c r="F19" s="7">
        <v>42429</v>
      </c>
      <c r="G19" s="7">
        <v>42429</v>
      </c>
      <c r="H19" s="11" t="s">
        <v>12</v>
      </c>
      <c r="I19" s="11" t="s">
        <v>63</v>
      </c>
      <c r="J19" s="1">
        <v>1028078</v>
      </c>
      <c r="K19" s="13" t="s">
        <v>167</v>
      </c>
      <c r="L19" s="9">
        <v>80</v>
      </c>
      <c r="M19" s="40">
        <v>500</v>
      </c>
      <c r="N19" s="40"/>
      <c r="O19" s="41" t="s">
        <v>13</v>
      </c>
      <c r="P19" s="38"/>
      <c r="Q19" s="39" t="e">
        <f>IF(O19&lt;&gt;0,C19/(VLOOKUP(O19,#REF!,2,FALSE)),"")</f>
        <v>#REF!</v>
      </c>
      <c r="R19" s="38"/>
      <c r="S19" s="38"/>
      <c r="T19" s="37">
        <f t="shared" si="0"/>
        <v>0</v>
      </c>
    </row>
    <row r="20" spans="2:20" s="2" customFormat="1" x14ac:dyDescent="0.2">
      <c r="B20" s="27" t="s">
        <v>176</v>
      </c>
      <c r="C20" s="11">
        <v>500</v>
      </c>
      <c r="D20" s="11">
        <v>1</v>
      </c>
      <c r="E20" s="1">
        <v>3</v>
      </c>
      <c r="F20" s="7">
        <v>42431</v>
      </c>
      <c r="G20" s="7">
        <v>42431</v>
      </c>
      <c r="H20" s="11" t="s">
        <v>12</v>
      </c>
      <c r="I20" s="11" t="s">
        <v>177</v>
      </c>
      <c r="J20" s="1">
        <v>1027882</v>
      </c>
      <c r="K20" s="34" t="s">
        <v>178</v>
      </c>
      <c r="L20" s="9">
        <v>80</v>
      </c>
      <c r="M20" s="40"/>
      <c r="N20" s="40"/>
      <c r="O20" s="41"/>
      <c r="P20" s="43"/>
      <c r="Q20" s="44" t="str">
        <f>IF(O20&lt;&gt;0,C20/(VLOOKUP(O20,#REF!,2,FALSE)),"")</f>
        <v/>
      </c>
      <c r="R20" s="43"/>
      <c r="S20" s="43"/>
      <c r="T20" s="37">
        <f>IF(COUNTIF(P20,"*érogation*"),C20,0)</f>
        <v>0</v>
      </c>
    </row>
    <row r="21" spans="2:20" s="2" customFormat="1" x14ac:dyDescent="0.2">
      <c r="B21" s="27" t="s">
        <v>176</v>
      </c>
      <c r="C21" s="11">
        <v>500</v>
      </c>
      <c r="D21" s="11">
        <v>1</v>
      </c>
      <c r="E21" s="1">
        <v>4</v>
      </c>
      <c r="F21" s="7">
        <v>42431</v>
      </c>
      <c r="G21" s="7">
        <v>42431</v>
      </c>
      <c r="H21" s="11" t="s">
        <v>12</v>
      </c>
      <c r="I21" s="11" t="s">
        <v>177</v>
      </c>
      <c r="J21" s="1">
        <v>1027882</v>
      </c>
      <c r="K21" s="34" t="s">
        <v>178</v>
      </c>
      <c r="L21" s="9">
        <v>80</v>
      </c>
      <c r="M21" s="40"/>
      <c r="N21" s="40"/>
      <c r="O21" s="41"/>
      <c r="P21" s="43"/>
      <c r="Q21" s="44" t="str">
        <f>IF(O21&lt;&gt;0,C21/(VLOOKUP(O21,#REF!,2,FALSE)),"")</f>
        <v/>
      </c>
      <c r="R21" s="43"/>
      <c r="S21" s="43"/>
      <c r="T21" s="37">
        <f>IF(COUNTIF(P21,"*érogation*"),C21,0)</f>
        <v>0</v>
      </c>
    </row>
    <row r="22" spans="2:20" s="2" customFormat="1" x14ac:dyDescent="0.2">
      <c r="B22" s="27" t="s">
        <v>176</v>
      </c>
      <c r="C22" s="11">
        <v>500</v>
      </c>
      <c r="D22" s="11">
        <v>1</v>
      </c>
      <c r="E22" s="1">
        <v>6</v>
      </c>
      <c r="F22" s="7">
        <v>42431</v>
      </c>
      <c r="G22" s="7">
        <v>42431</v>
      </c>
      <c r="H22" s="11" t="s">
        <v>12</v>
      </c>
      <c r="I22" s="11" t="s">
        <v>177</v>
      </c>
      <c r="J22" s="1">
        <v>1027882</v>
      </c>
      <c r="K22" s="34" t="s">
        <v>178</v>
      </c>
      <c r="L22" s="9">
        <v>80</v>
      </c>
      <c r="M22" s="40"/>
      <c r="N22" s="40"/>
      <c r="O22" s="41"/>
      <c r="P22" s="43"/>
      <c r="Q22" s="44" t="str">
        <f>IF(O22&lt;&gt;0,C22/(VLOOKUP(O22,#REF!,2,FALSE)),"")</f>
        <v/>
      </c>
      <c r="R22" s="43"/>
      <c r="S22" s="43"/>
      <c r="T22" s="37">
        <f>IF(COUNTIF(P22,"*érogation*"),C22,0)</f>
        <v>0</v>
      </c>
    </row>
    <row r="23" spans="2:20" s="2" customFormat="1" x14ac:dyDescent="0.2">
      <c r="B23" s="27" t="s">
        <v>176</v>
      </c>
      <c r="C23" s="11">
        <v>307</v>
      </c>
      <c r="D23" s="11">
        <v>1</v>
      </c>
      <c r="E23" s="1">
        <v>1</v>
      </c>
      <c r="F23" s="7">
        <v>42431</v>
      </c>
      <c r="G23" s="7">
        <v>42431</v>
      </c>
      <c r="H23" s="11" t="s">
        <v>12</v>
      </c>
      <c r="I23" s="11" t="s">
        <v>177</v>
      </c>
      <c r="J23" s="1">
        <v>1027882</v>
      </c>
      <c r="K23" s="34" t="s">
        <v>178</v>
      </c>
      <c r="L23" s="9">
        <v>80</v>
      </c>
      <c r="M23" s="40"/>
      <c r="N23" s="40"/>
      <c r="O23" s="41"/>
      <c r="P23" s="43"/>
      <c r="Q23" s="44" t="str">
        <f>IF(O23&lt;&gt;0,C23/(VLOOKUP(O23,#REF!,2,FALSE)),"")</f>
        <v/>
      </c>
      <c r="R23" s="43"/>
      <c r="S23" s="43"/>
      <c r="T23" s="37">
        <f>IF(COUNTIF(P23,"*érogation*"),C23,0)</f>
        <v>0</v>
      </c>
    </row>
    <row r="24" spans="2:20" s="2" customFormat="1" x14ac:dyDescent="0.2">
      <c r="B24" s="42" t="s">
        <v>81</v>
      </c>
      <c r="C24" s="20"/>
      <c r="D24" s="20"/>
      <c r="E24" s="1">
        <v>6</v>
      </c>
      <c r="F24" s="7">
        <v>42422</v>
      </c>
      <c r="G24" s="7">
        <v>42422</v>
      </c>
      <c r="H24" s="11" t="s">
        <v>12</v>
      </c>
      <c r="I24" s="11" t="s">
        <v>33</v>
      </c>
      <c r="J24" s="1">
        <v>1027976</v>
      </c>
      <c r="K24" s="34" t="s">
        <v>157</v>
      </c>
      <c r="L24" s="9">
        <v>80</v>
      </c>
      <c r="M24" s="40">
        <v>238</v>
      </c>
      <c r="N24" s="40">
        <v>219</v>
      </c>
      <c r="O24" s="41" t="s">
        <v>14</v>
      </c>
      <c r="P24" s="38"/>
      <c r="Q24" s="39" t="e">
        <f>IF(O24&lt;&gt;0,C24/(VLOOKUP(O24,#REF!,2,FALSE)),"")</f>
        <v>#REF!</v>
      </c>
      <c r="R24" s="38"/>
      <c r="S24" s="38"/>
      <c r="T24" s="37">
        <f t="shared" si="0"/>
        <v>0</v>
      </c>
    </row>
    <row r="25" spans="2:20" s="2" customFormat="1" x14ac:dyDescent="0.2">
      <c r="B25" s="42" t="s">
        <v>81</v>
      </c>
      <c r="C25" s="20"/>
      <c r="D25" s="20"/>
      <c r="E25" s="1">
        <v>5</v>
      </c>
      <c r="F25" s="7">
        <v>42426</v>
      </c>
      <c r="G25" s="7">
        <v>42426</v>
      </c>
      <c r="H25" s="11" t="s">
        <v>12</v>
      </c>
      <c r="I25" s="11" t="s">
        <v>158</v>
      </c>
      <c r="J25" s="1">
        <v>1027976</v>
      </c>
      <c r="K25" s="34" t="s">
        <v>157</v>
      </c>
      <c r="L25" s="9">
        <v>80</v>
      </c>
      <c r="M25" s="40">
        <v>155</v>
      </c>
      <c r="N25" s="40"/>
      <c r="O25" s="41"/>
      <c r="P25" s="43"/>
      <c r="Q25" s="44" t="str">
        <f>IF(O25&lt;&gt;0,C25/(VLOOKUP(O25,#REF!,2,FALSE)),"")</f>
        <v/>
      </c>
      <c r="R25" s="43"/>
      <c r="S25" s="43"/>
      <c r="T25" s="37">
        <f t="shared" si="0"/>
        <v>0</v>
      </c>
    </row>
    <row r="26" spans="2:20" s="2" customFormat="1" ht="25.5" x14ac:dyDescent="0.2">
      <c r="B26" s="27" t="s">
        <v>135</v>
      </c>
      <c r="C26" s="11">
        <v>600</v>
      </c>
      <c r="D26" s="11">
        <v>1</v>
      </c>
      <c r="E26" s="1">
        <v>26</v>
      </c>
      <c r="F26" s="7">
        <v>42423</v>
      </c>
      <c r="G26" s="7">
        <v>42423</v>
      </c>
      <c r="H26" s="11" t="s">
        <v>12</v>
      </c>
      <c r="I26" s="11" t="s">
        <v>141</v>
      </c>
      <c r="J26" s="1">
        <v>1027903</v>
      </c>
      <c r="K26" s="34" t="s">
        <v>136</v>
      </c>
      <c r="L26" s="9">
        <v>80</v>
      </c>
      <c r="M26" s="40"/>
      <c r="N26" s="40"/>
      <c r="O26" s="41" t="s">
        <v>16</v>
      </c>
      <c r="P26" s="43"/>
      <c r="Q26" s="44" t="e">
        <f>IF(O26&lt;&gt;0,C26/(VLOOKUP(O26,#REF!,2,FALSE)),"")</f>
        <v>#REF!</v>
      </c>
      <c r="R26" s="43"/>
      <c r="S26" s="43"/>
      <c r="T26" s="37">
        <f>IF(COUNTIF(P26,"*érogation*"),C26,0)</f>
        <v>0</v>
      </c>
    </row>
    <row r="27" spans="2:20" s="2" customFormat="1" x14ac:dyDescent="0.2">
      <c r="B27" s="27" t="s">
        <v>45</v>
      </c>
      <c r="C27" s="11">
        <v>600</v>
      </c>
      <c r="D27" s="11">
        <v>1</v>
      </c>
      <c r="E27" s="1">
        <v>11</v>
      </c>
      <c r="F27" s="7">
        <v>42421</v>
      </c>
      <c r="G27" s="7">
        <v>42421</v>
      </c>
      <c r="H27" s="11" t="s">
        <v>12</v>
      </c>
      <c r="I27" s="11" t="s">
        <v>148</v>
      </c>
      <c r="J27" s="1">
        <v>1027883</v>
      </c>
      <c r="K27" s="34" t="s">
        <v>137</v>
      </c>
      <c r="L27" s="9">
        <v>80</v>
      </c>
      <c r="M27" s="40"/>
      <c r="N27" s="40"/>
      <c r="O27" s="41" t="s">
        <v>14</v>
      </c>
      <c r="P27" s="43"/>
      <c r="Q27" s="44" t="e">
        <f>IF(O27&lt;&gt;0,C27/(VLOOKUP(O27,#REF!,2,FALSE)),"")</f>
        <v>#REF!</v>
      </c>
      <c r="R27" s="43"/>
      <c r="S27" s="43"/>
      <c r="T27" s="37">
        <f t="shared" si="0"/>
        <v>0</v>
      </c>
    </row>
    <row r="28" spans="2:20" s="2" customFormat="1" x14ac:dyDescent="0.2">
      <c r="B28" s="27" t="s">
        <v>45</v>
      </c>
      <c r="C28" s="11">
        <v>600</v>
      </c>
      <c r="D28" s="11">
        <v>1</v>
      </c>
      <c r="E28" s="1">
        <v>6</v>
      </c>
      <c r="F28" s="7">
        <v>42424</v>
      </c>
      <c r="G28" s="7">
        <v>42424</v>
      </c>
      <c r="H28" s="11" t="s">
        <v>12</v>
      </c>
      <c r="I28" s="11" t="s">
        <v>149</v>
      </c>
      <c r="J28" s="1">
        <v>1027883</v>
      </c>
      <c r="K28" s="34" t="s">
        <v>137</v>
      </c>
      <c r="L28" s="9">
        <v>80</v>
      </c>
      <c r="M28" s="40"/>
      <c r="N28" s="40"/>
      <c r="O28" s="41" t="s">
        <v>14</v>
      </c>
      <c r="P28" s="43"/>
      <c r="Q28" s="44" t="e">
        <f>IF(O28&lt;&gt;0,C28/(VLOOKUP(O28,#REF!,2,FALSE)),"")</f>
        <v>#REF!</v>
      </c>
      <c r="R28" s="43"/>
      <c r="S28" s="43"/>
      <c r="T28" s="37">
        <f t="shared" si="0"/>
        <v>0</v>
      </c>
    </row>
    <row r="29" spans="2:20" s="2" customFormat="1" x14ac:dyDescent="0.2">
      <c r="B29" s="27" t="s">
        <v>45</v>
      </c>
      <c r="C29" s="11">
        <v>449</v>
      </c>
      <c r="D29" s="11">
        <v>1</v>
      </c>
      <c r="E29" s="1">
        <v>1</v>
      </c>
      <c r="F29" s="7">
        <v>42424</v>
      </c>
      <c r="G29" s="7">
        <v>42424</v>
      </c>
      <c r="H29" s="11" t="s">
        <v>12</v>
      </c>
      <c r="I29" s="11" t="s">
        <v>87</v>
      </c>
      <c r="J29" s="1">
        <v>1027883</v>
      </c>
      <c r="K29" s="34" t="s">
        <v>137</v>
      </c>
      <c r="L29" s="9">
        <v>80</v>
      </c>
      <c r="M29" s="40"/>
      <c r="N29" s="40"/>
      <c r="O29" s="41" t="s">
        <v>13</v>
      </c>
      <c r="P29" s="43"/>
      <c r="Q29" s="44" t="e">
        <f>IF(O29&lt;&gt;0,C29/(VLOOKUP(O29,#REF!,2,FALSE)),"")</f>
        <v>#REF!</v>
      </c>
      <c r="R29" s="43"/>
      <c r="S29" s="43"/>
      <c r="T29" s="37">
        <f t="shared" si="0"/>
        <v>0</v>
      </c>
    </row>
    <row r="30" spans="2:20" s="2" customFormat="1" x14ac:dyDescent="0.2">
      <c r="B30" s="42" t="s">
        <v>45</v>
      </c>
      <c r="C30" s="11"/>
      <c r="D30" s="11"/>
      <c r="E30" s="1">
        <v>13</v>
      </c>
      <c r="F30" s="7">
        <v>42423</v>
      </c>
      <c r="G30" s="7">
        <v>42423</v>
      </c>
      <c r="H30" s="11" t="s">
        <v>12</v>
      </c>
      <c r="I30" s="11" t="s">
        <v>53</v>
      </c>
      <c r="J30" s="1">
        <v>1027883</v>
      </c>
      <c r="K30" s="34" t="s">
        <v>137</v>
      </c>
      <c r="L30" s="9">
        <v>80</v>
      </c>
      <c r="M30" s="40">
        <v>600</v>
      </c>
      <c r="N30" s="40"/>
      <c r="O30" s="41"/>
      <c r="P30" s="43"/>
      <c r="Q30" s="44" t="str">
        <f>IF(O30&lt;&gt;0,C30/(VLOOKUP(O30,#REF!,2,FALSE)),"")</f>
        <v/>
      </c>
      <c r="R30" s="43"/>
      <c r="S30" s="43"/>
      <c r="T30" s="37">
        <f t="shared" si="0"/>
        <v>0</v>
      </c>
    </row>
    <row r="31" spans="2:20" s="2" customFormat="1" x14ac:dyDescent="0.2">
      <c r="B31" s="42" t="s">
        <v>36</v>
      </c>
      <c r="C31" s="11"/>
      <c r="D31" s="11"/>
      <c r="E31" s="1">
        <v>7</v>
      </c>
      <c r="F31" s="7">
        <v>42429</v>
      </c>
      <c r="G31" s="7">
        <v>42429</v>
      </c>
      <c r="H31" s="11" t="s">
        <v>12</v>
      </c>
      <c r="I31" s="11" t="s">
        <v>172</v>
      </c>
      <c r="J31" s="1">
        <v>1028082</v>
      </c>
      <c r="K31" s="34" t="s">
        <v>173</v>
      </c>
      <c r="L31" s="9">
        <v>80</v>
      </c>
      <c r="M31" s="40">
        <v>0</v>
      </c>
      <c r="N31" s="40">
        <v>263</v>
      </c>
      <c r="O31" s="41"/>
      <c r="P31" s="43"/>
      <c r="Q31" s="44" t="str">
        <f>IF(O31&lt;&gt;0,C31/(VLOOKUP(O31,#REF!,2,FALSE)),"")</f>
        <v/>
      </c>
      <c r="R31" s="43"/>
      <c r="S31" s="43"/>
      <c r="T31" s="37">
        <f t="shared" ref="T31:T38" si="1">IF(COUNTIF(P31,"*érogation*"),C31,0)</f>
        <v>0</v>
      </c>
    </row>
    <row r="32" spans="2:20" s="2" customFormat="1" x14ac:dyDescent="0.2">
      <c r="B32" s="27" t="s">
        <v>36</v>
      </c>
      <c r="C32" s="11">
        <v>450</v>
      </c>
      <c r="D32" s="11">
        <v>1</v>
      </c>
      <c r="E32" s="1">
        <v>14</v>
      </c>
      <c r="F32" s="7">
        <v>42432</v>
      </c>
      <c r="G32" s="7">
        <v>42432</v>
      </c>
      <c r="H32" s="11" t="s">
        <v>12</v>
      </c>
      <c r="I32" s="11" t="s">
        <v>158</v>
      </c>
      <c r="J32" s="1">
        <v>1028082</v>
      </c>
      <c r="K32" s="34" t="s">
        <v>173</v>
      </c>
      <c r="L32" s="9">
        <v>80</v>
      </c>
      <c r="M32" s="40"/>
      <c r="N32" s="40"/>
      <c r="O32" s="41"/>
      <c r="P32" s="43"/>
      <c r="Q32" s="44" t="str">
        <f>IF(O32&lt;&gt;0,C32/(VLOOKUP(O32,#REF!,2,FALSE)),"")</f>
        <v/>
      </c>
      <c r="R32" s="43"/>
      <c r="S32" s="43"/>
      <c r="T32" s="37">
        <f>IF(COUNTIF(P32,"*érogation*"),C32,0)</f>
        <v>0</v>
      </c>
    </row>
    <row r="33" spans="2:20" s="2" customFormat="1" x14ac:dyDescent="0.2">
      <c r="B33" s="27" t="s">
        <v>36</v>
      </c>
      <c r="C33" s="11">
        <v>450</v>
      </c>
      <c r="D33" s="11">
        <v>1</v>
      </c>
      <c r="E33" s="1">
        <v>2</v>
      </c>
      <c r="F33" s="7">
        <v>42431</v>
      </c>
      <c r="G33" s="7">
        <v>42431</v>
      </c>
      <c r="H33" s="11" t="s">
        <v>12</v>
      </c>
      <c r="I33" s="11" t="s">
        <v>175</v>
      </c>
      <c r="J33" s="1">
        <v>1028082</v>
      </c>
      <c r="K33" s="34" t="s">
        <v>173</v>
      </c>
      <c r="L33" s="9">
        <v>80</v>
      </c>
      <c r="M33" s="40"/>
      <c r="N33" s="40"/>
      <c r="O33" s="41"/>
      <c r="P33" s="43"/>
      <c r="Q33" s="44" t="str">
        <f>IF(O33&lt;&gt;0,C33/(VLOOKUP(O33,#REF!,2,FALSE)),"")</f>
        <v/>
      </c>
      <c r="R33" s="43"/>
      <c r="S33" s="43"/>
      <c r="T33" s="37">
        <f t="shared" si="1"/>
        <v>0</v>
      </c>
    </row>
    <row r="34" spans="2:20" s="2" customFormat="1" x14ac:dyDescent="0.2">
      <c r="B34" s="27" t="s">
        <v>36</v>
      </c>
      <c r="C34" s="11">
        <v>450</v>
      </c>
      <c r="D34" s="11">
        <v>1</v>
      </c>
      <c r="E34" s="1">
        <v>1</v>
      </c>
      <c r="F34" s="7">
        <v>42431</v>
      </c>
      <c r="G34" s="7">
        <v>42431</v>
      </c>
      <c r="H34" s="11" t="s">
        <v>12</v>
      </c>
      <c r="I34" s="11" t="s">
        <v>102</v>
      </c>
      <c r="J34" s="1">
        <v>1028081</v>
      </c>
      <c r="K34" s="34" t="s">
        <v>174</v>
      </c>
      <c r="L34" s="9">
        <v>80</v>
      </c>
      <c r="M34" s="40"/>
      <c r="N34" s="40"/>
      <c r="O34" s="41"/>
      <c r="P34" s="43"/>
      <c r="Q34" s="44" t="str">
        <f>IF(O34&lt;&gt;0,C34/(VLOOKUP(O34,#REF!,2,FALSE)),"")</f>
        <v/>
      </c>
      <c r="R34" s="43"/>
      <c r="S34" s="43"/>
      <c r="T34" s="37">
        <f t="shared" si="1"/>
        <v>0</v>
      </c>
    </row>
    <row r="35" spans="2:20" s="2" customFormat="1" x14ac:dyDescent="0.2">
      <c r="B35" s="27" t="s">
        <v>36</v>
      </c>
      <c r="C35" s="11">
        <v>450</v>
      </c>
      <c r="D35" s="11">
        <v>1</v>
      </c>
      <c r="E35" s="1">
        <v>12</v>
      </c>
      <c r="F35" s="7">
        <v>42425</v>
      </c>
      <c r="G35" s="7">
        <v>42425</v>
      </c>
      <c r="H35" s="11" t="s">
        <v>12</v>
      </c>
      <c r="I35" s="11" t="s">
        <v>53</v>
      </c>
      <c r="J35" s="1">
        <v>1027758</v>
      </c>
      <c r="K35" s="34" t="s">
        <v>146</v>
      </c>
      <c r="L35" s="9">
        <v>80</v>
      </c>
      <c r="M35" s="40"/>
      <c r="N35" s="40"/>
      <c r="O35" s="41"/>
      <c r="P35" s="43"/>
      <c r="Q35" s="44" t="str">
        <f>IF(O35&lt;&gt;0,C35/(VLOOKUP(O35,#REF!,2,FALSE)),"")</f>
        <v/>
      </c>
      <c r="R35" s="43"/>
      <c r="S35" s="43"/>
      <c r="T35" s="37">
        <f t="shared" si="1"/>
        <v>0</v>
      </c>
    </row>
    <row r="36" spans="2:20" s="2" customFormat="1" x14ac:dyDescent="0.2">
      <c r="B36" s="27" t="s">
        <v>36</v>
      </c>
      <c r="C36" s="11">
        <v>450</v>
      </c>
      <c r="D36" s="11">
        <v>1</v>
      </c>
      <c r="E36" s="1">
        <v>16</v>
      </c>
      <c r="F36" s="7">
        <v>42425</v>
      </c>
      <c r="G36" s="7">
        <v>42425</v>
      </c>
      <c r="H36" s="11" t="s">
        <v>12</v>
      </c>
      <c r="I36" s="11" t="s">
        <v>53</v>
      </c>
      <c r="J36" s="1">
        <v>1027758</v>
      </c>
      <c r="K36" s="34" t="s">
        <v>146</v>
      </c>
      <c r="L36" s="9">
        <v>80</v>
      </c>
      <c r="M36" s="40"/>
      <c r="N36" s="40"/>
      <c r="O36" s="41"/>
      <c r="P36" s="43"/>
      <c r="Q36" s="44" t="str">
        <f>IF(O36&lt;&gt;0,C36/(VLOOKUP(O36,#REF!,2,FALSE)),"")</f>
        <v/>
      </c>
      <c r="R36" s="43"/>
      <c r="S36" s="43"/>
      <c r="T36" s="37">
        <f t="shared" si="1"/>
        <v>0</v>
      </c>
    </row>
    <row r="37" spans="2:20" s="2" customFormat="1" x14ac:dyDescent="0.2">
      <c r="B37" s="27" t="s">
        <v>36</v>
      </c>
      <c r="C37" s="11">
        <v>450</v>
      </c>
      <c r="D37" s="11">
        <v>1</v>
      </c>
      <c r="E37" s="1">
        <v>25</v>
      </c>
      <c r="F37" s="7">
        <v>42425</v>
      </c>
      <c r="G37" s="7">
        <v>42425</v>
      </c>
      <c r="H37" s="11" t="s">
        <v>12</v>
      </c>
      <c r="I37" s="11" t="s">
        <v>151</v>
      </c>
      <c r="J37" s="1">
        <v>1027758</v>
      </c>
      <c r="K37" s="34" t="s">
        <v>146</v>
      </c>
      <c r="L37" s="9">
        <v>80</v>
      </c>
      <c r="M37" s="40"/>
      <c r="N37" s="40"/>
      <c r="O37" s="41"/>
      <c r="P37" s="43"/>
      <c r="Q37" s="44" t="str">
        <f>IF(O37&lt;&gt;0,C37/(VLOOKUP(O37,#REF!,2,FALSE)),"")</f>
        <v/>
      </c>
      <c r="R37" s="43"/>
      <c r="S37" s="43"/>
      <c r="T37" s="37">
        <f t="shared" si="1"/>
        <v>0</v>
      </c>
    </row>
    <row r="38" spans="2:20" s="2" customFormat="1" x14ac:dyDescent="0.2">
      <c r="B38" s="27" t="s">
        <v>36</v>
      </c>
      <c r="C38" s="11">
        <v>35</v>
      </c>
      <c r="D38" s="11">
        <v>1</v>
      </c>
      <c r="E38" s="1">
        <v>24</v>
      </c>
      <c r="F38" s="7">
        <v>42425</v>
      </c>
      <c r="G38" s="7">
        <v>42425</v>
      </c>
      <c r="H38" s="11" t="s">
        <v>12</v>
      </c>
      <c r="I38" s="11" t="s">
        <v>151</v>
      </c>
      <c r="J38" s="1">
        <v>1027758</v>
      </c>
      <c r="K38" s="34" t="s">
        <v>146</v>
      </c>
      <c r="L38" s="9">
        <v>80</v>
      </c>
      <c r="M38" s="40">
        <v>415</v>
      </c>
      <c r="N38" s="40"/>
      <c r="O38" s="41"/>
      <c r="P38" s="43"/>
      <c r="Q38" s="44" t="str">
        <f>IF(O38&lt;&gt;0,C38/(VLOOKUP(O38,#REF!,2,FALSE)),"")</f>
        <v/>
      </c>
      <c r="R38" s="43"/>
      <c r="S38" s="43"/>
      <c r="T38" s="37">
        <f t="shared" si="1"/>
        <v>0</v>
      </c>
    </row>
    <row r="39" spans="2:20" s="2" customFormat="1" x14ac:dyDescent="0.2">
      <c r="B39" s="27" t="s">
        <v>36</v>
      </c>
      <c r="C39" s="20">
        <v>178</v>
      </c>
      <c r="D39" s="20">
        <v>1</v>
      </c>
      <c r="E39" s="1">
        <v>2</v>
      </c>
      <c r="F39" s="7">
        <v>42424</v>
      </c>
      <c r="G39" s="7">
        <v>42424</v>
      </c>
      <c r="H39" s="11" t="s">
        <v>12</v>
      </c>
      <c r="I39" s="11" t="s">
        <v>53</v>
      </c>
      <c r="J39" s="1">
        <v>1027758</v>
      </c>
      <c r="K39" s="34" t="s">
        <v>146</v>
      </c>
      <c r="L39" s="9">
        <v>80</v>
      </c>
      <c r="M39" s="40"/>
      <c r="N39" s="40"/>
      <c r="O39" s="41"/>
      <c r="P39" s="38"/>
      <c r="Q39" s="39" t="str">
        <f>IF(O39&lt;&gt;0,C39/(VLOOKUP(O39,#REF!,2,FALSE)),"")</f>
        <v/>
      </c>
      <c r="R39" s="38"/>
      <c r="S39" s="38"/>
      <c r="T39" s="37">
        <f t="shared" si="0"/>
        <v>0</v>
      </c>
    </row>
    <row r="40" spans="2:20" s="2" customFormat="1" x14ac:dyDescent="0.2">
      <c r="B40" s="27" t="s">
        <v>36</v>
      </c>
      <c r="C40" s="20">
        <v>450</v>
      </c>
      <c r="D40" s="20">
        <v>1</v>
      </c>
      <c r="E40" s="1">
        <v>13</v>
      </c>
      <c r="F40" s="7">
        <v>42387</v>
      </c>
      <c r="G40" s="7">
        <v>42387</v>
      </c>
      <c r="H40" s="11" t="s">
        <v>12</v>
      </c>
      <c r="I40" s="51" t="s">
        <v>127</v>
      </c>
      <c r="J40" s="1">
        <v>1026827</v>
      </c>
      <c r="K40" s="34" t="s">
        <v>72</v>
      </c>
      <c r="L40" s="9">
        <v>80</v>
      </c>
      <c r="M40" s="40"/>
      <c r="N40" s="40"/>
      <c r="O40" s="41"/>
      <c r="P40" s="43"/>
      <c r="Q40" s="44" t="str">
        <f>IF(O40&lt;&gt;0,C40/(VLOOKUP(O40,#REF!,2,FALSE)),"")</f>
        <v/>
      </c>
      <c r="R40" s="43"/>
      <c r="S40" s="43"/>
      <c r="T40" s="37">
        <f t="shared" si="0"/>
        <v>0</v>
      </c>
    </row>
    <row r="41" spans="2:20" s="2" customFormat="1" x14ac:dyDescent="0.2">
      <c r="B41" s="46" t="s">
        <v>99</v>
      </c>
      <c r="C41" s="11"/>
      <c r="D41" s="11"/>
      <c r="E41" s="1">
        <v>9</v>
      </c>
      <c r="F41" s="7">
        <v>42416</v>
      </c>
      <c r="G41" s="7">
        <v>42416</v>
      </c>
      <c r="H41" s="11" t="s">
        <v>12</v>
      </c>
      <c r="I41" s="11" t="s">
        <v>129</v>
      </c>
      <c r="J41" s="1">
        <v>1027834</v>
      </c>
      <c r="K41" s="34" t="s">
        <v>126</v>
      </c>
      <c r="L41" s="9">
        <v>80</v>
      </c>
      <c r="M41" s="40">
        <v>1100</v>
      </c>
      <c r="N41" s="40"/>
      <c r="O41" s="41" t="s">
        <v>13</v>
      </c>
      <c r="P41" s="38"/>
      <c r="Q41" s="39" t="e">
        <f>IF(O41&lt;&gt;0,C41/(VLOOKUP(O41,#REF!,2,FALSE)),"")</f>
        <v>#REF!</v>
      </c>
      <c r="R41" s="38"/>
      <c r="S41" s="38"/>
      <c r="T41" s="37">
        <f t="shared" si="0"/>
        <v>0</v>
      </c>
    </row>
    <row r="42" spans="2:20" s="2" customFormat="1" x14ac:dyDescent="0.2">
      <c r="B42" s="46" t="s">
        <v>99</v>
      </c>
      <c r="C42" s="11"/>
      <c r="D42" s="11"/>
      <c r="E42" s="1">
        <v>13</v>
      </c>
      <c r="F42" s="7">
        <v>42416</v>
      </c>
      <c r="G42" s="7">
        <v>42416</v>
      </c>
      <c r="H42" s="11" t="s">
        <v>12</v>
      </c>
      <c r="I42" s="11" t="s">
        <v>100</v>
      </c>
      <c r="J42" s="1">
        <v>1027834</v>
      </c>
      <c r="K42" s="34" t="s">
        <v>126</v>
      </c>
      <c r="L42" s="9">
        <v>80</v>
      </c>
      <c r="M42" s="40">
        <v>210</v>
      </c>
      <c r="N42" s="40"/>
      <c r="O42" s="41" t="s">
        <v>13</v>
      </c>
      <c r="P42" s="43"/>
      <c r="Q42" s="44" t="e">
        <f>IF(O42&lt;&gt;0,C42/(VLOOKUP(O42,#REF!,2,FALSE)),"")</f>
        <v>#REF!</v>
      </c>
      <c r="R42" s="43"/>
      <c r="S42" s="43"/>
      <c r="T42" s="37">
        <f t="shared" si="0"/>
        <v>0</v>
      </c>
    </row>
    <row r="43" spans="2:20" s="2" customFormat="1" x14ac:dyDescent="0.2">
      <c r="B43" s="19" t="s">
        <v>107</v>
      </c>
      <c r="C43" s="11">
        <v>125</v>
      </c>
      <c r="D43" s="11">
        <v>1</v>
      </c>
      <c r="E43" s="1">
        <v>1</v>
      </c>
      <c r="F43" s="7">
        <v>42431</v>
      </c>
      <c r="G43" s="7">
        <v>42431</v>
      </c>
      <c r="H43" s="11" t="s">
        <v>12</v>
      </c>
      <c r="I43" s="11" t="s">
        <v>108</v>
      </c>
      <c r="J43" s="1">
        <v>1027978</v>
      </c>
      <c r="K43" s="34" t="s">
        <v>168</v>
      </c>
      <c r="L43" s="9">
        <v>80</v>
      </c>
      <c r="M43" s="40"/>
      <c r="N43" s="40"/>
      <c r="O43" s="41" t="s">
        <v>13</v>
      </c>
      <c r="P43" s="43"/>
      <c r="Q43" s="44" t="e">
        <f>IF(O43&lt;&gt;0,C43/(VLOOKUP(O43,#REF!,2,FALSE)),"")</f>
        <v>#REF!</v>
      </c>
      <c r="R43" s="43"/>
      <c r="S43" s="43"/>
      <c r="T43" s="37">
        <f t="shared" ref="T43:T50" si="2">IF(COUNTIF(P43,"*érogation*"),C43,0)</f>
        <v>0</v>
      </c>
    </row>
    <row r="44" spans="2:20" s="2" customFormat="1" x14ac:dyDescent="0.2">
      <c r="B44" s="19" t="s">
        <v>107</v>
      </c>
      <c r="C44" s="11">
        <v>1000</v>
      </c>
      <c r="D44" s="11">
        <v>1</v>
      </c>
      <c r="E44" s="1">
        <v>14</v>
      </c>
      <c r="F44" s="7">
        <v>42431</v>
      </c>
      <c r="G44" s="7">
        <v>42431</v>
      </c>
      <c r="H44" s="11" t="s">
        <v>12</v>
      </c>
      <c r="I44" s="11" t="s">
        <v>108</v>
      </c>
      <c r="J44" s="1">
        <v>1027978</v>
      </c>
      <c r="K44" s="34" t="s">
        <v>168</v>
      </c>
      <c r="L44" s="9">
        <v>80</v>
      </c>
      <c r="M44" s="40"/>
      <c r="N44" s="40"/>
      <c r="O44" s="41" t="s">
        <v>13</v>
      </c>
      <c r="P44" s="43"/>
      <c r="Q44" s="44" t="e">
        <f>IF(O44&lt;&gt;0,C44/(VLOOKUP(O44,#REF!,2,FALSE)),"")</f>
        <v>#REF!</v>
      </c>
      <c r="R44" s="43"/>
      <c r="S44" s="43"/>
      <c r="T44" s="37">
        <f t="shared" si="2"/>
        <v>0</v>
      </c>
    </row>
    <row r="45" spans="2:20" s="2" customFormat="1" x14ac:dyDescent="0.2">
      <c r="B45" s="19" t="s">
        <v>107</v>
      </c>
      <c r="C45" s="11">
        <v>1000</v>
      </c>
      <c r="D45" s="11">
        <v>1</v>
      </c>
      <c r="E45" s="1">
        <v>2</v>
      </c>
      <c r="F45" s="7">
        <v>42431</v>
      </c>
      <c r="G45" s="7">
        <v>42431</v>
      </c>
      <c r="H45" s="11" t="s">
        <v>12</v>
      </c>
      <c r="I45" s="11" t="s">
        <v>108</v>
      </c>
      <c r="J45" s="1">
        <v>1027978</v>
      </c>
      <c r="K45" s="34" t="s">
        <v>168</v>
      </c>
      <c r="L45" s="9">
        <v>80</v>
      </c>
      <c r="M45" s="40"/>
      <c r="N45" s="40"/>
      <c r="O45" s="41" t="s">
        <v>13</v>
      </c>
      <c r="P45" s="43"/>
      <c r="Q45" s="44" t="e">
        <f>IF(O45&lt;&gt;0,C45/(VLOOKUP(O45,#REF!,2,FALSE)),"")</f>
        <v>#REF!</v>
      </c>
      <c r="R45" s="43"/>
      <c r="S45" s="43"/>
      <c r="T45" s="37">
        <f t="shared" si="2"/>
        <v>0</v>
      </c>
    </row>
    <row r="46" spans="2:20" s="2" customFormat="1" x14ac:dyDescent="0.2">
      <c r="B46" s="19" t="s">
        <v>107</v>
      </c>
      <c r="C46" s="20">
        <v>1000</v>
      </c>
      <c r="D46" s="11">
        <v>1</v>
      </c>
      <c r="E46" s="1">
        <v>10</v>
      </c>
      <c r="F46" s="7">
        <v>42430</v>
      </c>
      <c r="G46" s="7">
        <v>42430</v>
      </c>
      <c r="H46" s="11" t="s">
        <v>12</v>
      </c>
      <c r="I46" s="11" t="s">
        <v>108</v>
      </c>
      <c r="J46" s="1">
        <v>1027978</v>
      </c>
      <c r="K46" s="34" t="s">
        <v>168</v>
      </c>
      <c r="L46" s="9">
        <v>80</v>
      </c>
      <c r="M46" s="40"/>
      <c r="N46" s="40"/>
      <c r="O46" s="41" t="s">
        <v>13</v>
      </c>
      <c r="P46" s="38"/>
      <c r="Q46" s="39" t="e">
        <f>IF(O46&lt;&gt;0,C46/(VLOOKUP(O46,#REF!,2,FALSE)),"")</f>
        <v>#REF!</v>
      </c>
      <c r="R46" s="38"/>
      <c r="S46" s="38"/>
      <c r="T46" s="37">
        <f t="shared" si="2"/>
        <v>0</v>
      </c>
    </row>
    <row r="47" spans="2:20" s="2" customFormat="1" x14ac:dyDescent="0.2">
      <c r="B47" s="19" t="s">
        <v>107</v>
      </c>
      <c r="C47" s="20">
        <v>1000</v>
      </c>
      <c r="D47" s="11">
        <v>1</v>
      </c>
      <c r="E47" s="1">
        <v>12</v>
      </c>
      <c r="F47" s="7">
        <v>42430</v>
      </c>
      <c r="G47" s="7">
        <v>42430</v>
      </c>
      <c r="H47" s="11" t="s">
        <v>12</v>
      </c>
      <c r="I47" s="11" t="s">
        <v>108</v>
      </c>
      <c r="J47" s="1">
        <v>1027978</v>
      </c>
      <c r="K47" s="34" t="s">
        <v>168</v>
      </c>
      <c r="L47" s="9">
        <v>80</v>
      </c>
      <c r="M47" s="40"/>
      <c r="N47" s="40"/>
      <c r="O47" s="41" t="s">
        <v>13</v>
      </c>
      <c r="P47" s="38"/>
      <c r="Q47" s="39" t="e">
        <f>IF(O47&lt;&gt;0,C47/(VLOOKUP(O47,#REF!,2,FALSE)),"")</f>
        <v>#REF!</v>
      </c>
      <c r="R47" s="38"/>
      <c r="S47" s="38"/>
      <c r="T47" s="37">
        <f t="shared" si="2"/>
        <v>0</v>
      </c>
    </row>
    <row r="48" spans="2:20" s="2" customFormat="1" x14ac:dyDescent="0.2">
      <c r="B48" s="19" t="s">
        <v>107</v>
      </c>
      <c r="C48" s="20">
        <v>1000</v>
      </c>
      <c r="D48" s="11">
        <v>1</v>
      </c>
      <c r="E48" s="1">
        <v>8</v>
      </c>
      <c r="F48" s="7">
        <v>42430</v>
      </c>
      <c r="G48" s="7">
        <v>42430</v>
      </c>
      <c r="H48" s="11" t="s">
        <v>12</v>
      </c>
      <c r="I48" s="11" t="s">
        <v>108</v>
      </c>
      <c r="J48" s="1">
        <v>1027978</v>
      </c>
      <c r="K48" s="34" t="s">
        <v>168</v>
      </c>
      <c r="L48" s="9">
        <v>80</v>
      </c>
      <c r="M48" s="40"/>
      <c r="N48" s="40"/>
      <c r="O48" s="41" t="s">
        <v>13</v>
      </c>
      <c r="P48" s="38"/>
      <c r="Q48" s="39" t="e">
        <f>IF(O48&lt;&gt;0,C48/(VLOOKUP(O48,#REF!,2,FALSE)),"")</f>
        <v>#REF!</v>
      </c>
      <c r="R48" s="38"/>
      <c r="S48" s="38"/>
      <c r="T48" s="37">
        <f t="shared" si="2"/>
        <v>0</v>
      </c>
    </row>
    <row r="49" spans="2:20" s="2" customFormat="1" x14ac:dyDescent="0.2">
      <c r="B49" s="19" t="s">
        <v>107</v>
      </c>
      <c r="C49" s="20">
        <v>1000</v>
      </c>
      <c r="D49" s="11">
        <v>1</v>
      </c>
      <c r="E49" s="1">
        <v>7</v>
      </c>
      <c r="F49" s="7">
        <v>42430</v>
      </c>
      <c r="G49" s="7">
        <v>42430</v>
      </c>
      <c r="H49" s="11" t="s">
        <v>12</v>
      </c>
      <c r="I49" s="11" t="s">
        <v>108</v>
      </c>
      <c r="J49" s="1">
        <v>1027978</v>
      </c>
      <c r="K49" s="34" t="s">
        <v>168</v>
      </c>
      <c r="L49" s="9">
        <v>80</v>
      </c>
      <c r="M49" s="40"/>
      <c r="N49" s="40"/>
      <c r="O49" s="41" t="s">
        <v>13</v>
      </c>
      <c r="P49" s="38"/>
      <c r="Q49" s="39" t="e">
        <f>IF(O49&lt;&gt;0,C49/(VLOOKUP(O49,#REF!,2,FALSE)),"")</f>
        <v>#REF!</v>
      </c>
      <c r="R49" s="38"/>
      <c r="S49" s="38"/>
      <c r="T49" s="37">
        <f t="shared" si="2"/>
        <v>0</v>
      </c>
    </row>
    <row r="50" spans="2:20" s="2" customFormat="1" x14ac:dyDescent="0.2">
      <c r="B50" s="19" t="s">
        <v>107</v>
      </c>
      <c r="C50" s="20">
        <v>1000</v>
      </c>
      <c r="D50" s="20">
        <v>1</v>
      </c>
      <c r="E50" s="1">
        <v>9</v>
      </c>
      <c r="F50" s="7">
        <v>42429</v>
      </c>
      <c r="G50" s="7">
        <v>42429</v>
      </c>
      <c r="H50" s="11" t="s">
        <v>12</v>
      </c>
      <c r="I50" s="11" t="s">
        <v>108</v>
      </c>
      <c r="J50" s="1">
        <v>1027978</v>
      </c>
      <c r="K50" s="34" t="s">
        <v>168</v>
      </c>
      <c r="L50" s="9">
        <v>80</v>
      </c>
      <c r="M50" s="40"/>
      <c r="N50" s="40"/>
      <c r="O50" s="41" t="s">
        <v>13</v>
      </c>
      <c r="P50" s="38"/>
      <c r="Q50" s="39" t="e">
        <f>IF(O50&lt;&gt;0,C50/(VLOOKUP(O50,#REF!,2,FALSE)),"")</f>
        <v>#REF!</v>
      </c>
      <c r="R50" s="38"/>
      <c r="S50" s="38"/>
      <c r="T50" s="37">
        <f t="shared" si="2"/>
        <v>0</v>
      </c>
    </row>
    <row r="51" spans="2:20" x14ac:dyDescent="0.2">
      <c r="B51" s="29" t="s">
        <v>15</v>
      </c>
      <c r="C51" s="30">
        <f>SUBTOTAL(109,Liste1_737578185102118131_6152_4169_14199_2221_4242_2257_1829932036338641141442142643243944745647548649823456789102345678911121314152345678910111213141617181720212223234567891011121314151617181921222425[Nombre de pièces])</f>
        <v>19004</v>
      </c>
      <c r="D51" s="30">
        <f>SUBTOTAL(109,Liste1_737578185102118131_6152_4169_14199_2221_4242_2257_1829932036338641141442142643243944745647548649823456789102345678911121314152345678910111213141617181720212223234567891011121314151617181921222425[[Nombre de bacs ]])</f>
        <v>34</v>
      </c>
      <c r="E51" s="30"/>
      <c r="F51" s="30"/>
      <c r="G51" s="30"/>
      <c r="H51" s="30"/>
      <c r="I51" s="30"/>
      <c r="J51" s="30"/>
      <c r="K51" s="31"/>
      <c r="L51" s="30"/>
      <c r="M51" s="30">
        <f>SUBTOTAL(109,Liste1_737578185102118131_6152_4169_14199_2221_4242_2257_1829932036338641141442142643243944745647548649823456789102345678911121314152345678910111213141617181720212223234567891011121314151617181921222425[Débloquées])</f>
        <v>7568</v>
      </c>
      <c r="N51" s="30">
        <f>SUBTOTAL(109,Liste1_737578185102118131_6152_4169_14199_2221_4242_2257_1829932036338641141442142643243944745647548649823456789102345678911121314152345678910111213141617181720212223234567891011121314151617181921222425[[Rebutées ]])</f>
        <v>1131</v>
      </c>
      <c r="O51" s="30"/>
      <c r="P51" s="30"/>
      <c r="Q51" s="32" t="e">
        <f>SUBTOTAL(109,Liste1_737578185102118131_6152_4169_14199_2221_4242_2257_1829932036338641141442142643243944745647548649823456789102345678911121314152345678910111213141617181720212223234567891011121314151617181921222425[Durée de tri (h)])</f>
        <v>#REF!</v>
      </c>
      <c r="R51" s="30"/>
      <c r="S51" s="32">
        <f>SUBTOTAL(109,Liste1_737578185102118131_6152_4169_14199_2221_4242_2257_1829932036338641141442142643243944745647548649823456789102345678911121314152345678910111213141617181720212223234567891011121314151617181921222425[Efficience tri])</f>
        <v>0</v>
      </c>
      <c r="T51" s="30">
        <f>SUBTOTAL(109,Liste1_737578185102118131_6152_4169_14199_2221_4242_2257_1829932036338641141442142643243944745647548649823456789102345678911121314152345678910111213141617181720212223234567891011121314151617181921222425[Attente Dérogation])</f>
        <v>1110</v>
      </c>
    </row>
    <row r="58" spans="2:20" x14ac:dyDescent="0.2">
      <c r="D58" s="54"/>
      <c r="E58" s="16" t="s">
        <v>165</v>
      </c>
    </row>
    <row r="60" spans="2:20" x14ac:dyDescent="0.2">
      <c r="D60" s="47"/>
      <c r="E60" s="16"/>
    </row>
    <row r="61" spans="2:20" ht="12" customHeight="1" x14ac:dyDescent="0.2"/>
    <row r="64" spans="2:20" x14ac:dyDescent="0.2">
      <c r="E64" s="47"/>
    </row>
    <row r="66" spans="5:5" x14ac:dyDescent="0.2">
      <c r="E66" s="47"/>
    </row>
  </sheetData>
  <conditionalFormatting sqref="B1:B3 K1:K3 B52:B65499 K52:K65499">
    <cfRule type="expression" dxfId="5" priority="1" stopIfTrue="1">
      <formula>VLOOKUP(LEFT($B1,8),#REF!,1,0)=LEFT($B1,8)</formula>
    </cfRule>
  </conditionalFormatting>
  <dataValidations count="2">
    <dataValidation type="list" allowBlank="1" showInputMessage="1" showErrorMessage="1" sqref="P4:P50">
      <formula1>"Dérogation (décision client),Attente décision interne,OK QUA"</formula1>
    </dataValidation>
    <dataValidation type="list" allowBlank="1" showInputMessage="1" showErrorMessage="1" sqref="O4:O50">
      <formula1>"Montage,Montage + Visuel,Visuel"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T62"/>
  <sheetViews>
    <sheetView topLeftCell="A7" zoomScale="80" zoomScaleNormal="80" workbookViewId="0">
      <selection activeCell="K25" sqref="K25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27" t="s">
        <v>161</v>
      </c>
      <c r="C4" s="11">
        <v>950</v>
      </c>
      <c r="D4" s="11">
        <v>1</v>
      </c>
      <c r="E4" s="11">
        <v>8</v>
      </c>
      <c r="F4" s="57">
        <v>42433</v>
      </c>
      <c r="G4" s="57">
        <v>42433</v>
      </c>
      <c r="H4" s="55" t="s">
        <v>12</v>
      </c>
      <c r="I4" s="55" t="s">
        <v>114</v>
      </c>
      <c r="J4" s="56">
        <v>1028029</v>
      </c>
      <c r="K4" s="61" t="s">
        <v>180</v>
      </c>
      <c r="L4" s="58">
        <v>80</v>
      </c>
      <c r="M4" s="59"/>
      <c r="N4" s="59"/>
      <c r="O4" s="60"/>
      <c r="P4" s="38"/>
      <c r="Q4" s="39" t="e">
        <f>IF(O6&lt;&gt;0,C6/(VLOOKUP(O6,#REF!,2,FALSE)),"")</f>
        <v>#REF!</v>
      </c>
      <c r="R4" s="38"/>
      <c r="S4" s="38"/>
      <c r="T4" s="37">
        <f>IF(COUNTIF(P4,"*érogation*"),C6,0)</f>
        <v>0</v>
      </c>
    </row>
    <row r="5" spans="1:20" s="2" customFormat="1" x14ac:dyDescent="0.2">
      <c r="B5" s="27" t="s">
        <v>161</v>
      </c>
      <c r="C5" s="11">
        <v>950</v>
      </c>
      <c r="D5" s="11">
        <v>1</v>
      </c>
      <c r="E5" s="11">
        <v>11</v>
      </c>
      <c r="F5" s="57">
        <v>42433</v>
      </c>
      <c r="G5" s="57">
        <v>42433</v>
      </c>
      <c r="H5" s="11" t="s">
        <v>12</v>
      </c>
      <c r="I5" s="55" t="s">
        <v>114</v>
      </c>
      <c r="J5" s="56">
        <v>1028029</v>
      </c>
      <c r="K5" s="61" t="s">
        <v>180</v>
      </c>
      <c r="L5" s="58">
        <v>80</v>
      </c>
      <c r="M5" s="40"/>
      <c r="N5" s="40"/>
      <c r="O5" s="41"/>
      <c r="P5" s="43"/>
      <c r="Q5" s="44" t="str">
        <f>IF(O5&lt;&gt;0,C5/(VLOOKUP(O5,#REF!,2,FALSE)),"")</f>
        <v/>
      </c>
      <c r="R5" s="43"/>
      <c r="S5" s="43"/>
      <c r="T5" s="37">
        <f>IF(COUNTIF(P5,"*érogation*"),C5,0)</f>
        <v>0</v>
      </c>
    </row>
    <row r="6" spans="1:20" s="2" customFormat="1" x14ac:dyDescent="0.2">
      <c r="B6" s="19" t="s">
        <v>42</v>
      </c>
      <c r="C6" s="20">
        <v>146</v>
      </c>
      <c r="D6" s="20">
        <v>1</v>
      </c>
      <c r="E6" s="11">
        <v>6</v>
      </c>
      <c r="F6" s="7">
        <v>42424</v>
      </c>
      <c r="G6" s="7">
        <v>42429</v>
      </c>
      <c r="H6" s="11" t="s">
        <v>12</v>
      </c>
      <c r="I6" s="11" t="s">
        <v>88</v>
      </c>
      <c r="J6" s="1">
        <v>1027951</v>
      </c>
      <c r="K6" s="34" t="s">
        <v>166</v>
      </c>
      <c r="L6" s="9">
        <v>80</v>
      </c>
      <c r="M6" s="40"/>
      <c r="N6" s="40"/>
      <c r="O6" s="41" t="s">
        <v>13</v>
      </c>
      <c r="P6" s="43"/>
      <c r="Q6" s="44" t="e">
        <f>IF(#REF!&lt;&gt;0,#REF!/(VLOOKUP(#REF!,#REF!,2,FALSE)),"")</f>
        <v>#REF!</v>
      </c>
      <c r="R6" s="43"/>
      <c r="S6" s="43"/>
      <c r="T6" s="37">
        <f>IF(COUNTIF(P6,"*érogation*"),#REF!,0)</f>
        <v>0</v>
      </c>
    </row>
    <row r="7" spans="1:20" s="2" customFormat="1" ht="25.5" x14ac:dyDescent="0.2">
      <c r="B7" s="27" t="s">
        <v>46</v>
      </c>
      <c r="C7" s="20">
        <v>800</v>
      </c>
      <c r="D7" s="20">
        <v>1</v>
      </c>
      <c r="E7" s="1">
        <v>2</v>
      </c>
      <c r="F7" s="7">
        <v>42268</v>
      </c>
      <c r="G7" s="7">
        <v>42376</v>
      </c>
      <c r="H7" s="11" t="s">
        <v>12</v>
      </c>
      <c r="I7" s="11" t="s">
        <v>56</v>
      </c>
      <c r="J7" s="1">
        <v>1023105</v>
      </c>
      <c r="K7" s="13" t="s">
        <v>55</v>
      </c>
      <c r="L7" s="9">
        <v>80</v>
      </c>
      <c r="M7" s="40"/>
      <c r="N7" s="40"/>
      <c r="O7" s="41"/>
      <c r="P7" s="43" t="s">
        <v>31</v>
      </c>
      <c r="Q7" s="39" t="str">
        <f>IF(O7&lt;&gt;0,C7/(VLOOKUP(O7,#REF!,2,FALSE)),"")</f>
        <v/>
      </c>
      <c r="R7" s="38"/>
      <c r="S7" s="38"/>
      <c r="T7" s="37">
        <f t="shared" ref="T7:T46" si="0">IF(COUNTIF(P7,"*érogation*"),C7,0)</f>
        <v>0</v>
      </c>
    </row>
    <row r="8" spans="1:20" s="2" customFormat="1" ht="25.5" x14ac:dyDescent="0.2">
      <c r="B8" s="27" t="s">
        <v>46</v>
      </c>
      <c r="C8" s="20">
        <v>504</v>
      </c>
      <c r="D8" s="20">
        <v>1</v>
      </c>
      <c r="E8" s="1">
        <v>1</v>
      </c>
      <c r="F8" s="7">
        <v>42268</v>
      </c>
      <c r="G8" s="7">
        <v>42376</v>
      </c>
      <c r="H8" s="11" t="s">
        <v>12</v>
      </c>
      <c r="I8" s="11" t="s">
        <v>56</v>
      </c>
      <c r="J8" s="1">
        <v>1023105</v>
      </c>
      <c r="K8" s="13" t="s">
        <v>55</v>
      </c>
      <c r="L8" s="9">
        <v>80</v>
      </c>
      <c r="M8" s="40"/>
      <c r="N8" s="40"/>
      <c r="O8" s="41"/>
      <c r="P8" s="43" t="s">
        <v>31</v>
      </c>
      <c r="Q8" s="39" t="str">
        <f>IF(O8&lt;&gt;0,C8/(VLOOKUP(O8,#REF!,2,FALSE)),"")</f>
        <v/>
      </c>
      <c r="R8" s="38"/>
      <c r="S8" s="38"/>
      <c r="T8" s="37">
        <f t="shared" si="0"/>
        <v>0</v>
      </c>
    </row>
    <row r="9" spans="1:20" s="2" customFormat="1" x14ac:dyDescent="0.2">
      <c r="B9" s="19" t="s">
        <v>110</v>
      </c>
      <c r="C9" s="20">
        <v>950</v>
      </c>
      <c r="D9" s="20">
        <v>1</v>
      </c>
      <c r="E9" s="1">
        <v>3</v>
      </c>
      <c r="F9" s="7">
        <v>42423</v>
      </c>
      <c r="G9" s="7">
        <v>42423</v>
      </c>
      <c r="H9" s="11" t="s">
        <v>12</v>
      </c>
      <c r="I9" s="11" t="s">
        <v>159</v>
      </c>
      <c r="J9" s="1">
        <v>1027952</v>
      </c>
      <c r="K9" s="34" t="s">
        <v>160</v>
      </c>
      <c r="L9" s="9">
        <v>80</v>
      </c>
      <c r="M9" s="40"/>
      <c r="N9" s="40"/>
      <c r="O9" s="41" t="s">
        <v>13</v>
      </c>
      <c r="P9" s="38"/>
      <c r="Q9" s="39" t="e">
        <f>IF(O9&lt;&gt;0,C9/(VLOOKUP(O9,#REF!,2,FALSE)),"")</f>
        <v>#REF!</v>
      </c>
      <c r="R9" s="38"/>
      <c r="S9" s="38"/>
      <c r="T9" s="37">
        <f>IF(COUNTIF(P9,"*érogation*"),C9,0)</f>
        <v>0</v>
      </c>
    </row>
    <row r="10" spans="1:20" s="2" customFormat="1" x14ac:dyDescent="0.2">
      <c r="B10" s="42" t="s">
        <v>154</v>
      </c>
      <c r="C10" s="53"/>
      <c r="D10" s="20"/>
      <c r="E10" s="52">
        <v>12</v>
      </c>
      <c r="F10" s="7">
        <v>42423</v>
      </c>
      <c r="G10" s="7">
        <v>42423</v>
      </c>
      <c r="H10" s="11" t="s">
        <v>12</v>
      </c>
      <c r="I10" s="11" t="s">
        <v>114</v>
      </c>
      <c r="J10" s="1">
        <v>1027918</v>
      </c>
      <c r="K10" s="34" t="s">
        <v>156</v>
      </c>
      <c r="L10" s="9">
        <v>80</v>
      </c>
      <c r="M10" s="40">
        <v>447</v>
      </c>
      <c r="N10" s="40">
        <v>3</v>
      </c>
      <c r="O10" s="41" t="s">
        <v>13</v>
      </c>
      <c r="P10" s="38"/>
      <c r="Q10" s="39" t="e">
        <f>IF(O10&lt;&gt;0,C10/(VLOOKUP(O10,#REF!,2,FALSE)),"")</f>
        <v>#REF!</v>
      </c>
      <c r="R10" s="38"/>
      <c r="S10" s="38"/>
      <c r="T10" s="37">
        <f>IF(COUNTIF(P10,"*érogation*"),C10,0)</f>
        <v>0</v>
      </c>
    </row>
    <row r="11" spans="1:20" s="2" customFormat="1" ht="25.5" x14ac:dyDescent="0.2">
      <c r="B11" s="42" t="s">
        <v>49</v>
      </c>
      <c r="C11" s="20"/>
      <c r="D11" s="20"/>
      <c r="E11" s="11">
        <v>2</v>
      </c>
      <c r="F11" s="7">
        <v>42356</v>
      </c>
      <c r="G11" s="7">
        <v>42356</v>
      </c>
      <c r="H11" s="11" t="s">
        <v>12</v>
      </c>
      <c r="I11" s="11" t="s">
        <v>98</v>
      </c>
      <c r="J11" s="1">
        <v>1027045</v>
      </c>
      <c r="K11" s="13" t="s">
        <v>50</v>
      </c>
      <c r="L11" s="9">
        <v>80</v>
      </c>
      <c r="M11" s="40">
        <v>284</v>
      </c>
      <c r="N11" s="40"/>
      <c r="O11" s="41"/>
      <c r="P11" s="38" t="s">
        <v>22</v>
      </c>
      <c r="Q11" s="39" t="str">
        <f>IF(O11&lt;&gt;0,C11/(VLOOKUP(O11,#REF!,2,FALSE)),"")</f>
        <v/>
      </c>
      <c r="R11" s="38"/>
      <c r="S11" s="38"/>
      <c r="T11" s="37">
        <f t="shared" si="0"/>
        <v>0</v>
      </c>
    </row>
    <row r="12" spans="1:20" s="2" customFormat="1" x14ac:dyDescent="0.2">
      <c r="B12" s="27" t="s">
        <v>34</v>
      </c>
      <c r="C12" s="20">
        <v>500</v>
      </c>
      <c r="D12" s="20">
        <v>1</v>
      </c>
      <c r="E12" s="11">
        <v>7</v>
      </c>
      <c r="F12" s="7">
        <v>42426</v>
      </c>
      <c r="G12" s="7">
        <v>42426</v>
      </c>
      <c r="H12" s="11" t="s">
        <v>12</v>
      </c>
      <c r="I12" s="11" t="s">
        <v>134</v>
      </c>
      <c r="J12" s="1">
        <v>1027836</v>
      </c>
      <c r="K12" s="34" t="s">
        <v>128</v>
      </c>
      <c r="L12" s="9">
        <v>80</v>
      </c>
      <c r="M12" s="40"/>
      <c r="N12" s="40"/>
      <c r="O12" s="41" t="s">
        <v>14</v>
      </c>
      <c r="P12" s="38"/>
      <c r="Q12" s="39" t="e">
        <f>IF(O12&lt;&gt;0,C12/(VLOOKUP(O12,#REF!,2,FALSE)),"")</f>
        <v>#REF!</v>
      </c>
      <c r="R12" s="38"/>
      <c r="S12" s="38"/>
      <c r="T12" s="37">
        <f>IF(COUNTIF(P12,"*érogation*"),C12,0)</f>
        <v>0</v>
      </c>
    </row>
    <row r="13" spans="1:20" s="2" customFormat="1" ht="25.5" x14ac:dyDescent="0.2">
      <c r="B13" s="27" t="s">
        <v>34</v>
      </c>
      <c r="C13" s="20">
        <v>326</v>
      </c>
      <c r="D13" s="20">
        <v>1</v>
      </c>
      <c r="E13" s="11">
        <v>5</v>
      </c>
      <c r="F13" s="7">
        <v>42244</v>
      </c>
      <c r="G13" s="7">
        <v>42244</v>
      </c>
      <c r="H13" s="11" t="s">
        <v>12</v>
      </c>
      <c r="I13" s="11" t="s">
        <v>38</v>
      </c>
      <c r="J13" s="1">
        <v>1025060</v>
      </c>
      <c r="K13" s="13" t="s">
        <v>35</v>
      </c>
      <c r="L13" s="9">
        <v>80</v>
      </c>
      <c r="M13" s="40"/>
      <c r="N13" s="40"/>
      <c r="O13" s="41"/>
      <c r="P13" s="38" t="s">
        <v>22</v>
      </c>
      <c r="Q13" s="39" t="str">
        <f>IF(O13&lt;&gt;0,C13/(VLOOKUP(O13,#REF!,2,FALSE)),"")</f>
        <v/>
      </c>
      <c r="R13" s="38"/>
      <c r="S13" s="38"/>
      <c r="T13" s="37">
        <f t="shared" si="0"/>
        <v>326</v>
      </c>
    </row>
    <row r="14" spans="1:20" s="2" customFormat="1" ht="25.5" x14ac:dyDescent="0.2">
      <c r="B14" s="27" t="s">
        <v>34</v>
      </c>
      <c r="C14" s="20">
        <v>500</v>
      </c>
      <c r="D14" s="20">
        <v>1</v>
      </c>
      <c r="E14" s="11">
        <v>5</v>
      </c>
      <c r="F14" s="7">
        <v>42263</v>
      </c>
      <c r="G14" s="7">
        <v>42263</v>
      </c>
      <c r="H14" s="11" t="s">
        <v>12</v>
      </c>
      <c r="I14" s="11" t="s">
        <v>38</v>
      </c>
      <c r="J14" s="1">
        <v>1025490</v>
      </c>
      <c r="K14" s="13" t="s">
        <v>37</v>
      </c>
      <c r="L14" s="9">
        <v>80</v>
      </c>
      <c r="M14" s="40"/>
      <c r="N14" s="40"/>
      <c r="O14" s="41"/>
      <c r="P14" s="38" t="s">
        <v>22</v>
      </c>
      <c r="Q14" s="39" t="str">
        <f>IF(O14&lt;&gt;0,C14/(VLOOKUP(O14,#REF!,2,FALSE)),"")</f>
        <v/>
      </c>
      <c r="R14" s="38"/>
      <c r="S14" s="38"/>
      <c r="T14" s="37">
        <f t="shared" si="0"/>
        <v>500</v>
      </c>
    </row>
    <row r="15" spans="1:20" s="2" customFormat="1" x14ac:dyDescent="0.2">
      <c r="B15" s="27" t="s">
        <v>176</v>
      </c>
      <c r="C15" s="11">
        <v>500</v>
      </c>
      <c r="D15" s="11">
        <v>1</v>
      </c>
      <c r="E15" s="1">
        <v>3</v>
      </c>
      <c r="F15" s="7">
        <v>42431</v>
      </c>
      <c r="G15" s="7">
        <v>42431</v>
      </c>
      <c r="H15" s="11" t="s">
        <v>12</v>
      </c>
      <c r="I15" s="11" t="s">
        <v>177</v>
      </c>
      <c r="J15" s="1">
        <v>1027882</v>
      </c>
      <c r="K15" s="34" t="s">
        <v>178</v>
      </c>
      <c r="L15" s="9">
        <v>80</v>
      </c>
      <c r="M15" s="40"/>
      <c r="N15" s="40"/>
      <c r="O15" s="41"/>
      <c r="P15" s="43"/>
      <c r="Q15" s="44" t="str">
        <f>IF(O15&lt;&gt;0,C15/(VLOOKUP(O15,#REF!,2,FALSE)),"")</f>
        <v/>
      </c>
      <c r="R15" s="43"/>
      <c r="S15" s="43"/>
      <c r="T15" s="37">
        <f t="shared" ref="T15:T20" si="1">IF(COUNTIF(P15,"*érogation*"),C15,0)</f>
        <v>0</v>
      </c>
    </row>
    <row r="16" spans="1:20" s="2" customFormat="1" x14ac:dyDescent="0.2">
      <c r="B16" s="27" t="s">
        <v>176</v>
      </c>
      <c r="C16" s="11">
        <v>500</v>
      </c>
      <c r="D16" s="11">
        <v>1</v>
      </c>
      <c r="E16" s="1">
        <v>4</v>
      </c>
      <c r="F16" s="7">
        <v>42431</v>
      </c>
      <c r="G16" s="7">
        <v>42431</v>
      </c>
      <c r="H16" s="11" t="s">
        <v>12</v>
      </c>
      <c r="I16" s="11" t="s">
        <v>177</v>
      </c>
      <c r="J16" s="1">
        <v>1027882</v>
      </c>
      <c r="K16" s="34" t="s">
        <v>178</v>
      </c>
      <c r="L16" s="9">
        <v>80</v>
      </c>
      <c r="M16" s="40"/>
      <c r="N16" s="40"/>
      <c r="O16" s="41"/>
      <c r="P16" s="43"/>
      <c r="Q16" s="44" t="str">
        <f>IF(O16&lt;&gt;0,C16/(VLOOKUP(O16,#REF!,2,FALSE)),"")</f>
        <v/>
      </c>
      <c r="R16" s="43"/>
      <c r="S16" s="43"/>
      <c r="T16" s="37">
        <f t="shared" si="1"/>
        <v>0</v>
      </c>
    </row>
    <row r="17" spans="2:20" s="2" customFormat="1" x14ac:dyDescent="0.2">
      <c r="B17" s="27" t="s">
        <v>176</v>
      </c>
      <c r="C17" s="11">
        <v>500</v>
      </c>
      <c r="D17" s="11">
        <v>1</v>
      </c>
      <c r="E17" s="1">
        <v>6</v>
      </c>
      <c r="F17" s="7">
        <v>42431</v>
      </c>
      <c r="G17" s="7">
        <v>42431</v>
      </c>
      <c r="H17" s="11" t="s">
        <v>12</v>
      </c>
      <c r="I17" s="11" t="s">
        <v>177</v>
      </c>
      <c r="J17" s="1">
        <v>1027882</v>
      </c>
      <c r="K17" s="34" t="s">
        <v>178</v>
      </c>
      <c r="L17" s="9">
        <v>80</v>
      </c>
      <c r="M17" s="40"/>
      <c r="N17" s="40"/>
      <c r="O17" s="41"/>
      <c r="P17" s="43"/>
      <c r="Q17" s="44" t="str">
        <f>IF(O17&lt;&gt;0,C17/(VLOOKUP(O17,#REF!,2,FALSE)),"")</f>
        <v/>
      </c>
      <c r="R17" s="43"/>
      <c r="S17" s="43"/>
      <c r="T17" s="37">
        <f t="shared" si="1"/>
        <v>0</v>
      </c>
    </row>
    <row r="18" spans="2:20" s="2" customFormat="1" x14ac:dyDescent="0.2">
      <c r="B18" s="27" t="s">
        <v>176</v>
      </c>
      <c r="C18" s="11">
        <v>307</v>
      </c>
      <c r="D18" s="11">
        <v>1</v>
      </c>
      <c r="E18" s="1">
        <v>1</v>
      </c>
      <c r="F18" s="7">
        <v>42431</v>
      </c>
      <c r="G18" s="7">
        <v>42431</v>
      </c>
      <c r="H18" s="11" t="s">
        <v>12</v>
      </c>
      <c r="I18" s="11" t="s">
        <v>177</v>
      </c>
      <c r="J18" s="1">
        <v>1027882</v>
      </c>
      <c r="K18" s="34" t="s">
        <v>178</v>
      </c>
      <c r="L18" s="9">
        <v>80</v>
      </c>
      <c r="M18" s="40"/>
      <c r="N18" s="40"/>
      <c r="O18" s="41"/>
      <c r="P18" s="43"/>
      <c r="Q18" s="44" t="str">
        <f>IF(O18&lt;&gt;0,C18/(VLOOKUP(O18,#REF!,2,FALSE)),"")</f>
        <v/>
      </c>
      <c r="R18" s="43"/>
      <c r="S18" s="43"/>
      <c r="T18" s="37">
        <f t="shared" si="1"/>
        <v>0</v>
      </c>
    </row>
    <row r="19" spans="2:20" s="2" customFormat="1" x14ac:dyDescent="0.2">
      <c r="B19" s="27" t="s">
        <v>135</v>
      </c>
      <c r="C19" s="20">
        <v>600</v>
      </c>
      <c r="D19" s="20">
        <v>1</v>
      </c>
      <c r="E19" s="1">
        <v>2</v>
      </c>
      <c r="F19" s="7">
        <v>42432</v>
      </c>
      <c r="G19" s="7">
        <v>42432</v>
      </c>
      <c r="H19" s="11" t="s">
        <v>12</v>
      </c>
      <c r="I19" s="11" t="s">
        <v>134</v>
      </c>
      <c r="J19" s="1">
        <v>1028059</v>
      </c>
      <c r="K19" s="34" t="s">
        <v>179</v>
      </c>
      <c r="L19" s="9">
        <v>80</v>
      </c>
      <c r="M19" s="40"/>
      <c r="N19" s="40"/>
      <c r="O19" s="41" t="s">
        <v>14</v>
      </c>
      <c r="P19" s="38"/>
      <c r="Q19" s="39" t="e">
        <f>IF(O19&lt;&gt;0,C19/(VLOOKUP(O19,#REF!,2,FALSE)),"")</f>
        <v>#REF!</v>
      </c>
      <c r="R19" s="38"/>
      <c r="S19" s="38"/>
      <c r="T19" s="37">
        <f t="shared" si="1"/>
        <v>0</v>
      </c>
    </row>
    <row r="20" spans="2:20" s="2" customFormat="1" ht="25.5" x14ac:dyDescent="0.2">
      <c r="B20" s="42" t="s">
        <v>135</v>
      </c>
      <c r="C20" s="11"/>
      <c r="D20" s="11"/>
      <c r="E20" s="1">
        <v>26</v>
      </c>
      <c r="F20" s="7">
        <v>42423</v>
      </c>
      <c r="G20" s="7">
        <v>42423</v>
      </c>
      <c r="H20" s="11" t="s">
        <v>12</v>
      </c>
      <c r="I20" s="11" t="s">
        <v>141</v>
      </c>
      <c r="J20" s="1">
        <v>1027903</v>
      </c>
      <c r="K20" s="34" t="s">
        <v>136</v>
      </c>
      <c r="L20" s="9">
        <v>80</v>
      </c>
      <c r="M20" s="40">
        <v>600</v>
      </c>
      <c r="N20" s="40"/>
      <c r="O20" s="41" t="s">
        <v>16</v>
      </c>
      <c r="P20" s="43"/>
      <c r="Q20" s="44" t="e">
        <f>IF(O20&lt;&gt;0,C20/(VLOOKUP(O20,#REF!,2,FALSE)),"")</f>
        <v>#REF!</v>
      </c>
      <c r="R20" s="43"/>
      <c r="S20" s="43"/>
      <c r="T20" s="37">
        <f t="shared" si="1"/>
        <v>0</v>
      </c>
    </row>
    <row r="21" spans="2:20" s="2" customFormat="1" x14ac:dyDescent="0.2">
      <c r="B21" s="27" t="s">
        <v>181</v>
      </c>
      <c r="C21" s="11">
        <v>750</v>
      </c>
      <c r="D21" s="11">
        <v>1</v>
      </c>
      <c r="E21" s="1">
        <v>10</v>
      </c>
      <c r="F21" s="7">
        <v>42433</v>
      </c>
      <c r="G21" s="7">
        <v>42433</v>
      </c>
      <c r="H21" s="11" t="s">
        <v>12</v>
      </c>
      <c r="I21" s="11" t="s">
        <v>183</v>
      </c>
      <c r="J21" s="1">
        <v>1028094</v>
      </c>
      <c r="K21" s="34" t="s">
        <v>182</v>
      </c>
      <c r="L21" s="9">
        <v>80</v>
      </c>
      <c r="M21" s="40"/>
      <c r="N21" s="40"/>
      <c r="O21" s="41" t="s">
        <v>13</v>
      </c>
      <c r="P21" s="43"/>
      <c r="Q21" s="44" t="e">
        <f>IF(O23&lt;&gt;0,C23/(VLOOKUP(O23,#REF!,2,FALSE)),"")</f>
        <v>#REF!</v>
      </c>
      <c r="R21" s="43"/>
      <c r="S21" s="43"/>
      <c r="T21" s="37">
        <f>IF(COUNTIF(P21,"*érogation*"),C23,0)</f>
        <v>0</v>
      </c>
    </row>
    <row r="22" spans="2:20" s="2" customFormat="1" x14ac:dyDescent="0.2">
      <c r="B22" s="27" t="s">
        <v>181</v>
      </c>
      <c r="C22" s="11">
        <v>750</v>
      </c>
      <c r="D22" s="11">
        <v>1</v>
      </c>
      <c r="E22" s="1">
        <v>8</v>
      </c>
      <c r="F22" s="7">
        <v>42433</v>
      </c>
      <c r="G22" s="7">
        <v>42433</v>
      </c>
      <c r="H22" s="11" t="s">
        <v>12</v>
      </c>
      <c r="I22" s="11" t="s">
        <v>183</v>
      </c>
      <c r="J22" s="1">
        <v>1028094</v>
      </c>
      <c r="K22" s="34" t="s">
        <v>182</v>
      </c>
      <c r="L22" s="9">
        <v>80</v>
      </c>
      <c r="M22" s="40"/>
      <c r="N22" s="40"/>
      <c r="O22" s="41" t="s">
        <v>13</v>
      </c>
      <c r="P22" s="43"/>
      <c r="Q22" s="44" t="e">
        <f>IF(O24&lt;&gt;0,C24/(VLOOKUP(O24,#REF!,2,FALSE)),"")</f>
        <v>#REF!</v>
      </c>
      <c r="R22" s="43"/>
      <c r="S22" s="43"/>
      <c r="T22" s="37">
        <f>IF(COUNTIF(P22,"*érogation*"),C24,0)</f>
        <v>0</v>
      </c>
    </row>
    <row r="23" spans="2:20" s="2" customFormat="1" x14ac:dyDescent="0.2">
      <c r="B23" s="27" t="s">
        <v>181</v>
      </c>
      <c r="C23" s="11">
        <v>750</v>
      </c>
      <c r="D23" s="11">
        <v>1</v>
      </c>
      <c r="E23" s="1">
        <v>20</v>
      </c>
      <c r="F23" s="7">
        <v>42433</v>
      </c>
      <c r="G23" s="7">
        <v>42433</v>
      </c>
      <c r="H23" s="11" t="s">
        <v>12</v>
      </c>
      <c r="I23" s="11" t="s">
        <v>183</v>
      </c>
      <c r="J23" s="1">
        <v>1028094</v>
      </c>
      <c r="K23" s="34" t="s">
        <v>182</v>
      </c>
      <c r="L23" s="9">
        <v>80</v>
      </c>
      <c r="M23" s="40"/>
      <c r="N23" s="40"/>
      <c r="O23" s="41" t="s">
        <v>13</v>
      </c>
      <c r="P23" s="43"/>
      <c r="Q23" s="44" t="e">
        <f>IF(O25&lt;&gt;0,C25/(VLOOKUP(O25,#REF!,2,FALSE)),"")</f>
        <v>#REF!</v>
      </c>
      <c r="R23" s="43"/>
      <c r="S23" s="43"/>
      <c r="T23" s="37">
        <f>IF(COUNTIF(P23,"*érogation*"),C25,0)</f>
        <v>0</v>
      </c>
    </row>
    <row r="24" spans="2:20" s="2" customFormat="1" x14ac:dyDescent="0.2">
      <c r="B24" s="27" t="s">
        <v>181</v>
      </c>
      <c r="C24" s="11">
        <v>750</v>
      </c>
      <c r="D24" s="11">
        <v>1</v>
      </c>
      <c r="E24" s="1">
        <v>4</v>
      </c>
      <c r="F24" s="7">
        <v>42433</v>
      </c>
      <c r="G24" s="7">
        <v>42433</v>
      </c>
      <c r="H24" s="11" t="s">
        <v>12</v>
      </c>
      <c r="I24" s="11" t="s">
        <v>183</v>
      </c>
      <c r="J24" s="1">
        <v>1028094</v>
      </c>
      <c r="K24" s="34" t="s">
        <v>182</v>
      </c>
      <c r="L24" s="9">
        <v>80</v>
      </c>
      <c r="M24" s="40"/>
      <c r="N24" s="40"/>
      <c r="O24" s="41" t="s">
        <v>13</v>
      </c>
      <c r="P24" s="43"/>
      <c r="Q24" s="44" t="e">
        <f>IF(O26&lt;&gt;0,C26/(VLOOKUP(O26,#REF!,2,FALSE)),"")</f>
        <v>#REF!</v>
      </c>
      <c r="R24" s="43"/>
      <c r="S24" s="43"/>
      <c r="T24" s="37">
        <f>IF(COUNTIF(P24,"*érogation*"),C26,0)</f>
        <v>0</v>
      </c>
    </row>
    <row r="25" spans="2:20" s="2" customFormat="1" x14ac:dyDescent="0.2">
      <c r="B25" s="27" t="s">
        <v>181</v>
      </c>
      <c r="C25" s="11">
        <v>750</v>
      </c>
      <c r="D25" s="11">
        <v>1</v>
      </c>
      <c r="E25" s="1">
        <v>3</v>
      </c>
      <c r="F25" s="7">
        <v>42433</v>
      </c>
      <c r="G25" s="7">
        <v>42433</v>
      </c>
      <c r="H25" s="11" t="s">
        <v>12</v>
      </c>
      <c r="I25" s="11" t="s">
        <v>183</v>
      </c>
      <c r="J25" s="1">
        <v>1028094</v>
      </c>
      <c r="K25" s="34" t="s">
        <v>182</v>
      </c>
      <c r="L25" s="9">
        <v>80</v>
      </c>
      <c r="M25" s="40"/>
      <c r="N25" s="40"/>
      <c r="O25" s="41" t="s">
        <v>13</v>
      </c>
      <c r="P25" s="43"/>
      <c r="Q25" s="44" t="e">
        <f>IF(O27&lt;&gt;0,C27/(VLOOKUP(O27,#REF!,2,FALSE)),"")</f>
        <v>#REF!</v>
      </c>
      <c r="R25" s="43"/>
      <c r="S25" s="43"/>
      <c r="T25" s="37">
        <f>IF(COUNTIF(P25,"*érogation*"),C27,0)</f>
        <v>0</v>
      </c>
    </row>
    <row r="26" spans="2:20" s="2" customFormat="1" x14ac:dyDescent="0.2">
      <c r="B26" s="42" t="s">
        <v>45</v>
      </c>
      <c r="C26" s="11"/>
      <c r="D26" s="11"/>
      <c r="E26" s="1">
        <v>11</v>
      </c>
      <c r="F26" s="7">
        <v>42421</v>
      </c>
      <c r="G26" s="7">
        <v>42421</v>
      </c>
      <c r="H26" s="11" t="s">
        <v>12</v>
      </c>
      <c r="I26" s="11" t="s">
        <v>148</v>
      </c>
      <c r="J26" s="1">
        <v>1027883</v>
      </c>
      <c r="K26" s="34" t="s">
        <v>137</v>
      </c>
      <c r="L26" s="9">
        <v>80</v>
      </c>
      <c r="M26" s="40">
        <v>489</v>
      </c>
      <c r="N26" s="40">
        <v>111</v>
      </c>
      <c r="O26" s="41" t="s">
        <v>14</v>
      </c>
      <c r="P26" s="43"/>
      <c r="Q26" s="44" t="e">
        <f>IF(O26&lt;&gt;0,C26/(VLOOKUP(O26,#REF!,2,FALSE)),"")</f>
        <v>#REF!</v>
      </c>
      <c r="R26" s="43"/>
      <c r="S26" s="43"/>
      <c r="T26" s="37">
        <f t="shared" si="0"/>
        <v>0</v>
      </c>
    </row>
    <row r="27" spans="2:20" s="2" customFormat="1" x14ac:dyDescent="0.2">
      <c r="B27" s="42" t="s">
        <v>45</v>
      </c>
      <c r="C27" s="11"/>
      <c r="D27" s="11"/>
      <c r="E27" s="1">
        <v>6</v>
      </c>
      <c r="F27" s="7">
        <v>42424</v>
      </c>
      <c r="G27" s="7">
        <v>42424</v>
      </c>
      <c r="H27" s="11" t="s">
        <v>12</v>
      </c>
      <c r="I27" s="11" t="s">
        <v>149</v>
      </c>
      <c r="J27" s="1">
        <v>1027883</v>
      </c>
      <c r="K27" s="34" t="s">
        <v>137</v>
      </c>
      <c r="L27" s="9">
        <v>80</v>
      </c>
      <c r="M27" s="40">
        <v>275</v>
      </c>
      <c r="N27" s="40">
        <v>325</v>
      </c>
      <c r="O27" s="41" t="s">
        <v>14</v>
      </c>
      <c r="P27" s="43"/>
      <c r="Q27" s="44" t="e">
        <f>IF(O27&lt;&gt;0,C27/(VLOOKUP(O27,#REF!,2,FALSE)),"")</f>
        <v>#REF!</v>
      </c>
      <c r="R27" s="43"/>
      <c r="S27" s="43"/>
      <c r="T27" s="37">
        <f t="shared" si="0"/>
        <v>0</v>
      </c>
    </row>
    <row r="28" spans="2:20" s="2" customFormat="1" x14ac:dyDescent="0.2">
      <c r="B28" s="27" t="s">
        <v>45</v>
      </c>
      <c r="C28" s="11">
        <v>449</v>
      </c>
      <c r="D28" s="11">
        <v>1</v>
      </c>
      <c r="E28" s="1">
        <v>1</v>
      </c>
      <c r="F28" s="7">
        <v>42424</v>
      </c>
      <c r="G28" s="7">
        <v>42424</v>
      </c>
      <c r="H28" s="11" t="s">
        <v>12</v>
      </c>
      <c r="I28" s="11" t="s">
        <v>87</v>
      </c>
      <c r="J28" s="1">
        <v>1027883</v>
      </c>
      <c r="K28" s="34" t="s">
        <v>137</v>
      </c>
      <c r="L28" s="9">
        <v>80</v>
      </c>
      <c r="M28" s="40"/>
      <c r="N28" s="40"/>
      <c r="O28" s="41" t="s">
        <v>13</v>
      </c>
      <c r="P28" s="43"/>
      <c r="Q28" s="44" t="e">
        <f>IF(O28&lt;&gt;0,C28/(VLOOKUP(O28,#REF!,2,FALSE)),"")</f>
        <v>#REF!</v>
      </c>
      <c r="R28" s="43"/>
      <c r="S28" s="43"/>
      <c r="T28" s="37">
        <f t="shared" si="0"/>
        <v>0</v>
      </c>
    </row>
    <row r="29" spans="2:20" s="2" customFormat="1" x14ac:dyDescent="0.2">
      <c r="B29" s="27" t="s">
        <v>36</v>
      </c>
      <c r="C29" s="11">
        <v>450</v>
      </c>
      <c r="D29" s="11">
        <v>1</v>
      </c>
      <c r="E29" s="1">
        <v>6</v>
      </c>
      <c r="F29" s="7">
        <v>42432</v>
      </c>
      <c r="G29" s="7">
        <v>42432</v>
      </c>
      <c r="H29" s="11" t="s">
        <v>12</v>
      </c>
      <c r="I29" s="11" t="s">
        <v>111</v>
      </c>
      <c r="J29" s="1">
        <v>1028082</v>
      </c>
      <c r="K29" s="34" t="s">
        <v>173</v>
      </c>
      <c r="L29" s="9">
        <v>80</v>
      </c>
      <c r="M29" s="40"/>
      <c r="N29" s="40"/>
      <c r="O29" s="41"/>
      <c r="P29" s="43"/>
      <c r="Q29" s="44" t="str">
        <f>IF(O29&lt;&gt;0,C29/(VLOOKUP(O29,#REF!,2,FALSE)),"")</f>
        <v/>
      </c>
      <c r="R29" s="43"/>
      <c r="S29" s="43"/>
      <c r="T29" s="37">
        <f>IF(COUNTIF(P29,"*érogation*"),C29,0)</f>
        <v>0</v>
      </c>
    </row>
    <row r="30" spans="2:20" s="2" customFormat="1" x14ac:dyDescent="0.2">
      <c r="B30" s="42" t="s">
        <v>36</v>
      </c>
      <c r="C30" s="11"/>
      <c r="D30" s="11"/>
      <c r="E30" s="1">
        <v>14</v>
      </c>
      <c r="F30" s="7">
        <v>42432</v>
      </c>
      <c r="G30" s="7">
        <v>42432</v>
      </c>
      <c r="H30" s="11" t="s">
        <v>12</v>
      </c>
      <c r="I30" s="11" t="s">
        <v>158</v>
      </c>
      <c r="J30" s="1">
        <v>1028082</v>
      </c>
      <c r="K30" s="34" t="s">
        <v>173</v>
      </c>
      <c r="L30" s="9">
        <v>80</v>
      </c>
      <c r="M30" s="40">
        <v>450</v>
      </c>
      <c r="N30" s="40"/>
      <c r="O30" s="41"/>
      <c r="P30" s="43"/>
      <c r="Q30" s="44" t="str">
        <f>IF(O30&lt;&gt;0,C30/(VLOOKUP(O30,#REF!,2,FALSE)),"")</f>
        <v/>
      </c>
      <c r="R30" s="43"/>
      <c r="S30" s="43"/>
      <c r="T30" s="37">
        <f>IF(COUNTIF(P30,"*érogation*"),C30,0)</f>
        <v>0</v>
      </c>
    </row>
    <row r="31" spans="2:20" s="2" customFormat="1" x14ac:dyDescent="0.2">
      <c r="B31" s="42" t="s">
        <v>36</v>
      </c>
      <c r="C31" s="11"/>
      <c r="D31" s="11"/>
      <c r="E31" s="1">
        <v>2</v>
      </c>
      <c r="F31" s="7">
        <v>42431</v>
      </c>
      <c r="G31" s="7">
        <v>42431</v>
      </c>
      <c r="H31" s="11" t="s">
        <v>12</v>
      </c>
      <c r="I31" s="11" t="s">
        <v>175</v>
      </c>
      <c r="J31" s="1">
        <v>1028082</v>
      </c>
      <c r="K31" s="34" t="s">
        <v>173</v>
      </c>
      <c r="L31" s="9">
        <v>80</v>
      </c>
      <c r="M31" s="40">
        <v>450</v>
      </c>
      <c r="N31" s="40"/>
      <c r="O31" s="41"/>
      <c r="P31" s="43"/>
      <c r="Q31" s="44" t="str">
        <f>IF(O31&lt;&gt;0,C31/(VLOOKUP(O31,#REF!,2,FALSE)),"")</f>
        <v/>
      </c>
      <c r="R31" s="43"/>
      <c r="S31" s="43"/>
      <c r="T31" s="37">
        <f t="shared" si="0"/>
        <v>0</v>
      </c>
    </row>
    <row r="32" spans="2:20" s="2" customFormat="1" x14ac:dyDescent="0.2">
      <c r="B32" s="27" t="s">
        <v>36</v>
      </c>
      <c r="C32" s="11">
        <v>450</v>
      </c>
      <c r="D32" s="11">
        <v>1</v>
      </c>
      <c r="E32" s="1">
        <v>1</v>
      </c>
      <c r="F32" s="7">
        <v>42431</v>
      </c>
      <c r="G32" s="7">
        <v>42431</v>
      </c>
      <c r="H32" s="11" t="s">
        <v>12</v>
      </c>
      <c r="I32" s="11" t="s">
        <v>102</v>
      </c>
      <c r="J32" s="1">
        <v>1028081</v>
      </c>
      <c r="K32" s="34" t="s">
        <v>174</v>
      </c>
      <c r="L32" s="9">
        <v>80</v>
      </c>
      <c r="M32" s="40"/>
      <c r="N32" s="40"/>
      <c r="O32" s="41"/>
      <c r="P32" s="43"/>
      <c r="Q32" s="44" t="str">
        <f>IF(O32&lt;&gt;0,C32/(VLOOKUP(O32,#REF!,2,FALSE)),"")</f>
        <v/>
      </c>
      <c r="R32" s="43"/>
      <c r="S32" s="43"/>
      <c r="T32" s="37">
        <f t="shared" si="0"/>
        <v>0</v>
      </c>
    </row>
    <row r="33" spans="2:20" s="2" customFormat="1" x14ac:dyDescent="0.2">
      <c r="B33" s="42" t="s">
        <v>36</v>
      </c>
      <c r="C33" s="11"/>
      <c r="D33" s="11"/>
      <c r="E33" s="1">
        <v>12</v>
      </c>
      <c r="F33" s="7">
        <v>42425</v>
      </c>
      <c r="G33" s="7">
        <v>42425</v>
      </c>
      <c r="H33" s="11" t="s">
        <v>12</v>
      </c>
      <c r="I33" s="11" t="s">
        <v>53</v>
      </c>
      <c r="J33" s="1">
        <v>1027758</v>
      </c>
      <c r="K33" s="34" t="s">
        <v>146</v>
      </c>
      <c r="L33" s="9">
        <v>80</v>
      </c>
      <c r="M33" s="40">
        <v>450</v>
      </c>
      <c r="N33" s="40"/>
      <c r="O33" s="41"/>
      <c r="P33" s="43"/>
      <c r="Q33" s="44" t="str">
        <f>IF(O33&lt;&gt;0,C33/(VLOOKUP(O33,#REF!,2,FALSE)),"")</f>
        <v/>
      </c>
      <c r="R33" s="43"/>
      <c r="S33" s="43"/>
      <c r="T33" s="37">
        <f t="shared" si="0"/>
        <v>0</v>
      </c>
    </row>
    <row r="34" spans="2:20" s="2" customFormat="1" x14ac:dyDescent="0.2">
      <c r="B34" s="42" t="s">
        <v>36</v>
      </c>
      <c r="C34" s="11"/>
      <c r="D34" s="11"/>
      <c r="E34" s="1">
        <v>16</v>
      </c>
      <c r="F34" s="7">
        <v>42425</v>
      </c>
      <c r="G34" s="7">
        <v>42425</v>
      </c>
      <c r="H34" s="11" t="s">
        <v>12</v>
      </c>
      <c r="I34" s="11" t="s">
        <v>53</v>
      </c>
      <c r="J34" s="1">
        <v>1027758</v>
      </c>
      <c r="K34" s="34" t="s">
        <v>146</v>
      </c>
      <c r="L34" s="9">
        <v>80</v>
      </c>
      <c r="M34" s="40">
        <v>450</v>
      </c>
      <c r="N34" s="40"/>
      <c r="O34" s="41"/>
      <c r="P34" s="43"/>
      <c r="Q34" s="44" t="str">
        <f>IF(O34&lt;&gt;0,C34/(VLOOKUP(O34,#REF!,2,FALSE)),"")</f>
        <v/>
      </c>
      <c r="R34" s="43"/>
      <c r="S34" s="43"/>
      <c r="T34" s="37">
        <f t="shared" si="0"/>
        <v>0</v>
      </c>
    </row>
    <row r="35" spans="2:20" s="2" customFormat="1" x14ac:dyDescent="0.2">
      <c r="B35" s="27" t="s">
        <v>36</v>
      </c>
      <c r="C35" s="11">
        <v>450</v>
      </c>
      <c r="D35" s="11">
        <v>1</v>
      </c>
      <c r="E35" s="1">
        <v>25</v>
      </c>
      <c r="F35" s="7">
        <v>42425</v>
      </c>
      <c r="G35" s="7">
        <v>42425</v>
      </c>
      <c r="H35" s="11" t="s">
        <v>12</v>
      </c>
      <c r="I35" s="11" t="s">
        <v>151</v>
      </c>
      <c r="J35" s="1">
        <v>1027758</v>
      </c>
      <c r="K35" s="34" t="s">
        <v>146</v>
      </c>
      <c r="L35" s="9">
        <v>80</v>
      </c>
      <c r="M35" s="40"/>
      <c r="N35" s="40"/>
      <c r="O35" s="41"/>
      <c r="P35" s="43"/>
      <c r="Q35" s="44" t="str">
        <f>IF(O35&lt;&gt;0,C35/(VLOOKUP(O35,#REF!,2,FALSE)),"")</f>
        <v/>
      </c>
      <c r="R35" s="43"/>
      <c r="S35" s="43"/>
      <c r="T35" s="37">
        <f t="shared" si="0"/>
        <v>0</v>
      </c>
    </row>
    <row r="36" spans="2:20" s="2" customFormat="1" x14ac:dyDescent="0.2">
      <c r="B36" s="27" t="s">
        <v>36</v>
      </c>
      <c r="C36" s="11">
        <v>35</v>
      </c>
      <c r="D36" s="11">
        <v>1</v>
      </c>
      <c r="E36" s="1">
        <v>24</v>
      </c>
      <c r="F36" s="7">
        <v>42425</v>
      </c>
      <c r="G36" s="7">
        <v>42425</v>
      </c>
      <c r="H36" s="11" t="s">
        <v>12</v>
      </c>
      <c r="I36" s="11" t="s">
        <v>151</v>
      </c>
      <c r="J36" s="1">
        <v>1027758</v>
      </c>
      <c r="K36" s="34" t="s">
        <v>146</v>
      </c>
      <c r="L36" s="9">
        <v>80</v>
      </c>
      <c r="M36" s="40">
        <v>415</v>
      </c>
      <c r="N36" s="40"/>
      <c r="O36" s="41"/>
      <c r="P36" s="43"/>
      <c r="Q36" s="44" t="str">
        <f>IF(O36&lt;&gt;0,C36/(VLOOKUP(O36,#REF!,2,FALSE)),"")</f>
        <v/>
      </c>
      <c r="R36" s="43"/>
      <c r="S36" s="43"/>
      <c r="T36" s="37">
        <f t="shared" si="0"/>
        <v>0</v>
      </c>
    </row>
    <row r="37" spans="2:20" s="2" customFormat="1" x14ac:dyDescent="0.2">
      <c r="B37" s="27" t="s">
        <v>36</v>
      </c>
      <c r="C37" s="20">
        <v>178</v>
      </c>
      <c r="D37" s="20">
        <v>1</v>
      </c>
      <c r="E37" s="1">
        <v>2</v>
      </c>
      <c r="F37" s="7">
        <v>42424</v>
      </c>
      <c r="G37" s="7">
        <v>42424</v>
      </c>
      <c r="H37" s="11" t="s">
        <v>12</v>
      </c>
      <c r="I37" s="11" t="s">
        <v>53</v>
      </c>
      <c r="J37" s="1">
        <v>1027758</v>
      </c>
      <c r="K37" s="34" t="s">
        <v>146</v>
      </c>
      <c r="L37" s="9">
        <v>80</v>
      </c>
      <c r="M37" s="40"/>
      <c r="N37" s="40"/>
      <c r="O37" s="41"/>
      <c r="P37" s="38"/>
      <c r="Q37" s="39" t="str">
        <f>IF(O37&lt;&gt;0,C37/(VLOOKUP(O37,#REF!,2,FALSE)),"")</f>
        <v/>
      </c>
      <c r="R37" s="38"/>
      <c r="S37" s="38"/>
      <c r="T37" s="37">
        <f t="shared" si="0"/>
        <v>0</v>
      </c>
    </row>
    <row r="38" spans="2:20" s="2" customFormat="1" x14ac:dyDescent="0.2">
      <c r="B38" s="42" t="s">
        <v>36</v>
      </c>
      <c r="C38" s="20"/>
      <c r="D38" s="20"/>
      <c r="E38" s="1">
        <v>13</v>
      </c>
      <c r="F38" s="7">
        <v>42387</v>
      </c>
      <c r="G38" s="7">
        <v>42387</v>
      </c>
      <c r="H38" s="11" t="s">
        <v>12</v>
      </c>
      <c r="I38" s="51" t="s">
        <v>127</v>
      </c>
      <c r="J38" s="1">
        <v>1026827</v>
      </c>
      <c r="K38" s="34" t="s">
        <v>72</v>
      </c>
      <c r="L38" s="9">
        <v>80</v>
      </c>
      <c r="M38" s="40">
        <v>450</v>
      </c>
      <c r="N38" s="40"/>
      <c r="O38" s="41"/>
      <c r="P38" s="43"/>
      <c r="Q38" s="44" t="str">
        <f>IF(O38&lt;&gt;0,C38/(VLOOKUP(O38,#REF!,2,FALSE)),"")</f>
        <v/>
      </c>
      <c r="R38" s="43"/>
      <c r="S38" s="43"/>
      <c r="T38" s="37">
        <f t="shared" si="0"/>
        <v>0</v>
      </c>
    </row>
    <row r="39" spans="2:20" s="2" customFormat="1" x14ac:dyDescent="0.2">
      <c r="B39" s="42" t="s">
        <v>107</v>
      </c>
      <c r="C39" s="11"/>
      <c r="D39" s="11"/>
      <c r="E39" s="1">
        <v>1</v>
      </c>
      <c r="F39" s="7">
        <v>42431</v>
      </c>
      <c r="G39" s="7">
        <v>42431</v>
      </c>
      <c r="H39" s="11" t="s">
        <v>12</v>
      </c>
      <c r="I39" s="11" t="s">
        <v>108</v>
      </c>
      <c r="J39" s="1">
        <v>1027978</v>
      </c>
      <c r="K39" s="34" t="s">
        <v>168</v>
      </c>
      <c r="L39" s="9">
        <v>80</v>
      </c>
      <c r="M39" s="40">
        <v>125</v>
      </c>
      <c r="N39" s="40"/>
      <c r="O39" s="41" t="s">
        <v>13</v>
      </c>
      <c r="P39" s="43"/>
      <c r="Q39" s="44" t="e">
        <f>IF(O39&lt;&gt;0,C39/(VLOOKUP(O39,#REF!,2,FALSE)),"")</f>
        <v>#REF!</v>
      </c>
      <c r="R39" s="43"/>
      <c r="S39" s="43"/>
      <c r="T39" s="37">
        <f t="shared" si="0"/>
        <v>0</v>
      </c>
    </row>
    <row r="40" spans="2:20" s="2" customFormat="1" x14ac:dyDescent="0.2">
      <c r="B40" s="42" t="s">
        <v>107</v>
      </c>
      <c r="C40" s="11"/>
      <c r="D40" s="11"/>
      <c r="E40" s="1">
        <v>14</v>
      </c>
      <c r="F40" s="7">
        <v>42431</v>
      </c>
      <c r="G40" s="7">
        <v>42431</v>
      </c>
      <c r="H40" s="11" t="s">
        <v>12</v>
      </c>
      <c r="I40" s="11" t="s">
        <v>108</v>
      </c>
      <c r="J40" s="1">
        <v>1027978</v>
      </c>
      <c r="K40" s="34" t="s">
        <v>168</v>
      </c>
      <c r="L40" s="9">
        <v>80</v>
      </c>
      <c r="M40" s="40">
        <v>1000</v>
      </c>
      <c r="N40" s="40"/>
      <c r="O40" s="41" t="s">
        <v>13</v>
      </c>
      <c r="P40" s="43"/>
      <c r="Q40" s="44" t="e">
        <f>IF(O40&lt;&gt;0,C40/(VLOOKUP(O40,#REF!,2,FALSE)),"")</f>
        <v>#REF!</v>
      </c>
      <c r="R40" s="43"/>
      <c r="S40" s="43"/>
      <c r="T40" s="37">
        <f t="shared" si="0"/>
        <v>0</v>
      </c>
    </row>
    <row r="41" spans="2:20" s="2" customFormat="1" x14ac:dyDescent="0.2">
      <c r="B41" s="19" t="s">
        <v>107</v>
      </c>
      <c r="C41" s="11">
        <v>1000</v>
      </c>
      <c r="D41" s="11">
        <v>1</v>
      </c>
      <c r="E41" s="1">
        <v>2</v>
      </c>
      <c r="F41" s="7">
        <v>42431</v>
      </c>
      <c r="G41" s="7">
        <v>42431</v>
      </c>
      <c r="H41" s="11" t="s">
        <v>12</v>
      </c>
      <c r="I41" s="11" t="s">
        <v>108</v>
      </c>
      <c r="J41" s="1">
        <v>1027978</v>
      </c>
      <c r="K41" s="34" t="s">
        <v>168</v>
      </c>
      <c r="L41" s="9">
        <v>80</v>
      </c>
      <c r="M41" s="40"/>
      <c r="N41" s="40"/>
      <c r="O41" s="41" t="s">
        <v>13</v>
      </c>
      <c r="P41" s="43"/>
      <c r="Q41" s="44" t="e">
        <f>IF(O41&lt;&gt;0,C41/(VLOOKUP(O41,#REF!,2,FALSE)),"")</f>
        <v>#REF!</v>
      </c>
      <c r="R41" s="43"/>
      <c r="S41" s="43"/>
      <c r="T41" s="37">
        <f t="shared" si="0"/>
        <v>0</v>
      </c>
    </row>
    <row r="42" spans="2:20" s="2" customFormat="1" x14ac:dyDescent="0.2">
      <c r="B42" s="42" t="s">
        <v>107</v>
      </c>
      <c r="C42" s="20"/>
      <c r="D42" s="11"/>
      <c r="E42" s="1">
        <v>10</v>
      </c>
      <c r="F42" s="7">
        <v>42430</v>
      </c>
      <c r="G42" s="7">
        <v>42430</v>
      </c>
      <c r="H42" s="11" t="s">
        <v>12</v>
      </c>
      <c r="I42" s="11" t="s">
        <v>108</v>
      </c>
      <c r="J42" s="1">
        <v>1027978</v>
      </c>
      <c r="K42" s="34" t="s">
        <v>168</v>
      </c>
      <c r="L42" s="9">
        <v>80</v>
      </c>
      <c r="M42" s="40">
        <v>1000</v>
      </c>
      <c r="N42" s="40"/>
      <c r="O42" s="41" t="s">
        <v>13</v>
      </c>
      <c r="P42" s="38"/>
      <c r="Q42" s="39" t="e">
        <f>IF(O42&lt;&gt;0,C42/(VLOOKUP(O42,#REF!,2,FALSE)),"")</f>
        <v>#REF!</v>
      </c>
      <c r="R42" s="38"/>
      <c r="S42" s="38"/>
      <c r="T42" s="37">
        <f t="shared" si="0"/>
        <v>0</v>
      </c>
    </row>
    <row r="43" spans="2:20" s="2" customFormat="1" x14ac:dyDescent="0.2">
      <c r="B43" s="42" t="s">
        <v>107</v>
      </c>
      <c r="C43" s="20"/>
      <c r="D43" s="11"/>
      <c r="E43" s="1">
        <v>12</v>
      </c>
      <c r="F43" s="7">
        <v>42430</v>
      </c>
      <c r="G43" s="7">
        <v>42430</v>
      </c>
      <c r="H43" s="11" t="s">
        <v>12</v>
      </c>
      <c r="I43" s="11" t="s">
        <v>108</v>
      </c>
      <c r="J43" s="1">
        <v>1027978</v>
      </c>
      <c r="K43" s="34" t="s">
        <v>168</v>
      </c>
      <c r="L43" s="9">
        <v>80</v>
      </c>
      <c r="M43" s="40">
        <v>1000</v>
      </c>
      <c r="N43" s="40"/>
      <c r="O43" s="41" t="s">
        <v>13</v>
      </c>
      <c r="P43" s="38"/>
      <c r="Q43" s="39" t="e">
        <f>IF(O43&lt;&gt;0,C43/(VLOOKUP(O43,#REF!,2,FALSE)),"")</f>
        <v>#REF!</v>
      </c>
      <c r="R43" s="38"/>
      <c r="S43" s="38"/>
      <c r="T43" s="37">
        <f t="shared" si="0"/>
        <v>0</v>
      </c>
    </row>
    <row r="44" spans="2:20" s="2" customFormat="1" x14ac:dyDescent="0.2">
      <c r="B44" s="42" t="s">
        <v>107</v>
      </c>
      <c r="C44" s="20"/>
      <c r="D44" s="11"/>
      <c r="E44" s="1">
        <v>8</v>
      </c>
      <c r="F44" s="7">
        <v>42430</v>
      </c>
      <c r="G44" s="7">
        <v>42430</v>
      </c>
      <c r="H44" s="11" t="s">
        <v>12</v>
      </c>
      <c r="I44" s="11" t="s">
        <v>108</v>
      </c>
      <c r="J44" s="1">
        <v>1027978</v>
      </c>
      <c r="K44" s="34" t="s">
        <v>168</v>
      </c>
      <c r="L44" s="9">
        <v>80</v>
      </c>
      <c r="M44" s="40">
        <v>1000</v>
      </c>
      <c r="N44" s="40"/>
      <c r="O44" s="41" t="s">
        <v>13</v>
      </c>
      <c r="P44" s="38"/>
      <c r="Q44" s="39" t="e">
        <f>IF(O44&lt;&gt;0,C44/(VLOOKUP(O44,#REF!,2,FALSE)),"")</f>
        <v>#REF!</v>
      </c>
      <c r="R44" s="38"/>
      <c r="S44" s="38"/>
      <c r="T44" s="37">
        <f t="shared" si="0"/>
        <v>0</v>
      </c>
    </row>
    <row r="45" spans="2:20" s="2" customFormat="1" x14ac:dyDescent="0.2">
      <c r="B45" s="42" t="s">
        <v>107</v>
      </c>
      <c r="C45" s="20"/>
      <c r="D45" s="11"/>
      <c r="E45" s="1">
        <v>7</v>
      </c>
      <c r="F45" s="7">
        <v>42430</v>
      </c>
      <c r="G45" s="7">
        <v>42430</v>
      </c>
      <c r="H45" s="11" t="s">
        <v>12</v>
      </c>
      <c r="I45" s="11" t="s">
        <v>108</v>
      </c>
      <c r="J45" s="1">
        <v>1027978</v>
      </c>
      <c r="K45" s="34" t="s">
        <v>168</v>
      </c>
      <c r="L45" s="9">
        <v>80</v>
      </c>
      <c r="M45" s="40">
        <v>1000</v>
      </c>
      <c r="N45" s="40"/>
      <c r="O45" s="41" t="s">
        <v>13</v>
      </c>
      <c r="P45" s="38"/>
      <c r="Q45" s="39" t="e">
        <f>IF(O45&lt;&gt;0,C45/(VLOOKUP(O45,#REF!,2,FALSE)),"")</f>
        <v>#REF!</v>
      </c>
      <c r="R45" s="38"/>
      <c r="S45" s="38"/>
      <c r="T45" s="37">
        <f t="shared" si="0"/>
        <v>0</v>
      </c>
    </row>
    <row r="46" spans="2:20" s="2" customFormat="1" x14ac:dyDescent="0.2">
      <c r="B46" s="42" t="s">
        <v>107</v>
      </c>
      <c r="C46" s="20"/>
      <c r="D46" s="20"/>
      <c r="E46" s="1">
        <v>9</v>
      </c>
      <c r="F46" s="7">
        <v>42429</v>
      </c>
      <c r="G46" s="7">
        <v>42429</v>
      </c>
      <c r="H46" s="11" t="s">
        <v>12</v>
      </c>
      <c r="I46" s="11" t="s">
        <v>108</v>
      </c>
      <c r="J46" s="1">
        <v>1027978</v>
      </c>
      <c r="K46" s="34" t="s">
        <v>168</v>
      </c>
      <c r="L46" s="9">
        <v>80</v>
      </c>
      <c r="M46" s="40">
        <v>1000</v>
      </c>
      <c r="N46" s="40"/>
      <c r="O46" s="41" t="s">
        <v>13</v>
      </c>
      <c r="P46" s="38"/>
      <c r="Q46" s="39" t="e">
        <f>IF(O46&lt;&gt;0,C46/(VLOOKUP(O46,#REF!,2,FALSE)),"")</f>
        <v>#REF!</v>
      </c>
      <c r="R46" s="38"/>
      <c r="S46" s="38"/>
      <c r="T46" s="37">
        <f t="shared" si="0"/>
        <v>0</v>
      </c>
    </row>
    <row r="47" spans="2:20" x14ac:dyDescent="0.2">
      <c r="B47" s="29" t="s">
        <v>15</v>
      </c>
      <c r="C47" s="30">
        <f>SUBTOTAL(109,Liste1_737578185102118131_6152_4169_14199_2221_4242_2257_182993203633864114144214264324394474564754864982345678910234567891112131415234567891011121314161718172021222323456789101112131415161718192122242526[Nombre de pièces])</f>
        <v>14795</v>
      </c>
      <c r="D47" s="30">
        <f>SUBTOTAL(109,Liste1_737578185102118131_6152_4169_14199_2221_4242_2257_182993203633864114144214264324394474564754864982345678910234567891112131415234567891011121314161718172021222323456789101112131415161718192122242526[[Nombre de bacs ]])</f>
        <v>26</v>
      </c>
      <c r="E47" s="30"/>
      <c r="F47" s="30"/>
      <c r="G47" s="30"/>
      <c r="H47" s="30"/>
      <c r="I47" s="30"/>
      <c r="J47" s="30"/>
      <c r="K47" s="31"/>
      <c r="L47" s="30"/>
      <c r="M47" s="30">
        <f>SUBTOTAL(109,Liste1_737578185102118131_6152_4169_14199_2221_4242_2257_182993203633864114144214264324394474564754864982345678910234567891112131415234567891011121314161718172021222323456789101112131415161718192122242526[Débloquées])</f>
        <v>10885</v>
      </c>
      <c r="N47" s="30">
        <f>SUBTOTAL(109,Liste1_737578185102118131_6152_4169_14199_2221_4242_2257_182993203633864114144214264324394474564754864982345678910234567891112131415234567891011121314161718172021222323456789101112131415161718192122242526[[Rebutées ]])</f>
        <v>439</v>
      </c>
      <c r="O47" s="30"/>
      <c r="P47" s="30"/>
      <c r="Q47" s="32" t="e">
        <f>SUBTOTAL(109,Liste1_737578185102118131_6152_4169_14199_2221_4242_2257_182993203633864114144214264324394474564754864982345678910234567891112131415234567891011121314161718172021222323456789101112131415161718192122242526[Durée de tri (h)])</f>
        <v>#REF!</v>
      </c>
      <c r="R47" s="30"/>
      <c r="S47" s="32">
        <f>SUBTOTAL(109,Liste1_737578185102118131_6152_4169_14199_2221_4242_2257_182993203633864114144214264324394474564754864982345678910234567891112131415234567891011121314161718172021222323456789101112131415161718192122242526[Efficience tri])</f>
        <v>0</v>
      </c>
      <c r="T47" s="30">
        <f>SUBTOTAL(109,Liste1_737578185102118131_6152_4169_14199_2221_4242_2257_182993203633864114144214264324394474564754864982345678910234567891112131415234567891011121314161718172021222323456789101112131415161718192122242526[Attente Dérogation])</f>
        <v>826</v>
      </c>
    </row>
    <row r="54" spans="4:5" x14ac:dyDescent="0.2">
      <c r="D54" s="54"/>
      <c r="E54" s="16" t="s">
        <v>165</v>
      </c>
    </row>
    <row r="56" spans="4:5" x14ac:dyDescent="0.2">
      <c r="D56" s="47"/>
      <c r="E56" s="16"/>
    </row>
    <row r="57" spans="4:5" ht="12" customHeight="1" x14ac:dyDescent="0.2"/>
    <row r="60" spans="4:5" x14ac:dyDescent="0.2">
      <c r="E60" s="47"/>
    </row>
    <row r="62" spans="4:5" x14ac:dyDescent="0.2">
      <c r="E62" s="47"/>
    </row>
  </sheetData>
  <conditionalFormatting sqref="B1:B3 K1:K3 B48:B65495 K48:K65495">
    <cfRule type="expression" dxfId="4" priority="1" stopIfTrue="1">
      <formula>VLOOKUP(LEFT($B1,8),#REF!,1,0)=LEFT($B1,8)</formula>
    </cfRule>
  </conditionalFormatting>
  <dataValidations count="2">
    <dataValidation type="list" allowBlank="1" showInputMessage="1" showErrorMessage="1" sqref="O5:O46">
      <formula1>"Montage,Montage + Visuel,Visuel"</formula1>
    </dataValidation>
    <dataValidation type="list" allowBlank="1" showInputMessage="1" showErrorMessage="1" sqref="P4:P46">
      <formula1>"Dérogation (décision client),Attente décision interne,OK QUA"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T49"/>
  <sheetViews>
    <sheetView topLeftCell="A4" zoomScale="80" zoomScaleNormal="80" workbookViewId="0">
      <selection activeCell="S28" sqref="S28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27" t="s">
        <v>161</v>
      </c>
      <c r="C4" s="11">
        <v>950</v>
      </c>
      <c r="D4" s="11">
        <v>1</v>
      </c>
      <c r="E4" s="11">
        <v>8</v>
      </c>
      <c r="F4" s="57">
        <v>42433</v>
      </c>
      <c r="G4" s="57">
        <v>42433</v>
      </c>
      <c r="H4" s="55" t="s">
        <v>12</v>
      </c>
      <c r="I4" s="55" t="s">
        <v>114</v>
      </c>
      <c r="J4" s="56">
        <v>1028029</v>
      </c>
      <c r="K4" s="61" t="s">
        <v>180</v>
      </c>
      <c r="L4" s="58">
        <v>80</v>
      </c>
      <c r="M4" s="59"/>
      <c r="N4" s="59"/>
      <c r="O4" s="41" t="s">
        <v>13</v>
      </c>
      <c r="P4" s="38"/>
      <c r="Q4" s="39" t="str">
        <f>IF(O7&lt;&gt;0,C7/(VLOOKUP(O7,#REF!,2,FALSE)),"")</f>
        <v/>
      </c>
      <c r="R4" s="38"/>
      <c r="S4" s="38"/>
      <c r="T4" s="37">
        <f t="shared" ref="T4:T7" si="0">IF(COUNTIF(P4,"*érogation*"),C7,0)</f>
        <v>0</v>
      </c>
    </row>
    <row r="5" spans="1:20" s="2" customFormat="1" x14ac:dyDescent="0.2">
      <c r="B5" s="27" t="s">
        <v>161</v>
      </c>
      <c r="C5" s="11">
        <v>950</v>
      </c>
      <c r="D5" s="11">
        <v>1</v>
      </c>
      <c r="E5" s="11">
        <v>11</v>
      </c>
      <c r="F5" s="57">
        <v>42433</v>
      </c>
      <c r="G5" s="57">
        <v>42433</v>
      </c>
      <c r="H5" s="11" t="s">
        <v>12</v>
      </c>
      <c r="I5" s="55" t="s">
        <v>114</v>
      </c>
      <c r="J5" s="56">
        <v>1028029</v>
      </c>
      <c r="K5" s="61" t="s">
        <v>180</v>
      </c>
      <c r="L5" s="58">
        <v>80</v>
      </c>
      <c r="M5" s="40"/>
      <c r="N5" s="40"/>
      <c r="O5" s="41" t="s">
        <v>13</v>
      </c>
      <c r="P5" s="43"/>
      <c r="Q5" s="39" t="str">
        <f>IF(O8&lt;&gt;0,C8/(VLOOKUP(O8,#REF!,2,FALSE)),"")</f>
        <v/>
      </c>
      <c r="R5" s="43"/>
      <c r="S5" s="43"/>
      <c r="T5" s="37">
        <f t="shared" si="0"/>
        <v>0</v>
      </c>
    </row>
    <row r="6" spans="1:20" s="2" customFormat="1" x14ac:dyDescent="0.2">
      <c r="B6" s="42" t="s">
        <v>42</v>
      </c>
      <c r="C6" s="20"/>
      <c r="D6" s="20"/>
      <c r="E6" s="11">
        <v>6</v>
      </c>
      <c r="F6" s="7">
        <v>42424</v>
      </c>
      <c r="G6" s="7">
        <v>42429</v>
      </c>
      <c r="H6" s="11" t="s">
        <v>12</v>
      </c>
      <c r="I6" s="11" t="s">
        <v>88</v>
      </c>
      <c r="J6" s="1">
        <v>1027951</v>
      </c>
      <c r="K6" s="34" t="s">
        <v>166</v>
      </c>
      <c r="L6" s="9">
        <v>80</v>
      </c>
      <c r="M6" s="40">
        <v>143</v>
      </c>
      <c r="N6" s="40">
        <v>3</v>
      </c>
      <c r="O6" s="41" t="s">
        <v>13</v>
      </c>
      <c r="P6" s="43"/>
      <c r="Q6" s="39" t="e">
        <f>IF(O9&lt;&gt;0,C9/(VLOOKUP(O9,#REF!,2,FALSE)),"")</f>
        <v>#REF!</v>
      </c>
      <c r="R6" s="43"/>
      <c r="S6" s="43"/>
      <c r="T6" s="37">
        <f t="shared" si="0"/>
        <v>0</v>
      </c>
    </row>
    <row r="7" spans="1:20" s="2" customFormat="1" ht="25.5" x14ac:dyDescent="0.2">
      <c r="B7" s="27" t="s">
        <v>46</v>
      </c>
      <c r="C7" s="20">
        <v>800</v>
      </c>
      <c r="D7" s="20">
        <v>1</v>
      </c>
      <c r="E7" s="1">
        <v>2</v>
      </c>
      <c r="F7" s="7">
        <v>42268</v>
      </c>
      <c r="G7" s="7">
        <v>42376</v>
      </c>
      <c r="H7" s="11" t="s">
        <v>12</v>
      </c>
      <c r="I7" s="11" t="s">
        <v>56</v>
      </c>
      <c r="J7" s="1">
        <v>1023105</v>
      </c>
      <c r="K7" s="13" t="s">
        <v>55</v>
      </c>
      <c r="L7" s="9">
        <v>80</v>
      </c>
      <c r="M7" s="40"/>
      <c r="N7" s="40"/>
      <c r="O7" s="41"/>
      <c r="P7" s="43" t="s">
        <v>31</v>
      </c>
      <c r="Q7" s="39" t="str">
        <f>IF(O10&lt;&gt;0,C10/(VLOOKUP(O10,#REF!,2,FALSE)),"")</f>
        <v/>
      </c>
      <c r="R7" s="38"/>
      <c r="S7" s="38"/>
      <c r="T7" s="37">
        <f t="shared" si="0"/>
        <v>0</v>
      </c>
    </row>
    <row r="8" spans="1:20" s="2" customFormat="1" ht="25.5" x14ac:dyDescent="0.2">
      <c r="B8" s="27" t="s">
        <v>46</v>
      </c>
      <c r="C8" s="20">
        <v>504</v>
      </c>
      <c r="D8" s="20">
        <v>1</v>
      </c>
      <c r="E8" s="1">
        <v>1</v>
      </c>
      <c r="F8" s="7">
        <v>42268</v>
      </c>
      <c r="G8" s="7">
        <v>42376</v>
      </c>
      <c r="H8" s="11" t="s">
        <v>12</v>
      </c>
      <c r="I8" s="11" t="s">
        <v>56</v>
      </c>
      <c r="J8" s="1">
        <v>1023105</v>
      </c>
      <c r="K8" s="13" t="s">
        <v>55</v>
      </c>
      <c r="L8" s="9">
        <v>80</v>
      </c>
      <c r="M8" s="40"/>
      <c r="N8" s="40"/>
      <c r="O8" s="41"/>
      <c r="P8" s="43" t="s">
        <v>31</v>
      </c>
      <c r="Q8" s="39" t="e">
        <f>IF(O11&lt;&gt;0,C11/(VLOOKUP(O11,#REF!,2,FALSE)),"")</f>
        <v>#REF!</v>
      </c>
      <c r="R8" s="38"/>
      <c r="S8" s="38"/>
      <c r="T8" s="37">
        <f>IF(COUNTIF(P8,"*érogation*"),C11,0)</f>
        <v>0</v>
      </c>
    </row>
    <row r="9" spans="1:20" s="2" customFormat="1" x14ac:dyDescent="0.2">
      <c r="B9" s="42" t="s">
        <v>110</v>
      </c>
      <c r="C9" s="20"/>
      <c r="D9" s="20"/>
      <c r="E9" s="1">
        <v>9</v>
      </c>
      <c r="F9" s="7">
        <v>42432</v>
      </c>
      <c r="G9" s="7">
        <v>42432</v>
      </c>
      <c r="H9" s="11" t="s">
        <v>12</v>
      </c>
      <c r="I9" s="11" t="s">
        <v>184</v>
      </c>
      <c r="J9" s="1">
        <v>1028216</v>
      </c>
      <c r="K9" s="34" t="s">
        <v>185</v>
      </c>
      <c r="L9" s="9">
        <v>80</v>
      </c>
      <c r="M9" s="40">
        <v>661</v>
      </c>
      <c r="N9" s="40">
        <v>289</v>
      </c>
      <c r="O9" s="41" t="s">
        <v>13</v>
      </c>
      <c r="P9" s="38"/>
      <c r="Q9" s="39" t="e">
        <f>IF(O12&lt;&gt;0,C12/(VLOOKUP(O12,#REF!,2,FALSE)),"")</f>
        <v>#REF!</v>
      </c>
      <c r="R9" s="38"/>
      <c r="S9" s="38"/>
      <c r="T9" s="37">
        <f t="shared" ref="T9:T33" si="1">IF(COUNTIF(P9,"*érogation*"),C12,0)</f>
        <v>0</v>
      </c>
    </row>
    <row r="10" spans="1:20" s="2" customFormat="1" x14ac:dyDescent="0.2">
      <c r="B10" s="27" t="s">
        <v>187</v>
      </c>
      <c r="C10" s="11">
        <v>362</v>
      </c>
      <c r="D10" s="11">
        <v>1</v>
      </c>
      <c r="E10" s="1">
        <v>4</v>
      </c>
      <c r="F10" s="7">
        <v>42436</v>
      </c>
      <c r="G10" s="7">
        <v>42436</v>
      </c>
      <c r="H10" s="11" t="s">
        <v>12</v>
      </c>
      <c r="I10" s="11" t="s">
        <v>188</v>
      </c>
      <c r="J10" s="1">
        <v>1028089</v>
      </c>
      <c r="K10" s="34" t="s">
        <v>189</v>
      </c>
      <c r="L10" s="9">
        <v>80</v>
      </c>
      <c r="M10" s="40"/>
      <c r="N10" s="40"/>
      <c r="O10" s="41"/>
      <c r="P10" s="43"/>
      <c r="Q10" s="39" t="str">
        <f>IF(O13&lt;&gt;0,C13/(VLOOKUP(O13,#REF!,2,FALSE)),"")</f>
        <v/>
      </c>
      <c r="R10" s="43"/>
      <c r="S10" s="43"/>
      <c r="T10" s="37">
        <f t="shared" si="1"/>
        <v>0</v>
      </c>
    </row>
    <row r="11" spans="1:20" s="2" customFormat="1" x14ac:dyDescent="0.2">
      <c r="B11" s="42" t="s">
        <v>34</v>
      </c>
      <c r="C11" s="20"/>
      <c r="D11" s="20"/>
      <c r="E11" s="11">
        <v>7</v>
      </c>
      <c r="F11" s="7">
        <v>42426</v>
      </c>
      <c r="G11" s="7">
        <v>42426</v>
      </c>
      <c r="H11" s="11" t="s">
        <v>12</v>
      </c>
      <c r="I11" s="11" t="s">
        <v>134</v>
      </c>
      <c r="J11" s="1">
        <v>1027836</v>
      </c>
      <c r="K11" s="34" t="s">
        <v>128</v>
      </c>
      <c r="L11" s="9">
        <v>80</v>
      </c>
      <c r="M11" s="40">
        <v>405</v>
      </c>
      <c r="N11" s="40">
        <v>95</v>
      </c>
      <c r="O11" s="41" t="s">
        <v>14</v>
      </c>
      <c r="P11" s="38"/>
      <c r="Q11" s="39" t="str">
        <f>IF(O14&lt;&gt;0,C14/(VLOOKUP(O14,#REF!,2,FALSE)),"")</f>
        <v/>
      </c>
      <c r="R11" s="38"/>
      <c r="S11" s="38"/>
      <c r="T11" s="37">
        <f t="shared" si="1"/>
        <v>0</v>
      </c>
    </row>
    <row r="12" spans="1:20" s="2" customFormat="1" x14ac:dyDescent="0.2">
      <c r="B12" s="42" t="s">
        <v>34</v>
      </c>
      <c r="C12" s="20"/>
      <c r="D12" s="20"/>
      <c r="E12" s="11">
        <v>11</v>
      </c>
      <c r="F12" s="7">
        <v>42429</v>
      </c>
      <c r="G12" s="7">
        <v>42429</v>
      </c>
      <c r="H12" s="11" t="s">
        <v>12</v>
      </c>
      <c r="I12" s="11" t="s">
        <v>134</v>
      </c>
      <c r="J12" s="1">
        <v>1027836</v>
      </c>
      <c r="K12" s="34" t="s">
        <v>128</v>
      </c>
      <c r="L12" s="9">
        <v>80</v>
      </c>
      <c r="M12" s="40">
        <v>425</v>
      </c>
      <c r="N12" s="40">
        <v>75</v>
      </c>
      <c r="O12" s="41" t="s">
        <v>14</v>
      </c>
      <c r="P12" s="38"/>
      <c r="Q12" s="39" t="str">
        <f>IF(O15&lt;&gt;0,C15/(VLOOKUP(O15,#REF!,2,FALSE)),"")</f>
        <v/>
      </c>
      <c r="R12" s="38"/>
      <c r="S12" s="38"/>
      <c r="T12" s="37">
        <f t="shared" si="1"/>
        <v>0</v>
      </c>
    </row>
    <row r="13" spans="1:20" s="2" customFormat="1" x14ac:dyDescent="0.2">
      <c r="B13" s="27" t="s">
        <v>34</v>
      </c>
      <c r="C13" s="11">
        <v>500</v>
      </c>
      <c r="D13" s="11">
        <v>1</v>
      </c>
      <c r="E13" s="11">
        <v>20</v>
      </c>
      <c r="F13" s="7">
        <v>42433</v>
      </c>
      <c r="G13" s="7">
        <v>42433</v>
      </c>
      <c r="H13" s="11" t="s">
        <v>12</v>
      </c>
      <c r="I13" s="11" t="s">
        <v>190</v>
      </c>
      <c r="J13" s="1">
        <v>1027036</v>
      </c>
      <c r="K13" s="34" t="s">
        <v>191</v>
      </c>
      <c r="L13" s="9">
        <v>80</v>
      </c>
      <c r="M13" s="40"/>
      <c r="N13" s="40"/>
      <c r="O13" s="41"/>
      <c r="P13" s="43"/>
      <c r="Q13" s="39" t="e">
        <f>IF(O16&lt;&gt;0,C16/(VLOOKUP(O16,#REF!,2,FALSE)),"")</f>
        <v>#REF!</v>
      </c>
      <c r="R13" s="43"/>
      <c r="S13" s="43"/>
      <c r="T13" s="37">
        <f t="shared" si="1"/>
        <v>0</v>
      </c>
    </row>
    <row r="14" spans="1:20" s="2" customFormat="1" ht="25.5" x14ac:dyDescent="0.2">
      <c r="B14" s="27" t="s">
        <v>34</v>
      </c>
      <c r="C14" s="20">
        <v>326</v>
      </c>
      <c r="D14" s="20">
        <v>1</v>
      </c>
      <c r="E14" s="11">
        <v>5</v>
      </c>
      <c r="F14" s="7">
        <v>42244</v>
      </c>
      <c r="G14" s="7">
        <v>42244</v>
      </c>
      <c r="H14" s="11" t="s">
        <v>12</v>
      </c>
      <c r="I14" s="11" t="s">
        <v>38</v>
      </c>
      <c r="J14" s="1">
        <v>1025060</v>
      </c>
      <c r="K14" s="13" t="s">
        <v>35</v>
      </c>
      <c r="L14" s="9">
        <v>80</v>
      </c>
      <c r="M14" s="40"/>
      <c r="N14" s="40"/>
      <c r="O14" s="41"/>
      <c r="P14" s="38" t="s">
        <v>22</v>
      </c>
      <c r="Q14" s="39" t="e">
        <f>IF(O17&lt;&gt;0,C17/(VLOOKUP(O17,#REF!,2,FALSE)),"")</f>
        <v>#REF!</v>
      </c>
      <c r="R14" s="38"/>
      <c r="S14" s="38"/>
      <c r="T14" s="37">
        <f t="shared" si="1"/>
        <v>500</v>
      </c>
    </row>
    <row r="15" spans="1:20" s="2" customFormat="1" ht="25.5" x14ac:dyDescent="0.2">
      <c r="B15" s="27" t="s">
        <v>34</v>
      </c>
      <c r="C15" s="20">
        <v>500</v>
      </c>
      <c r="D15" s="20">
        <v>1</v>
      </c>
      <c r="E15" s="11">
        <v>5</v>
      </c>
      <c r="F15" s="7">
        <v>42263</v>
      </c>
      <c r="G15" s="7">
        <v>42263</v>
      </c>
      <c r="H15" s="11" t="s">
        <v>12</v>
      </c>
      <c r="I15" s="11" t="s">
        <v>38</v>
      </c>
      <c r="J15" s="1">
        <v>1025490</v>
      </c>
      <c r="K15" s="13" t="s">
        <v>37</v>
      </c>
      <c r="L15" s="9">
        <v>80</v>
      </c>
      <c r="M15" s="40"/>
      <c r="N15" s="40"/>
      <c r="O15" s="41"/>
      <c r="P15" s="38" t="s">
        <v>22</v>
      </c>
      <c r="Q15" s="39" t="e">
        <f>IF(O18&lt;&gt;0,C18/(VLOOKUP(O18,#REF!,2,FALSE)),"")</f>
        <v>#REF!</v>
      </c>
      <c r="R15" s="43"/>
      <c r="S15" s="43"/>
      <c r="T15" s="37">
        <f t="shared" si="1"/>
        <v>500</v>
      </c>
    </row>
    <row r="16" spans="1:20" s="2" customFormat="1" x14ac:dyDescent="0.2">
      <c r="B16" s="27" t="s">
        <v>176</v>
      </c>
      <c r="C16" s="11">
        <v>500</v>
      </c>
      <c r="D16" s="11">
        <v>1</v>
      </c>
      <c r="E16" s="1">
        <v>3</v>
      </c>
      <c r="F16" s="7">
        <v>42431</v>
      </c>
      <c r="G16" s="7">
        <v>42431</v>
      </c>
      <c r="H16" s="11" t="s">
        <v>12</v>
      </c>
      <c r="I16" s="11" t="s">
        <v>177</v>
      </c>
      <c r="J16" s="1">
        <v>1027882</v>
      </c>
      <c r="K16" s="34" t="s">
        <v>178</v>
      </c>
      <c r="L16" s="9">
        <v>80</v>
      </c>
      <c r="M16" s="40"/>
      <c r="N16" s="40"/>
      <c r="O16" s="41" t="s">
        <v>13</v>
      </c>
      <c r="P16" s="43"/>
      <c r="Q16" s="39" t="e">
        <f>IF(O19&lt;&gt;0,C19/(VLOOKUP(O19,#REF!,2,FALSE)),"")</f>
        <v>#REF!</v>
      </c>
      <c r="R16" s="43"/>
      <c r="S16" s="43"/>
      <c r="T16" s="37">
        <f t="shared" si="1"/>
        <v>0</v>
      </c>
    </row>
    <row r="17" spans="2:20" s="2" customFormat="1" x14ac:dyDescent="0.2">
      <c r="B17" s="27" t="s">
        <v>176</v>
      </c>
      <c r="C17" s="11">
        <v>500</v>
      </c>
      <c r="D17" s="11">
        <v>1</v>
      </c>
      <c r="E17" s="1">
        <v>4</v>
      </c>
      <c r="F17" s="7">
        <v>42431</v>
      </c>
      <c r="G17" s="7">
        <v>42431</v>
      </c>
      <c r="H17" s="11" t="s">
        <v>12</v>
      </c>
      <c r="I17" s="11" t="s">
        <v>177</v>
      </c>
      <c r="J17" s="1">
        <v>1027882</v>
      </c>
      <c r="K17" s="34" t="s">
        <v>178</v>
      </c>
      <c r="L17" s="9">
        <v>80</v>
      </c>
      <c r="M17" s="40"/>
      <c r="N17" s="40"/>
      <c r="O17" s="41" t="s">
        <v>13</v>
      </c>
      <c r="P17" s="43"/>
      <c r="Q17" s="39" t="e">
        <f>IF(O20&lt;&gt;0,C20/(VLOOKUP(O20,#REF!,2,FALSE)),"")</f>
        <v>#REF!</v>
      </c>
      <c r="R17" s="43"/>
      <c r="S17" s="43"/>
      <c r="T17" s="37">
        <f t="shared" si="1"/>
        <v>0</v>
      </c>
    </row>
    <row r="18" spans="2:20" s="2" customFormat="1" x14ac:dyDescent="0.2">
      <c r="B18" s="27" t="s">
        <v>176</v>
      </c>
      <c r="C18" s="11">
        <v>500</v>
      </c>
      <c r="D18" s="11">
        <v>1</v>
      </c>
      <c r="E18" s="1">
        <v>6</v>
      </c>
      <c r="F18" s="7">
        <v>42431</v>
      </c>
      <c r="G18" s="7">
        <v>42431</v>
      </c>
      <c r="H18" s="11" t="s">
        <v>12</v>
      </c>
      <c r="I18" s="11" t="s">
        <v>177</v>
      </c>
      <c r="J18" s="1">
        <v>1027882</v>
      </c>
      <c r="K18" s="34" t="s">
        <v>178</v>
      </c>
      <c r="L18" s="9">
        <v>80</v>
      </c>
      <c r="M18" s="40"/>
      <c r="N18" s="40"/>
      <c r="O18" s="41" t="s">
        <v>13</v>
      </c>
      <c r="P18" s="43"/>
      <c r="Q18" s="39" t="e">
        <f>IF(O21&lt;&gt;0,C21/(VLOOKUP(O21,#REF!,2,FALSE)),"")</f>
        <v>#REF!</v>
      </c>
      <c r="R18" s="43"/>
      <c r="S18" s="43"/>
      <c r="T18" s="37">
        <f t="shared" si="1"/>
        <v>0</v>
      </c>
    </row>
    <row r="19" spans="2:20" s="2" customFormat="1" x14ac:dyDescent="0.2">
      <c r="B19" s="42" t="s">
        <v>176</v>
      </c>
      <c r="C19" s="11"/>
      <c r="D19" s="11"/>
      <c r="E19" s="1">
        <v>1</v>
      </c>
      <c r="F19" s="7">
        <v>42431</v>
      </c>
      <c r="G19" s="7">
        <v>42431</v>
      </c>
      <c r="H19" s="11" t="s">
        <v>12</v>
      </c>
      <c r="I19" s="11" t="s">
        <v>177</v>
      </c>
      <c r="J19" s="1">
        <v>1027882</v>
      </c>
      <c r="K19" s="34" t="s">
        <v>178</v>
      </c>
      <c r="L19" s="9">
        <v>80</v>
      </c>
      <c r="M19" s="40">
        <v>256</v>
      </c>
      <c r="N19" s="40">
        <v>51</v>
      </c>
      <c r="O19" s="41" t="s">
        <v>13</v>
      </c>
      <c r="P19" s="38"/>
      <c r="Q19" s="39" t="e">
        <f>IF(O22&lt;&gt;0,C22/(VLOOKUP(O22,#REF!,2,FALSE)),"")</f>
        <v>#REF!</v>
      </c>
      <c r="R19" s="38"/>
      <c r="S19" s="38"/>
      <c r="T19" s="37">
        <f t="shared" si="1"/>
        <v>0</v>
      </c>
    </row>
    <row r="20" spans="2:20" s="2" customFormat="1" x14ac:dyDescent="0.2">
      <c r="B20" s="42" t="s">
        <v>135</v>
      </c>
      <c r="C20" s="20"/>
      <c r="D20" s="20"/>
      <c r="E20" s="1">
        <v>2</v>
      </c>
      <c r="F20" s="7">
        <v>42432</v>
      </c>
      <c r="G20" s="7">
        <v>42432</v>
      </c>
      <c r="H20" s="11" t="s">
        <v>12</v>
      </c>
      <c r="I20" s="11" t="s">
        <v>134</v>
      </c>
      <c r="J20" s="1">
        <v>1028059</v>
      </c>
      <c r="K20" s="34" t="s">
        <v>179</v>
      </c>
      <c r="L20" s="9">
        <v>80</v>
      </c>
      <c r="M20" s="40">
        <v>586</v>
      </c>
      <c r="N20" s="40">
        <v>14</v>
      </c>
      <c r="O20" s="41" t="s">
        <v>14</v>
      </c>
      <c r="P20" s="43"/>
      <c r="Q20" s="39" t="e">
        <f>IF(O23&lt;&gt;0,C23/(VLOOKUP(O23,#REF!,2,FALSE)),"")</f>
        <v>#REF!</v>
      </c>
      <c r="R20" s="43"/>
      <c r="S20" s="43"/>
      <c r="T20" s="37">
        <f t="shared" si="1"/>
        <v>0</v>
      </c>
    </row>
    <row r="21" spans="2:20" s="2" customFormat="1" x14ac:dyDescent="0.2">
      <c r="B21" s="27" t="s">
        <v>181</v>
      </c>
      <c r="C21" s="11">
        <v>750</v>
      </c>
      <c r="D21" s="11">
        <v>1</v>
      </c>
      <c r="E21" s="1">
        <v>10</v>
      </c>
      <c r="F21" s="7">
        <v>42433</v>
      </c>
      <c r="G21" s="7">
        <v>42433</v>
      </c>
      <c r="H21" s="11" t="s">
        <v>12</v>
      </c>
      <c r="I21" s="11" t="s">
        <v>183</v>
      </c>
      <c r="J21" s="1">
        <v>1028094</v>
      </c>
      <c r="K21" s="34" t="s">
        <v>182</v>
      </c>
      <c r="L21" s="9">
        <v>80</v>
      </c>
      <c r="M21" s="40"/>
      <c r="N21" s="40"/>
      <c r="O21" s="41" t="s">
        <v>13</v>
      </c>
      <c r="P21" s="43"/>
      <c r="Q21" s="39" t="e">
        <f>IF(O24&lt;&gt;0,C24/(VLOOKUP(O24,#REF!,2,FALSE)),"")</f>
        <v>#REF!</v>
      </c>
      <c r="R21" s="43"/>
      <c r="S21" s="43"/>
      <c r="T21" s="37">
        <f t="shared" si="1"/>
        <v>0</v>
      </c>
    </row>
    <row r="22" spans="2:20" s="2" customFormat="1" x14ac:dyDescent="0.2">
      <c r="B22" s="27" t="s">
        <v>181</v>
      </c>
      <c r="C22" s="11">
        <v>750</v>
      </c>
      <c r="D22" s="11">
        <v>1</v>
      </c>
      <c r="E22" s="1">
        <v>8</v>
      </c>
      <c r="F22" s="7">
        <v>42433</v>
      </c>
      <c r="G22" s="7">
        <v>42433</v>
      </c>
      <c r="H22" s="11" t="s">
        <v>12</v>
      </c>
      <c r="I22" s="11" t="s">
        <v>183</v>
      </c>
      <c r="J22" s="1">
        <v>1028094</v>
      </c>
      <c r="K22" s="34" t="s">
        <v>182</v>
      </c>
      <c r="L22" s="9">
        <v>80</v>
      </c>
      <c r="M22" s="40"/>
      <c r="N22" s="40"/>
      <c r="O22" s="41" t="s">
        <v>13</v>
      </c>
      <c r="P22" s="43"/>
      <c r="Q22" s="39" t="e">
        <f>IF(O25&lt;&gt;0,C25/(VLOOKUP(O25,#REF!,2,FALSE)),"")</f>
        <v>#REF!</v>
      </c>
      <c r="R22" s="43"/>
      <c r="S22" s="43"/>
      <c r="T22" s="37">
        <f t="shared" si="1"/>
        <v>0</v>
      </c>
    </row>
    <row r="23" spans="2:20" s="2" customFormat="1" x14ac:dyDescent="0.2">
      <c r="B23" s="27" t="s">
        <v>181</v>
      </c>
      <c r="C23" s="11">
        <v>750</v>
      </c>
      <c r="D23" s="11">
        <v>1</v>
      </c>
      <c r="E23" s="1">
        <v>20</v>
      </c>
      <c r="F23" s="7">
        <v>42433</v>
      </c>
      <c r="G23" s="7">
        <v>42433</v>
      </c>
      <c r="H23" s="11" t="s">
        <v>12</v>
      </c>
      <c r="I23" s="11" t="s">
        <v>183</v>
      </c>
      <c r="J23" s="1">
        <v>1028094</v>
      </c>
      <c r="K23" s="34" t="s">
        <v>182</v>
      </c>
      <c r="L23" s="9">
        <v>80</v>
      </c>
      <c r="M23" s="40"/>
      <c r="N23" s="40"/>
      <c r="O23" s="41" t="s">
        <v>13</v>
      </c>
      <c r="P23" s="43"/>
      <c r="Q23" s="39" t="e">
        <f>IF(O26&lt;&gt;0,C26/(VLOOKUP(O26,#REF!,2,FALSE)),"")</f>
        <v>#REF!</v>
      </c>
      <c r="R23" s="43"/>
      <c r="S23" s="43"/>
      <c r="T23" s="37">
        <f t="shared" si="1"/>
        <v>0</v>
      </c>
    </row>
    <row r="24" spans="2:20" s="2" customFormat="1" x14ac:dyDescent="0.2">
      <c r="B24" s="27" t="s">
        <v>181</v>
      </c>
      <c r="C24" s="11">
        <v>750</v>
      </c>
      <c r="D24" s="11">
        <v>1</v>
      </c>
      <c r="E24" s="1">
        <v>4</v>
      </c>
      <c r="F24" s="7">
        <v>42433</v>
      </c>
      <c r="G24" s="7">
        <v>42433</v>
      </c>
      <c r="H24" s="11" t="s">
        <v>12</v>
      </c>
      <c r="I24" s="11" t="s">
        <v>183</v>
      </c>
      <c r="J24" s="1">
        <v>1028094</v>
      </c>
      <c r="K24" s="34" t="s">
        <v>182</v>
      </c>
      <c r="L24" s="9">
        <v>80</v>
      </c>
      <c r="M24" s="40"/>
      <c r="N24" s="40"/>
      <c r="O24" s="41" t="s">
        <v>13</v>
      </c>
      <c r="P24" s="43"/>
      <c r="Q24" s="39" t="str">
        <f>IF(O27&lt;&gt;0,C27/(VLOOKUP(O27,#REF!,2,FALSE)),"")</f>
        <v/>
      </c>
      <c r="R24" s="43"/>
      <c r="S24" s="43"/>
      <c r="T24" s="37">
        <f t="shared" si="1"/>
        <v>0</v>
      </c>
    </row>
    <row r="25" spans="2:20" s="2" customFormat="1" x14ac:dyDescent="0.2">
      <c r="B25" s="27" t="s">
        <v>181</v>
      </c>
      <c r="C25" s="11">
        <v>750</v>
      </c>
      <c r="D25" s="11">
        <v>1</v>
      </c>
      <c r="E25" s="1">
        <v>3</v>
      </c>
      <c r="F25" s="7">
        <v>42433</v>
      </c>
      <c r="G25" s="7">
        <v>42433</v>
      </c>
      <c r="H25" s="11" t="s">
        <v>12</v>
      </c>
      <c r="I25" s="11" t="s">
        <v>183</v>
      </c>
      <c r="J25" s="1">
        <v>1028094</v>
      </c>
      <c r="K25" s="34" t="s">
        <v>182</v>
      </c>
      <c r="L25" s="9">
        <v>80</v>
      </c>
      <c r="M25" s="40"/>
      <c r="N25" s="40"/>
      <c r="O25" s="41" t="s">
        <v>13</v>
      </c>
      <c r="P25" s="43"/>
      <c r="Q25" s="39" t="e">
        <f>IF(O28&lt;&gt;0,C28/(VLOOKUP(O28,#REF!,2,FALSE)),"")</f>
        <v>#REF!</v>
      </c>
      <c r="R25" s="43"/>
      <c r="S25" s="43"/>
      <c r="T25" s="37">
        <f t="shared" si="1"/>
        <v>0</v>
      </c>
    </row>
    <row r="26" spans="2:20" s="2" customFormat="1" x14ac:dyDescent="0.2">
      <c r="B26" s="42" t="s">
        <v>45</v>
      </c>
      <c r="C26" s="11"/>
      <c r="D26" s="11"/>
      <c r="E26" s="1">
        <v>1</v>
      </c>
      <c r="F26" s="7">
        <v>42424</v>
      </c>
      <c r="G26" s="7">
        <v>42424</v>
      </c>
      <c r="H26" s="11" t="s">
        <v>12</v>
      </c>
      <c r="I26" s="11" t="s">
        <v>87</v>
      </c>
      <c r="J26" s="1">
        <v>1027883</v>
      </c>
      <c r="K26" s="34" t="s">
        <v>137</v>
      </c>
      <c r="L26" s="9">
        <v>80</v>
      </c>
      <c r="M26" s="40">
        <v>438</v>
      </c>
      <c r="N26" s="40">
        <v>11</v>
      </c>
      <c r="O26" s="41" t="s">
        <v>13</v>
      </c>
      <c r="P26" s="43"/>
      <c r="Q26" s="39" t="e">
        <f>IF(O29&lt;&gt;0,C29/(VLOOKUP(O29,#REF!,2,FALSE)),"")</f>
        <v>#REF!</v>
      </c>
      <c r="R26" s="43"/>
      <c r="S26" s="43"/>
      <c r="T26" s="37">
        <f t="shared" si="1"/>
        <v>0</v>
      </c>
    </row>
    <row r="27" spans="2:20" s="2" customFormat="1" x14ac:dyDescent="0.2">
      <c r="B27" s="27" t="s">
        <v>36</v>
      </c>
      <c r="C27" s="11">
        <v>450</v>
      </c>
      <c r="D27" s="11">
        <v>1</v>
      </c>
      <c r="E27" s="1">
        <v>6</v>
      </c>
      <c r="F27" s="7">
        <v>42432</v>
      </c>
      <c r="G27" s="7">
        <v>42432</v>
      </c>
      <c r="H27" s="11" t="s">
        <v>12</v>
      </c>
      <c r="I27" s="11" t="s">
        <v>111</v>
      </c>
      <c r="J27" s="1">
        <v>1028082</v>
      </c>
      <c r="K27" s="34" t="s">
        <v>173</v>
      </c>
      <c r="L27" s="9">
        <v>80</v>
      </c>
      <c r="M27" s="40"/>
      <c r="N27" s="40"/>
      <c r="O27" s="41"/>
      <c r="P27" s="43"/>
      <c r="Q27" s="39" t="e">
        <f>IF(O30&lt;&gt;0,C30/(VLOOKUP(O30,#REF!,2,FALSE)),"")</f>
        <v>#REF!</v>
      </c>
      <c r="R27" s="43"/>
      <c r="S27" s="43"/>
      <c r="T27" s="37">
        <f t="shared" si="1"/>
        <v>0</v>
      </c>
    </row>
    <row r="28" spans="2:20" s="2" customFormat="1" x14ac:dyDescent="0.2">
      <c r="B28" s="27" t="s">
        <v>36</v>
      </c>
      <c r="C28" s="11">
        <v>450</v>
      </c>
      <c r="D28" s="11">
        <v>1</v>
      </c>
      <c r="E28" s="1">
        <v>1</v>
      </c>
      <c r="F28" s="7">
        <v>42431</v>
      </c>
      <c r="G28" s="7">
        <v>42431</v>
      </c>
      <c r="H28" s="11" t="s">
        <v>12</v>
      </c>
      <c r="I28" s="11" t="s">
        <v>102</v>
      </c>
      <c r="J28" s="1">
        <v>1028081</v>
      </c>
      <c r="K28" s="34" t="s">
        <v>174</v>
      </c>
      <c r="L28" s="9">
        <v>80</v>
      </c>
      <c r="M28" s="40"/>
      <c r="N28" s="40"/>
      <c r="O28" s="41" t="s">
        <v>13</v>
      </c>
      <c r="P28" s="43"/>
      <c r="Q28" s="39" t="str">
        <f>IF(O31&lt;&gt;0,C31/(VLOOKUP(O31,#REF!,2,FALSE)),"")</f>
        <v/>
      </c>
      <c r="R28" s="43"/>
      <c r="S28" s="43"/>
      <c r="T28" s="37">
        <f t="shared" si="1"/>
        <v>0</v>
      </c>
    </row>
    <row r="29" spans="2:20" s="2" customFormat="1" x14ac:dyDescent="0.2">
      <c r="B29" s="27" t="s">
        <v>36</v>
      </c>
      <c r="C29" s="11">
        <v>450</v>
      </c>
      <c r="D29" s="11">
        <v>1</v>
      </c>
      <c r="E29" s="1">
        <v>25</v>
      </c>
      <c r="F29" s="7">
        <v>42425</v>
      </c>
      <c r="G29" s="7">
        <v>42425</v>
      </c>
      <c r="H29" s="11" t="s">
        <v>12</v>
      </c>
      <c r="I29" s="11" t="s">
        <v>151</v>
      </c>
      <c r="J29" s="1">
        <v>1027758</v>
      </c>
      <c r="K29" s="34" t="s">
        <v>146</v>
      </c>
      <c r="L29" s="9">
        <v>80</v>
      </c>
      <c r="M29" s="40"/>
      <c r="N29" s="40"/>
      <c r="O29" s="41" t="s">
        <v>14</v>
      </c>
      <c r="P29" s="43"/>
      <c r="Q29" s="39" t="str">
        <f>IF(O32&lt;&gt;0,C32/(VLOOKUP(O32,#REF!,2,FALSE)),"")</f>
        <v/>
      </c>
      <c r="R29" s="43"/>
      <c r="S29" s="43"/>
      <c r="T29" s="37">
        <f t="shared" si="1"/>
        <v>0</v>
      </c>
    </row>
    <row r="30" spans="2:20" s="2" customFormat="1" x14ac:dyDescent="0.2">
      <c r="B30" s="27" t="s">
        <v>36</v>
      </c>
      <c r="C30" s="11">
        <v>35</v>
      </c>
      <c r="D30" s="11">
        <v>1</v>
      </c>
      <c r="E30" s="1">
        <v>24</v>
      </c>
      <c r="F30" s="7">
        <v>42425</v>
      </c>
      <c r="G30" s="7">
        <v>42425</v>
      </c>
      <c r="H30" s="11" t="s">
        <v>12</v>
      </c>
      <c r="I30" s="11" t="s">
        <v>151</v>
      </c>
      <c r="J30" s="1">
        <v>1027758</v>
      </c>
      <c r="K30" s="34" t="s">
        <v>146</v>
      </c>
      <c r="L30" s="9">
        <v>80</v>
      </c>
      <c r="M30" s="40">
        <v>415</v>
      </c>
      <c r="N30" s="40"/>
      <c r="O30" s="41" t="s">
        <v>14</v>
      </c>
      <c r="P30" s="38"/>
      <c r="Q30" s="39" t="e">
        <f>IF(O33&lt;&gt;0,C33/(VLOOKUP(O33,#REF!,2,FALSE)),"")</f>
        <v>#REF!</v>
      </c>
      <c r="R30" s="38"/>
      <c r="S30" s="38"/>
      <c r="T30" s="37">
        <f t="shared" si="1"/>
        <v>0</v>
      </c>
    </row>
    <row r="31" spans="2:20" s="2" customFormat="1" x14ac:dyDescent="0.2">
      <c r="B31" s="27" t="s">
        <v>36</v>
      </c>
      <c r="C31" s="20">
        <v>104</v>
      </c>
      <c r="D31" s="20">
        <v>1</v>
      </c>
      <c r="E31" s="1">
        <v>2</v>
      </c>
      <c r="F31" s="7">
        <v>42424</v>
      </c>
      <c r="G31" s="7">
        <v>42424</v>
      </c>
      <c r="H31" s="11" t="s">
        <v>12</v>
      </c>
      <c r="I31" s="11" t="s">
        <v>53</v>
      </c>
      <c r="J31" s="1">
        <v>1027758</v>
      </c>
      <c r="K31" s="34" t="s">
        <v>146</v>
      </c>
      <c r="L31" s="9">
        <v>80</v>
      </c>
      <c r="M31" s="40">
        <v>74</v>
      </c>
      <c r="N31" s="40"/>
      <c r="O31" s="41"/>
      <c r="P31" s="43"/>
      <c r="Q31" s="39" t="str">
        <f>IF(O34&lt;&gt;0,C34/(VLOOKUP(O34,#REF!,2,FALSE)),"")</f>
        <v/>
      </c>
      <c r="R31" s="43"/>
      <c r="S31" s="43"/>
      <c r="T31" s="37">
        <f t="shared" si="1"/>
        <v>0</v>
      </c>
    </row>
    <row r="32" spans="2:20" s="2" customFormat="1" x14ac:dyDescent="0.2">
      <c r="B32" s="27" t="s">
        <v>99</v>
      </c>
      <c r="C32" s="20">
        <v>1100</v>
      </c>
      <c r="D32" s="20">
        <v>1</v>
      </c>
      <c r="E32" s="1">
        <v>1</v>
      </c>
      <c r="F32" s="7">
        <v>42436</v>
      </c>
      <c r="G32" s="7">
        <v>42436</v>
      </c>
      <c r="H32" s="11" t="s">
        <v>12</v>
      </c>
      <c r="I32" s="11" t="s">
        <v>131</v>
      </c>
      <c r="J32" s="1">
        <v>1028095</v>
      </c>
      <c r="K32" s="34" t="s">
        <v>186</v>
      </c>
      <c r="L32" s="9">
        <v>80</v>
      </c>
      <c r="M32" s="40"/>
      <c r="N32" s="40"/>
      <c r="O32" s="41"/>
      <c r="P32" s="38"/>
      <c r="Q32" s="39" t="str">
        <f>IF(O35&lt;&gt;0,C35/(VLOOKUP(O35,#REF!,2,FALSE)),"")</f>
        <v/>
      </c>
      <c r="R32" s="38"/>
      <c r="S32" s="38"/>
      <c r="T32" s="37">
        <f t="shared" si="1"/>
        <v>0</v>
      </c>
    </row>
    <row r="33" spans="2:20" s="2" customFormat="1" x14ac:dyDescent="0.2">
      <c r="B33" s="42" t="s">
        <v>107</v>
      </c>
      <c r="C33" s="11"/>
      <c r="D33" s="11"/>
      <c r="E33" s="1">
        <v>2</v>
      </c>
      <c r="F33" s="7">
        <v>42431</v>
      </c>
      <c r="G33" s="7">
        <v>42431</v>
      </c>
      <c r="H33" s="11" t="s">
        <v>12</v>
      </c>
      <c r="I33" s="11" t="s">
        <v>108</v>
      </c>
      <c r="J33" s="1">
        <v>1027978</v>
      </c>
      <c r="K33" s="34" t="s">
        <v>168</v>
      </c>
      <c r="L33" s="9">
        <v>80</v>
      </c>
      <c r="M33" s="40">
        <v>1000</v>
      </c>
      <c r="N33" s="40"/>
      <c r="O33" s="41" t="s">
        <v>13</v>
      </c>
      <c r="P33" s="38"/>
      <c r="Q33" s="39" t="str">
        <f>IF(O36&lt;&gt;0,C36/(VLOOKUP(O36,#REF!,2,FALSE)),"")</f>
        <v/>
      </c>
      <c r="R33" s="38"/>
      <c r="S33" s="38"/>
      <c r="T33" s="37">
        <f t="shared" si="1"/>
        <v>0</v>
      </c>
    </row>
    <row r="34" spans="2:20" x14ac:dyDescent="0.2">
      <c r="B34" s="62" t="s">
        <v>15</v>
      </c>
      <c r="C34" s="63">
        <f>SUBTOTAL(109,Liste1_737578185102118131_6152_4169_14199_2221_4242_2257_18299320363386411414421426432439447456475486498234567891023456789111213141523456789101112131416171817202122232345678910111213141516171819212224252627[Nombre de pièces])</f>
        <v>12731</v>
      </c>
      <c r="D34" s="63">
        <f>SUBTOTAL(109,Liste1_737578185102118131_6152_4169_14199_2221_4242_2257_18299320363386411414421426432439447456475486498234567891023456789111213141523456789101112131416171817202122232345678910111213141516171819212224252627[[Nombre de bacs ]])</f>
        <v>22</v>
      </c>
      <c r="E34" s="63"/>
      <c r="F34" s="63"/>
      <c r="G34" s="63"/>
      <c r="H34" s="63"/>
      <c r="I34" s="63"/>
      <c r="J34" s="63"/>
      <c r="K34" s="26"/>
      <c r="L34" s="63"/>
      <c r="M34" s="63">
        <f>SUBTOTAL(109,Liste1_737578185102118131_6152_4169_14199_2221_4242_2257_18299320363386411414421426432439447456475486498234567891023456789111213141523456789101112131416171817202122232345678910111213141516171819212224252627[Débloquées])</f>
        <v>4403</v>
      </c>
      <c r="N34" s="63">
        <f>SUBTOTAL(109,Liste1_737578185102118131_6152_4169_14199_2221_4242_2257_18299320363386411414421426432439447456475486498234567891023456789111213141523456789101112131416171817202122232345678910111213141516171819212224252627[[Rebutées ]])</f>
        <v>538</v>
      </c>
      <c r="O34" s="63"/>
      <c r="P34" s="63"/>
      <c r="Q34" s="64" t="e">
        <f>SUBTOTAL(109,Liste1_737578185102118131_6152_4169_14199_2221_4242_2257_18299320363386411414421426432439447456475486498234567891023456789111213141523456789101112131416171817202122232345678910111213141516171819212224252627[Durée de tri (h)])</f>
        <v>#REF!</v>
      </c>
      <c r="R34" s="63"/>
      <c r="S34" s="64">
        <f>SUBTOTAL(109,Liste1_737578185102118131_6152_4169_14199_2221_4242_2257_18299320363386411414421426432439447456475486498234567891023456789111213141523456789101112131416171817202122232345678910111213141516171819212224252627[Efficience tri])</f>
        <v>0</v>
      </c>
      <c r="T34" s="63">
        <f>SUBTOTAL(109,Liste1_737578185102118131_6152_4169_14199_2221_4242_2257_18299320363386411414421426432439447456475486498234567891023456789111213141523456789101112131416171817202122232345678910111213141516171819212224252627[Attente Dérogation])</f>
        <v>1000</v>
      </c>
    </row>
    <row r="41" spans="2:20" x14ac:dyDescent="0.2">
      <c r="D41" s="54"/>
      <c r="E41" s="16" t="s">
        <v>165</v>
      </c>
    </row>
    <row r="43" spans="2:20" ht="12" customHeight="1" x14ac:dyDescent="0.2">
      <c r="D43" s="47"/>
      <c r="E43" s="16"/>
    </row>
    <row r="47" spans="2:20" x14ac:dyDescent="0.2">
      <c r="E47" s="47"/>
    </row>
    <row r="49" spans="5:5" x14ac:dyDescent="0.2">
      <c r="E49" s="47"/>
    </row>
  </sheetData>
  <conditionalFormatting sqref="B1:B3 K1:K3 B35:B65482 K35:K65482">
    <cfRule type="expression" dxfId="3" priority="1" stopIfTrue="1">
      <formula>VLOOKUP(LEFT($B1,8),#REF!,1,0)=LEFT($B1,8)</formula>
    </cfRule>
  </conditionalFormatting>
  <dataValidations count="2">
    <dataValidation type="list" allowBlank="1" showInputMessage="1" showErrorMessage="1" sqref="P4:P33">
      <formula1>"Dérogation (décision client),Attente décision interne,OK QUA"</formula1>
    </dataValidation>
    <dataValidation type="list" allowBlank="1" showInputMessage="1" showErrorMessage="1" sqref="O4:O33">
      <formula1>"Montage,Montage + Visuel,Visuel"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T49"/>
  <sheetViews>
    <sheetView topLeftCell="A13" zoomScale="80" zoomScaleNormal="80" workbookViewId="0">
      <selection activeCell="L7" sqref="L7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27" t="s">
        <v>161</v>
      </c>
      <c r="C4" s="11">
        <v>950</v>
      </c>
      <c r="D4" s="11">
        <v>1</v>
      </c>
      <c r="E4" s="11">
        <v>8</v>
      </c>
      <c r="F4" s="57">
        <v>42433</v>
      </c>
      <c r="G4" s="57">
        <v>42433</v>
      </c>
      <c r="H4" s="55" t="s">
        <v>12</v>
      </c>
      <c r="I4" s="55" t="s">
        <v>114</v>
      </c>
      <c r="J4" s="56">
        <v>1028029</v>
      </c>
      <c r="K4" s="61" t="s">
        <v>180</v>
      </c>
      <c r="L4" s="58">
        <v>80</v>
      </c>
      <c r="M4" s="59"/>
      <c r="N4" s="59"/>
      <c r="O4" s="41" t="s">
        <v>13</v>
      </c>
      <c r="P4" s="38"/>
      <c r="Q4" s="39" t="str">
        <f>IF(O9&lt;&gt;0,C9/(VLOOKUP(O9,#REF!,2,FALSE)),"")</f>
        <v/>
      </c>
      <c r="R4" s="38"/>
      <c r="S4" s="38"/>
      <c r="T4" s="37">
        <f>IF(COUNTIF(P4,"*érogation*"),C9,0)</f>
        <v>0</v>
      </c>
    </row>
    <row r="5" spans="1:20" s="2" customFormat="1" x14ac:dyDescent="0.2">
      <c r="B5" s="27" t="s">
        <v>161</v>
      </c>
      <c r="C5" s="11">
        <v>950</v>
      </c>
      <c r="D5" s="11">
        <v>1</v>
      </c>
      <c r="E5" s="11">
        <v>11</v>
      </c>
      <c r="F5" s="57">
        <v>42433</v>
      </c>
      <c r="G5" s="57">
        <v>42433</v>
      </c>
      <c r="H5" s="11" t="s">
        <v>12</v>
      </c>
      <c r="I5" s="55" t="s">
        <v>114</v>
      </c>
      <c r="J5" s="56">
        <v>1028029</v>
      </c>
      <c r="K5" s="61" t="s">
        <v>180</v>
      </c>
      <c r="L5" s="58">
        <v>80</v>
      </c>
      <c r="M5" s="40"/>
      <c r="N5" s="40"/>
      <c r="O5" s="41" t="s">
        <v>13</v>
      </c>
      <c r="P5" s="43"/>
      <c r="Q5" s="39" t="str">
        <f>IF(O10&lt;&gt;0,C10/(VLOOKUP(O10,#REF!,2,FALSE)),"")</f>
        <v/>
      </c>
      <c r="R5" s="43"/>
      <c r="S5" s="43"/>
      <c r="T5" s="37">
        <f>IF(COUNTIF(P5,"*érogation*"),C10,0)</f>
        <v>0</v>
      </c>
    </row>
    <row r="6" spans="1:20" s="2" customFormat="1" x14ac:dyDescent="0.2">
      <c r="B6" s="27" t="s">
        <v>192</v>
      </c>
      <c r="C6" s="20">
        <v>842</v>
      </c>
      <c r="D6" s="20">
        <v>1</v>
      </c>
      <c r="E6" s="11">
        <v>12</v>
      </c>
      <c r="F6" s="65">
        <v>42436</v>
      </c>
      <c r="G6" s="65">
        <v>42436</v>
      </c>
      <c r="H6" s="11" t="s">
        <v>12</v>
      </c>
      <c r="I6" s="66" t="s">
        <v>193</v>
      </c>
      <c r="J6" s="67">
        <v>1028091</v>
      </c>
      <c r="K6" s="34" t="s">
        <v>194</v>
      </c>
      <c r="L6" s="68">
        <v>80</v>
      </c>
      <c r="M6" s="40"/>
      <c r="N6" s="40"/>
      <c r="O6" s="41"/>
      <c r="P6" s="38"/>
      <c r="Q6" s="39" t="str">
        <f>IF(O11&lt;&gt;0,C11/(VLOOKUP(O11,#REF!,2,FALSE)),"")</f>
        <v/>
      </c>
      <c r="R6" s="38"/>
      <c r="S6" s="38"/>
      <c r="T6" s="37">
        <f>IF(COUNTIF(P6,"*érogation*"),C11,0)</f>
        <v>0</v>
      </c>
    </row>
    <row r="7" spans="1:20" s="2" customFormat="1" x14ac:dyDescent="0.2">
      <c r="B7" s="27" t="s">
        <v>192</v>
      </c>
      <c r="C7" s="20">
        <v>1000</v>
      </c>
      <c r="D7" s="20">
        <v>1</v>
      </c>
      <c r="E7" s="11">
        <v>4</v>
      </c>
      <c r="F7" s="65">
        <v>42436</v>
      </c>
      <c r="G7" s="65">
        <v>42436</v>
      </c>
      <c r="H7" s="11" t="s">
        <v>12</v>
      </c>
      <c r="I7" s="66" t="s">
        <v>203</v>
      </c>
      <c r="J7" s="67">
        <v>1028091</v>
      </c>
      <c r="K7" s="34" t="s">
        <v>194</v>
      </c>
      <c r="L7" s="68">
        <v>80</v>
      </c>
      <c r="M7" s="40"/>
      <c r="N7" s="40"/>
      <c r="O7" s="41"/>
      <c r="P7" s="43"/>
      <c r="Q7" s="44" t="str">
        <f>IF(O12&lt;&gt;0,C12/(VLOOKUP(O12,#REF!,2,FALSE)),"")</f>
        <v/>
      </c>
      <c r="R7" s="43"/>
      <c r="S7" s="43"/>
      <c r="T7" s="37">
        <f>IF(COUNTIF(P7,"*érogation*"),C12,0)</f>
        <v>0</v>
      </c>
    </row>
    <row r="8" spans="1:20" s="2" customFormat="1" x14ac:dyDescent="0.2">
      <c r="B8" s="27" t="s">
        <v>196</v>
      </c>
      <c r="C8" s="11">
        <v>624</v>
      </c>
      <c r="D8" s="11">
        <v>1</v>
      </c>
      <c r="E8" s="11">
        <v>11</v>
      </c>
      <c r="F8" s="65">
        <v>42433</v>
      </c>
      <c r="G8" s="65">
        <v>42433</v>
      </c>
      <c r="H8" s="11" t="s">
        <v>12</v>
      </c>
      <c r="I8" s="66" t="s">
        <v>52</v>
      </c>
      <c r="J8" s="67">
        <v>1028089</v>
      </c>
      <c r="K8" s="34" t="s">
        <v>189</v>
      </c>
      <c r="L8" s="68">
        <v>80</v>
      </c>
      <c r="M8" s="40"/>
      <c r="N8" s="40"/>
      <c r="O8" s="41"/>
      <c r="P8" s="43"/>
      <c r="Q8" s="44" t="str">
        <f>IF(O16&lt;&gt;0,C16/(VLOOKUP(O16,#REF!,2,FALSE)),"")</f>
        <v/>
      </c>
      <c r="R8" s="43"/>
      <c r="S8" s="43"/>
      <c r="T8" s="37">
        <f>IF(COUNTIF(P8,"*érogation*"),C16,0)</f>
        <v>0</v>
      </c>
    </row>
    <row r="9" spans="1:20" s="2" customFormat="1" ht="25.5" x14ac:dyDescent="0.2">
      <c r="B9" s="27" t="s">
        <v>46</v>
      </c>
      <c r="C9" s="20">
        <v>800</v>
      </c>
      <c r="D9" s="20">
        <v>1</v>
      </c>
      <c r="E9" s="1">
        <v>2</v>
      </c>
      <c r="F9" s="7">
        <v>42268</v>
      </c>
      <c r="G9" s="7">
        <v>42376</v>
      </c>
      <c r="H9" s="11" t="s">
        <v>12</v>
      </c>
      <c r="I9" s="11" t="s">
        <v>56</v>
      </c>
      <c r="J9" s="1">
        <v>1023105</v>
      </c>
      <c r="K9" s="13" t="s">
        <v>55</v>
      </c>
      <c r="L9" s="9">
        <v>80</v>
      </c>
      <c r="M9" s="40"/>
      <c r="N9" s="40"/>
      <c r="O9" s="41"/>
      <c r="P9" s="43" t="s">
        <v>31</v>
      </c>
      <c r="Q9" s="39" t="str">
        <f>IF(O11&lt;&gt;0,C11/(VLOOKUP(O11,#REF!,2,FALSE)),"")</f>
        <v/>
      </c>
      <c r="R9" s="38"/>
      <c r="S9" s="38"/>
      <c r="T9" s="37">
        <f>IF(COUNTIF(P9,"*érogation*"),C11,0)</f>
        <v>0</v>
      </c>
    </row>
    <row r="10" spans="1:20" s="2" customFormat="1" ht="25.5" x14ac:dyDescent="0.2">
      <c r="B10" s="27" t="s">
        <v>46</v>
      </c>
      <c r="C10" s="20">
        <v>504</v>
      </c>
      <c r="D10" s="20">
        <v>1</v>
      </c>
      <c r="E10" s="1">
        <v>1</v>
      </c>
      <c r="F10" s="7">
        <v>42268</v>
      </c>
      <c r="G10" s="7">
        <v>42376</v>
      </c>
      <c r="H10" s="11" t="s">
        <v>12</v>
      </c>
      <c r="I10" s="11" t="s">
        <v>56</v>
      </c>
      <c r="J10" s="1">
        <v>1023105</v>
      </c>
      <c r="K10" s="13" t="s">
        <v>55</v>
      </c>
      <c r="L10" s="9">
        <v>80</v>
      </c>
      <c r="M10" s="40"/>
      <c r="N10" s="40"/>
      <c r="O10" s="41"/>
      <c r="P10" s="43" t="s">
        <v>31</v>
      </c>
      <c r="Q10" s="39" t="e">
        <f>IF(#REF!&lt;&gt;0,#REF!/(VLOOKUP(#REF!,#REF!,2,FALSE)),"")</f>
        <v>#REF!</v>
      </c>
      <c r="R10" s="38"/>
      <c r="S10" s="38"/>
      <c r="T10" s="37">
        <f>IF(COUNTIF(P10,"*érogation*"),#REF!,0)</f>
        <v>0</v>
      </c>
    </row>
    <row r="11" spans="1:20" s="2" customFormat="1" x14ac:dyDescent="0.2">
      <c r="B11" s="27" t="s">
        <v>187</v>
      </c>
      <c r="C11" s="11">
        <v>362</v>
      </c>
      <c r="D11" s="11">
        <v>1</v>
      </c>
      <c r="E11" s="1">
        <v>4</v>
      </c>
      <c r="F11" s="7">
        <v>42436</v>
      </c>
      <c r="G11" s="7">
        <v>42436</v>
      </c>
      <c r="H11" s="11" t="s">
        <v>12</v>
      </c>
      <c r="I11" s="11" t="s">
        <v>188</v>
      </c>
      <c r="J11" s="1">
        <v>1028089</v>
      </c>
      <c r="K11" s="34" t="s">
        <v>189</v>
      </c>
      <c r="L11" s="9">
        <v>80</v>
      </c>
      <c r="M11" s="40"/>
      <c r="N11" s="40"/>
      <c r="O11" s="41"/>
      <c r="P11" s="43"/>
      <c r="Q11" s="39" t="str">
        <f>IF(O16&lt;&gt;0,C16/(VLOOKUP(O16,#REF!,2,FALSE)),"")</f>
        <v/>
      </c>
      <c r="R11" s="43"/>
      <c r="S11" s="43"/>
      <c r="T11" s="37">
        <f>IF(COUNTIF(P11,"*érogation*"),C16,0)</f>
        <v>0</v>
      </c>
    </row>
    <row r="12" spans="1:20" s="2" customFormat="1" x14ac:dyDescent="0.2">
      <c r="B12" s="27" t="s">
        <v>200</v>
      </c>
      <c r="C12" s="11">
        <v>626</v>
      </c>
      <c r="D12" s="11">
        <v>1</v>
      </c>
      <c r="E12" s="1">
        <v>7</v>
      </c>
      <c r="F12" s="7">
        <v>42437</v>
      </c>
      <c r="G12" s="7">
        <v>42437</v>
      </c>
      <c r="H12" s="11" t="s">
        <v>12</v>
      </c>
      <c r="I12" s="66" t="s">
        <v>52</v>
      </c>
      <c r="J12" s="1">
        <v>1028032</v>
      </c>
      <c r="K12" s="34" t="s">
        <v>202</v>
      </c>
      <c r="L12" s="9">
        <v>80</v>
      </c>
      <c r="M12" s="40"/>
      <c r="N12" s="40"/>
      <c r="O12" s="41"/>
      <c r="P12" s="43"/>
      <c r="Q12" s="44" t="str">
        <f>IF(O17&lt;&gt;0,C17/(VLOOKUP(O17,#REF!,2,FALSE)),"")</f>
        <v/>
      </c>
      <c r="R12" s="43"/>
      <c r="S12" s="43"/>
      <c r="T12" s="37">
        <f>IF(COUNTIF(P12,"*érogation*"),C17,0)</f>
        <v>0</v>
      </c>
    </row>
    <row r="13" spans="1:20" s="2" customFormat="1" x14ac:dyDescent="0.2">
      <c r="B13" s="27" t="s">
        <v>200</v>
      </c>
      <c r="C13" s="11">
        <v>1000</v>
      </c>
      <c r="D13" s="11">
        <v>1</v>
      </c>
      <c r="E13" s="1">
        <v>12</v>
      </c>
      <c r="F13" s="7">
        <v>42437</v>
      </c>
      <c r="G13" s="7">
        <v>42437</v>
      </c>
      <c r="H13" s="11" t="s">
        <v>12</v>
      </c>
      <c r="I13" s="11" t="s">
        <v>201</v>
      </c>
      <c r="J13" s="1">
        <v>1028032</v>
      </c>
      <c r="K13" s="34" t="s">
        <v>202</v>
      </c>
      <c r="L13" s="9">
        <v>80</v>
      </c>
      <c r="M13" s="40"/>
      <c r="N13" s="40"/>
      <c r="O13" s="41"/>
      <c r="P13" s="43"/>
      <c r="Q13" s="44" t="str">
        <f>IF(O17&lt;&gt;0,C17/(VLOOKUP(O17,#REF!,2,FALSE)),"")</f>
        <v/>
      </c>
      <c r="R13" s="43"/>
      <c r="S13" s="43"/>
      <c r="T13" s="37">
        <f>IF(COUNTIF(P13,"*érogation*"),C17,0)</f>
        <v>0</v>
      </c>
    </row>
    <row r="14" spans="1:20" s="2" customFormat="1" x14ac:dyDescent="0.2">
      <c r="B14" s="27" t="s">
        <v>117</v>
      </c>
      <c r="C14" s="11">
        <v>1100</v>
      </c>
      <c r="D14" s="11">
        <v>1</v>
      </c>
      <c r="E14" s="1">
        <v>19</v>
      </c>
      <c r="F14" s="7">
        <v>42437</v>
      </c>
      <c r="G14" s="7">
        <v>42437</v>
      </c>
      <c r="H14" s="11" t="s">
        <v>12</v>
      </c>
      <c r="I14" s="11" t="s">
        <v>197</v>
      </c>
      <c r="J14" s="1">
        <v>1028214</v>
      </c>
      <c r="K14" s="34" t="s">
        <v>199</v>
      </c>
      <c r="L14" s="9">
        <v>80</v>
      </c>
      <c r="M14" s="40"/>
      <c r="N14" s="40"/>
      <c r="O14" s="41"/>
      <c r="P14" s="43"/>
      <c r="Q14" s="44" t="e">
        <f>IF(O19&lt;&gt;0,C19/(VLOOKUP(O19,#REF!,2,FALSE)),"")</f>
        <v>#REF!</v>
      </c>
      <c r="R14" s="43"/>
      <c r="S14" s="43"/>
      <c r="T14" s="37">
        <f>IF(COUNTIF(P14,"*érogation*"),C19,0)</f>
        <v>0</v>
      </c>
    </row>
    <row r="15" spans="1:20" s="2" customFormat="1" x14ac:dyDescent="0.2">
      <c r="B15" s="27" t="s">
        <v>117</v>
      </c>
      <c r="C15" s="11">
        <v>1100</v>
      </c>
      <c r="D15" s="11">
        <v>1</v>
      </c>
      <c r="E15" s="1">
        <v>20</v>
      </c>
      <c r="F15" s="7">
        <v>42437</v>
      </c>
      <c r="G15" s="7">
        <v>42437</v>
      </c>
      <c r="H15" s="11" t="s">
        <v>12</v>
      </c>
      <c r="I15" s="11" t="s">
        <v>198</v>
      </c>
      <c r="J15" s="1">
        <v>1028214</v>
      </c>
      <c r="K15" s="34" t="s">
        <v>199</v>
      </c>
      <c r="L15" s="9">
        <v>80</v>
      </c>
      <c r="M15" s="40"/>
      <c r="N15" s="40"/>
      <c r="O15" s="41"/>
      <c r="P15" s="43"/>
      <c r="Q15" s="44" t="e">
        <f>IF(O19&lt;&gt;0,C19/(VLOOKUP(O19,#REF!,2,FALSE)),"")</f>
        <v>#REF!</v>
      </c>
      <c r="R15" s="43"/>
      <c r="S15" s="43"/>
      <c r="T15" s="37">
        <f>IF(COUNTIF(P15,"*érogation*"),C19,0)</f>
        <v>0</v>
      </c>
    </row>
    <row r="16" spans="1:20" s="2" customFormat="1" x14ac:dyDescent="0.2">
      <c r="B16" s="27" t="s">
        <v>34</v>
      </c>
      <c r="C16" s="11">
        <v>500</v>
      </c>
      <c r="D16" s="11">
        <v>1</v>
      </c>
      <c r="E16" s="11">
        <v>20</v>
      </c>
      <c r="F16" s="7">
        <v>42433</v>
      </c>
      <c r="G16" s="7">
        <v>42433</v>
      </c>
      <c r="H16" s="11" t="s">
        <v>12</v>
      </c>
      <c r="I16" s="11" t="s">
        <v>190</v>
      </c>
      <c r="J16" s="1">
        <v>1027036</v>
      </c>
      <c r="K16" s="34" t="s">
        <v>191</v>
      </c>
      <c r="L16" s="9">
        <v>80</v>
      </c>
      <c r="M16" s="40"/>
      <c r="N16" s="40"/>
      <c r="O16" s="41"/>
      <c r="P16" s="43"/>
      <c r="Q16" s="39" t="e">
        <f>IF(O19&lt;&gt;0,C19/(VLOOKUP(O19,#REF!,2,FALSE)),"")</f>
        <v>#REF!</v>
      </c>
      <c r="R16" s="43"/>
      <c r="S16" s="43"/>
      <c r="T16" s="37">
        <f t="shared" ref="T16:T30" si="0">IF(COUNTIF(P16,"*érogation*"),C19,0)</f>
        <v>0</v>
      </c>
    </row>
    <row r="17" spans="2:20" s="2" customFormat="1" ht="25.5" x14ac:dyDescent="0.2">
      <c r="B17" s="27" t="s">
        <v>34</v>
      </c>
      <c r="C17" s="20">
        <v>326</v>
      </c>
      <c r="D17" s="20">
        <v>1</v>
      </c>
      <c r="E17" s="11">
        <v>5</v>
      </c>
      <c r="F17" s="7">
        <v>42244</v>
      </c>
      <c r="G17" s="7">
        <v>42244</v>
      </c>
      <c r="H17" s="11" t="s">
        <v>12</v>
      </c>
      <c r="I17" s="11" t="s">
        <v>38</v>
      </c>
      <c r="J17" s="1">
        <v>1025060</v>
      </c>
      <c r="K17" s="13" t="s">
        <v>35</v>
      </c>
      <c r="L17" s="9">
        <v>80</v>
      </c>
      <c r="M17" s="40"/>
      <c r="N17" s="40"/>
      <c r="O17" s="41"/>
      <c r="P17" s="38" t="s">
        <v>22</v>
      </c>
      <c r="Q17" s="39" t="e">
        <f>IF(O20&lt;&gt;0,C20/(VLOOKUP(O20,#REF!,2,FALSE)),"")</f>
        <v>#REF!</v>
      </c>
      <c r="R17" s="38"/>
      <c r="S17" s="38"/>
      <c r="T17" s="37">
        <f t="shared" si="0"/>
        <v>500</v>
      </c>
    </row>
    <row r="18" spans="2:20" s="2" customFormat="1" ht="25.5" x14ac:dyDescent="0.2">
      <c r="B18" s="27" t="s">
        <v>34</v>
      </c>
      <c r="C18" s="20">
        <v>500</v>
      </c>
      <c r="D18" s="20">
        <v>1</v>
      </c>
      <c r="E18" s="11">
        <v>5</v>
      </c>
      <c r="F18" s="7">
        <v>42263</v>
      </c>
      <c r="G18" s="7">
        <v>42263</v>
      </c>
      <c r="H18" s="11" t="s">
        <v>12</v>
      </c>
      <c r="I18" s="11" t="s">
        <v>38</v>
      </c>
      <c r="J18" s="1">
        <v>1025490</v>
      </c>
      <c r="K18" s="13" t="s">
        <v>37</v>
      </c>
      <c r="L18" s="9">
        <v>80</v>
      </c>
      <c r="M18" s="40"/>
      <c r="N18" s="40"/>
      <c r="O18" s="41"/>
      <c r="P18" s="38" t="s">
        <v>22</v>
      </c>
      <c r="Q18" s="39" t="e">
        <f>IF(O21&lt;&gt;0,C21/(VLOOKUP(O21,#REF!,2,FALSE)),"")</f>
        <v>#REF!</v>
      </c>
      <c r="R18" s="43"/>
      <c r="S18" s="43"/>
      <c r="T18" s="37">
        <f t="shared" si="0"/>
        <v>500</v>
      </c>
    </row>
    <row r="19" spans="2:20" s="2" customFormat="1" x14ac:dyDescent="0.2">
      <c r="B19" s="27" t="s">
        <v>176</v>
      </c>
      <c r="C19" s="11">
        <v>500</v>
      </c>
      <c r="D19" s="11">
        <v>1</v>
      </c>
      <c r="E19" s="1">
        <v>3</v>
      </c>
      <c r="F19" s="7">
        <v>42431</v>
      </c>
      <c r="G19" s="7">
        <v>42431</v>
      </c>
      <c r="H19" s="11" t="s">
        <v>12</v>
      </c>
      <c r="I19" s="11" t="s">
        <v>177</v>
      </c>
      <c r="J19" s="1">
        <v>1027882</v>
      </c>
      <c r="K19" s="34" t="s">
        <v>178</v>
      </c>
      <c r="L19" s="9">
        <v>80</v>
      </c>
      <c r="M19" s="40"/>
      <c r="N19" s="40"/>
      <c r="O19" s="41" t="s">
        <v>13</v>
      </c>
      <c r="P19" s="43"/>
      <c r="Q19" s="39" t="e">
        <f>IF(#REF!&lt;&gt;0,#REF!/(VLOOKUP(#REF!,#REF!,2,FALSE)),"")</f>
        <v>#REF!</v>
      </c>
      <c r="R19" s="43"/>
      <c r="S19" s="43"/>
      <c r="T19" s="37">
        <f>IF(COUNTIF(P19,"*érogation*"),#REF!,0)</f>
        <v>0</v>
      </c>
    </row>
    <row r="20" spans="2:20" s="2" customFormat="1" x14ac:dyDescent="0.2">
      <c r="B20" s="27" t="s">
        <v>176</v>
      </c>
      <c r="C20" s="11">
        <v>500</v>
      </c>
      <c r="D20" s="11">
        <v>1</v>
      </c>
      <c r="E20" s="1">
        <v>4</v>
      </c>
      <c r="F20" s="7">
        <v>42431</v>
      </c>
      <c r="G20" s="7">
        <v>42431</v>
      </c>
      <c r="H20" s="11" t="s">
        <v>12</v>
      </c>
      <c r="I20" s="11" t="s">
        <v>177</v>
      </c>
      <c r="J20" s="1">
        <v>1027882</v>
      </c>
      <c r="K20" s="34" t="s">
        <v>178</v>
      </c>
      <c r="L20" s="9">
        <v>80</v>
      </c>
      <c r="M20" s="40"/>
      <c r="N20" s="40"/>
      <c r="O20" s="41" t="s">
        <v>13</v>
      </c>
      <c r="P20" s="43"/>
      <c r="Q20" s="39" t="e">
        <f>IF(#REF!&lt;&gt;0,#REF!/(VLOOKUP(#REF!,#REF!,2,FALSE)),"")</f>
        <v>#REF!</v>
      </c>
      <c r="R20" s="43"/>
      <c r="S20" s="43"/>
      <c r="T20" s="37">
        <f>IF(COUNTIF(P20,"*érogation*"),#REF!,0)</f>
        <v>0</v>
      </c>
    </row>
    <row r="21" spans="2:20" s="2" customFormat="1" x14ac:dyDescent="0.2">
      <c r="B21" s="27" t="s">
        <v>176</v>
      </c>
      <c r="C21" s="11">
        <v>500</v>
      </c>
      <c r="D21" s="11">
        <v>1</v>
      </c>
      <c r="E21" s="1">
        <v>6</v>
      </c>
      <c r="F21" s="7">
        <v>42431</v>
      </c>
      <c r="G21" s="7">
        <v>42431</v>
      </c>
      <c r="H21" s="11" t="s">
        <v>12</v>
      </c>
      <c r="I21" s="11" t="s">
        <v>177</v>
      </c>
      <c r="J21" s="1">
        <v>1027882</v>
      </c>
      <c r="K21" s="34" t="s">
        <v>178</v>
      </c>
      <c r="L21" s="9">
        <v>80</v>
      </c>
      <c r="M21" s="40"/>
      <c r="N21" s="40"/>
      <c r="O21" s="41" t="s">
        <v>13</v>
      </c>
      <c r="P21" s="43"/>
      <c r="Q21" s="39" t="e">
        <f>IF(O22&lt;&gt;0,C22/(VLOOKUP(O22,#REF!,2,FALSE)),"")</f>
        <v>#REF!</v>
      </c>
      <c r="R21" s="43"/>
      <c r="S21" s="43"/>
      <c r="T21" s="37">
        <f>IF(COUNTIF(P21,"*érogation*"),C22,0)</f>
        <v>0</v>
      </c>
    </row>
    <row r="22" spans="2:20" s="2" customFormat="1" x14ac:dyDescent="0.2">
      <c r="B22" s="42" t="s">
        <v>181</v>
      </c>
      <c r="C22" s="11"/>
      <c r="D22" s="11"/>
      <c r="E22" s="1">
        <v>10</v>
      </c>
      <c r="F22" s="7">
        <v>42433</v>
      </c>
      <c r="G22" s="7">
        <v>42433</v>
      </c>
      <c r="H22" s="11" t="s">
        <v>12</v>
      </c>
      <c r="I22" s="11" t="s">
        <v>183</v>
      </c>
      <c r="J22" s="1">
        <v>1028094</v>
      </c>
      <c r="K22" s="34" t="s">
        <v>182</v>
      </c>
      <c r="L22" s="9">
        <v>80</v>
      </c>
      <c r="M22" s="40">
        <v>748</v>
      </c>
      <c r="N22" s="40">
        <v>2</v>
      </c>
      <c r="O22" s="41" t="s">
        <v>13</v>
      </c>
      <c r="P22" s="43"/>
      <c r="Q22" s="39" t="e">
        <f>IF(O25&lt;&gt;0,C25/(VLOOKUP(O25,#REF!,2,FALSE)),"")</f>
        <v>#REF!</v>
      </c>
      <c r="R22" s="43"/>
      <c r="S22" s="43"/>
      <c r="T22" s="37">
        <f t="shared" si="0"/>
        <v>0</v>
      </c>
    </row>
    <row r="23" spans="2:20" s="2" customFormat="1" x14ac:dyDescent="0.2">
      <c r="B23" s="42" t="s">
        <v>181</v>
      </c>
      <c r="C23" s="11"/>
      <c r="D23" s="11"/>
      <c r="E23" s="1">
        <v>8</v>
      </c>
      <c r="F23" s="7">
        <v>42433</v>
      </c>
      <c r="G23" s="7">
        <v>42433</v>
      </c>
      <c r="H23" s="11" t="s">
        <v>12</v>
      </c>
      <c r="I23" s="11" t="s">
        <v>183</v>
      </c>
      <c r="J23" s="1">
        <v>1028094</v>
      </c>
      <c r="K23" s="34" t="s">
        <v>182</v>
      </c>
      <c r="L23" s="9">
        <v>80</v>
      </c>
      <c r="M23" s="40">
        <v>747</v>
      </c>
      <c r="N23" s="40">
        <v>3</v>
      </c>
      <c r="O23" s="41" t="s">
        <v>13</v>
      </c>
      <c r="P23" s="43"/>
      <c r="Q23" s="39" t="e">
        <f>IF(O26&lt;&gt;0,C26/(VLOOKUP(O26,#REF!,2,FALSE)),"")</f>
        <v>#REF!</v>
      </c>
      <c r="R23" s="43"/>
      <c r="S23" s="43"/>
      <c r="T23" s="37">
        <f t="shared" si="0"/>
        <v>0</v>
      </c>
    </row>
    <row r="24" spans="2:20" s="2" customFormat="1" x14ac:dyDescent="0.2">
      <c r="B24" s="42" t="s">
        <v>181</v>
      </c>
      <c r="C24" s="11"/>
      <c r="D24" s="11"/>
      <c r="E24" s="1">
        <v>20</v>
      </c>
      <c r="F24" s="7">
        <v>42433</v>
      </c>
      <c r="G24" s="7">
        <v>42433</v>
      </c>
      <c r="H24" s="11" t="s">
        <v>12</v>
      </c>
      <c r="I24" s="11" t="s">
        <v>183</v>
      </c>
      <c r="J24" s="1">
        <v>1028094</v>
      </c>
      <c r="K24" s="34" t="s">
        <v>182</v>
      </c>
      <c r="L24" s="9">
        <v>80</v>
      </c>
      <c r="M24" s="40">
        <v>750</v>
      </c>
      <c r="N24" s="40"/>
      <c r="O24" s="41" t="s">
        <v>13</v>
      </c>
      <c r="P24" s="43"/>
      <c r="Q24" s="39" t="e">
        <f>IF(#REF!&lt;&gt;0,#REF!/(VLOOKUP(#REF!,#REF!,2,FALSE)),"")</f>
        <v>#REF!</v>
      </c>
      <c r="R24" s="43"/>
      <c r="S24" s="43"/>
      <c r="T24" s="37">
        <f>IF(COUNTIF(P24,"*érogation*"),#REF!,0)</f>
        <v>0</v>
      </c>
    </row>
    <row r="25" spans="2:20" s="2" customFormat="1" x14ac:dyDescent="0.2">
      <c r="B25" s="42" t="s">
        <v>181</v>
      </c>
      <c r="C25" s="11"/>
      <c r="D25" s="11"/>
      <c r="E25" s="1">
        <v>4</v>
      </c>
      <c r="F25" s="7">
        <v>42433</v>
      </c>
      <c r="G25" s="7">
        <v>42433</v>
      </c>
      <c r="H25" s="11" t="s">
        <v>12</v>
      </c>
      <c r="I25" s="11" t="s">
        <v>183</v>
      </c>
      <c r="J25" s="1">
        <v>1028094</v>
      </c>
      <c r="K25" s="34" t="s">
        <v>182</v>
      </c>
      <c r="L25" s="9">
        <v>80</v>
      </c>
      <c r="M25" s="40">
        <v>748</v>
      </c>
      <c r="N25" s="40">
        <v>2</v>
      </c>
      <c r="O25" s="41" t="s">
        <v>13</v>
      </c>
      <c r="P25" s="43"/>
      <c r="Q25" s="39" t="str">
        <f>IF(O28&lt;&gt;0,C28/(VLOOKUP(O28,#REF!,2,FALSE)),"")</f>
        <v/>
      </c>
      <c r="R25" s="43"/>
      <c r="S25" s="43"/>
      <c r="T25" s="37">
        <f>IF(COUNTIF(P25,"*érogation*"),C28,0)</f>
        <v>0</v>
      </c>
    </row>
    <row r="26" spans="2:20" s="2" customFormat="1" x14ac:dyDescent="0.2">
      <c r="B26" s="42" t="s">
        <v>181</v>
      </c>
      <c r="C26" s="11"/>
      <c r="D26" s="11"/>
      <c r="E26" s="1">
        <v>9</v>
      </c>
      <c r="F26" s="7">
        <v>42433</v>
      </c>
      <c r="G26" s="7">
        <v>42433</v>
      </c>
      <c r="H26" s="11" t="s">
        <v>12</v>
      </c>
      <c r="I26" s="11" t="s">
        <v>183</v>
      </c>
      <c r="J26" s="1">
        <v>1028094</v>
      </c>
      <c r="K26" s="34" t="s">
        <v>182</v>
      </c>
      <c r="L26" s="9">
        <v>80</v>
      </c>
      <c r="M26" s="40">
        <v>750</v>
      </c>
      <c r="N26" s="40"/>
      <c r="O26" s="41" t="s">
        <v>13</v>
      </c>
      <c r="P26" s="43"/>
      <c r="Q26" s="39" t="e">
        <f>IF(O29&lt;&gt;0,C29/(VLOOKUP(O29,#REF!,2,FALSE)),"")</f>
        <v>#REF!</v>
      </c>
      <c r="R26" s="43"/>
      <c r="S26" s="43"/>
      <c r="T26" s="37">
        <f>IF(COUNTIF(P26,"*érogation*"),C29,0)</f>
        <v>0</v>
      </c>
    </row>
    <row r="27" spans="2:20" s="2" customFormat="1" x14ac:dyDescent="0.2">
      <c r="B27" s="27" t="s">
        <v>45</v>
      </c>
      <c r="C27" s="11">
        <v>600</v>
      </c>
      <c r="D27" s="11">
        <v>1</v>
      </c>
      <c r="E27" s="1">
        <v>2</v>
      </c>
      <c r="F27" s="7">
        <v>42437</v>
      </c>
      <c r="G27" s="7">
        <v>42437</v>
      </c>
      <c r="H27" s="11" t="s">
        <v>12</v>
      </c>
      <c r="I27" s="11" t="s">
        <v>87</v>
      </c>
      <c r="J27" s="1">
        <v>1028244</v>
      </c>
      <c r="K27" s="34" t="s">
        <v>195</v>
      </c>
      <c r="L27" s="9">
        <v>80</v>
      </c>
      <c r="M27" s="40"/>
      <c r="N27" s="40"/>
      <c r="O27" s="41"/>
      <c r="P27" s="43"/>
      <c r="Q27" s="44" t="e">
        <f>IF(O30&lt;&gt;0,C30/(VLOOKUP(O30,#REF!,2,FALSE)),"")</f>
        <v>#REF!</v>
      </c>
      <c r="R27" s="43"/>
      <c r="S27" s="43"/>
      <c r="T27" s="37">
        <f>IF(COUNTIF(P27,"*érogation*"),C30,0)</f>
        <v>0</v>
      </c>
    </row>
    <row r="28" spans="2:20" s="2" customFormat="1" x14ac:dyDescent="0.2">
      <c r="B28" s="27" t="s">
        <v>36</v>
      </c>
      <c r="C28" s="11">
        <v>450</v>
      </c>
      <c r="D28" s="11">
        <v>1</v>
      </c>
      <c r="E28" s="1">
        <v>6</v>
      </c>
      <c r="F28" s="7">
        <v>42432</v>
      </c>
      <c r="G28" s="7">
        <v>42432</v>
      </c>
      <c r="H28" s="11" t="s">
        <v>12</v>
      </c>
      <c r="I28" s="11" t="s">
        <v>111</v>
      </c>
      <c r="J28" s="1">
        <v>1028082</v>
      </c>
      <c r="K28" s="34" t="s">
        <v>173</v>
      </c>
      <c r="L28" s="9">
        <v>80</v>
      </c>
      <c r="M28" s="40"/>
      <c r="N28" s="40"/>
      <c r="O28" s="41"/>
      <c r="P28" s="43"/>
      <c r="Q28" s="39" t="e">
        <f>IF(O31&lt;&gt;0,C31/(VLOOKUP(O31,#REF!,2,FALSE)),"")</f>
        <v>#REF!</v>
      </c>
      <c r="R28" s="43"/>
      <c r="S28" s="43"/>
      <c r="T28" s="37">
        <f t="shared" si="0"/>
        <v>0</v>
      </c>
    </row>
    <row r="29" spans="2:20" s="2" customFormat="1" x14ac:dyDescent="0.2">
      <c r="B29" s="27" t="s">
        <v>36</v>
      </c>
      <c r="C29" s="11">
        <v>450</v>
      </c>
      <c r="D29" s="11">
        <v>1</v>
      </c>
      <c r="E29" s="1">
        <v>1</v>
      </c>
      <c r="F29" s="7">
        <v>42431</v>
      </c>
      <c r="G29" s="7">
        <v>42431</v>
      </c>
      <c r="H29" s="11" t="s">
        <v>12</v>
      </c>
      <c r="I29" s="11" t="s">
        <v>102</v>
      </c>
      <c r="J29" s="1">
        <v>1028081</v>
      </c>
      <c r="K29" s="34" t="s">
        <v>174</v>
      </c>
      <c r="L29" s="9">
        <v>80</v>
      </c>
      <c r="M29" s="40"/>
      <c r="N29" s="40"/>
      <c r="O29" s="41" t="s">
        <v>13</v>
      </c>
      <c r="P29" s="43"/>
      <c r="Q29" s="39" t="str">
        <f>IF(O32&lt;&gt;0,C32/(VLOOKUP(O32,#REF!,2,FALSE)),"")</f>
        <v/>
      </c>
      <c r="R29" s="43"/>
      <c r="S29" s="43"/>
      <c r="T29" s="37">
        <f t="shared" si="0"/>
        <v>0</v>
      </c>
    </row>
    <row r="30" spans="2:20" s="2" customFormat="1" x14ac:dyDescent="0.2">
      <c r="B30" s="27" t="s">
        <v>36</v>
      </c>
      <c r="C30" s="11">
        <v>450</v>
      </c>
      <c r="D30" s="11">
        <v>1</v>
      </c>
      <c r="E30" s="1">
        <v>25</v>
      </c>
      <c r="F30" s="7">
        <v>42425</v>
      </c>
      <c r="G30" s="7">
        <v>42425</v>
      </c>
      <c r="H30" s="11" t="s">
        <v>12</v>
      </c>
      <c r="I30" s="11" t="s">
        <v>151</v>
      </c>
      <c r="J30" s="1">
        <v>1027758</v>
      </c>
      <c r="K30" s="34" t="s">
        <v>146</v>
      </c>
      <c r="L30" s="9">
        <v>80</v>
      </c>
      <c r="M30" s="40"/>
      <c r="N30" s="40"/>
      <c r="O30" s="41" t="s">
        <v>14</v>
      </c>
      <c r="P30" s="43"/>
      <c r="Q30" s="39" t="str">
        <f>IF(O33&lt;&gt;0,C33/(VLOOKUP(O33,#REF!,2,FALSE)),"")</f>
        <v/>
      </c>
      <c r="R30" s="43"/>
      <c r="S30" s="43"/>
      <c r="T30" s="37">
        <f t="shared" si="0"/>
        <v>0</v>
      </c>
    </row>
    <row r="31" spans="2:20" s="2" customFormat="1" x14ac:dyDescent="0.2">
      <c r="B31" s="27" t="s">
        <v>36</v>
      </c>
      <c r="C31" s="11">
        <v>35</v>
      </c>
      <c r="D31" s="11">
        <v>1</v>
      </c>
      <c r="E31" s="1">
        <v>24</v>
      </c>
      <c r="F31" s="7">
        <v>42425</v>
      </c>
      <c r="G31" s="7">
        <v>42425</v>
      </c>
      <c r="H31" s="11" t="s">
        <v>12</v>
      </c>
      <c r="I31" s="11" t="s">
        <v>151</v>
      </c>
      <c r="J31" s="1">
        <v>1027758</v>
      </c>
      <c r="K31" s="34" t="s">
        <v>146</v>
      </c>
      <c r="L31" s="9">
        <v>80</v>
      </c>
      <c r="M31" s="40">
        <v>415</v>
      </c>
      <c r="N31" s="40"/>
      <c r="O31" s="41" t="s">
        <v>14</v>
      </c>
      <c r="P31" s="38"/>
      <c r="Q31" s="39" t="e">
        <f>IF(#REF!&lt;&gt;0,#REF!/(VLOOKUP(#REF!,#REF!,2,FALSE)),"")</f>
        <v>#REF!</v>
      </c>
      <c r="R31" s="38"/>
      <c r="S31" s="38"/>
      <c r="T31" s="37">
        <f>IF(COUNTIF(P31,"*érogation*"),#REF!,0)</f>
        <v>0</v>
      </c>
    </row>
    <row r="32" spans="2:20" s="2" customFormat="1" x14ac:dyDescent="0.2">
      <c r="B32" s="27" t="s">
        <v>36</v>
      </c>
      <c r="C32" s="20">
        <v>104</v>
      </c>
      <c r="D32" s="20">
        <v>1</v>
      </c>
      <c r="E32" s="1">
        <v>2</v>
      </c>
      <c r="F32" s="7">
        <v>42424</v>
      </c>
      <c r="G32" s="7">
        <v>42424</v>
      </c>
      <c r="H32" s="11" t="s">
        <v>12</v>
      </c>
      <c r="I32" s="11" t="s">
        <v>53</v>
      </c>
      <c r="J32" s="1">
        <v>1027758</v>
      </c>
      <c r="K32" s="34" t="s">
        <v>146</v>
      </c>
      <c r="L32" s="9">
        <v>80</v>
      </c>
      <c r="M32" s="40">
        <v>74</v>
      </c>
      <c r="N32" s="40"/>
      <c r="O32" s="41"/>
      <c r="P32" s="43"/>
      <c r="Q32" s="39" t="str">
        <f>IF(O34&lt;&gt;0,C34/(VLOOKUP(O34,#REF!,2,FALSE)),"")</f>
        <v/>
      </c>
      <c r="R32" s="43"/>
      <c r="S32" s="43"/>
      <c r="T32" s="37">
        <f>IF(COUNTIF(P32,"*érogation*"),C34,0)</f>
        <v>0</v>
      </c>
    </row>
    <row r="33" spans="2:20" s="2" customFormat="1" x14ac:dyDescent="0.2">
      <c r="B33" s="27" t="s">
        <v>99</v>
      </c>
      <c r="C33" s="20">
        <v>1100</v>
      </c>
      <c r="D33" s="20">
        <v>1</v>
      </c>
      <c r="E33" s="1">
        <v>1</v>
      </c>
      <c r="F33" s="7">
        <v>42436</v>
      </c>
      <c r="G33" s="7">
        <v>42436</v>
      </c>
      <c r="H33" s="11" t="s">
        <v>12</v>
      </c>
      <c r="I33" s="11" t="s">
        <v>131</v>
      </c>
      <c r="J33" s="1">
        <v>1028095</v>
      </c>
      <c r="K33" s="34" t="s">
        <v>186</v>
      </c>
      <c r="L33" s="9">
        <v>80</v>
      </c>
      <c r="M33" s="40"/>
      <c r="N33" s="40"/>
      <c r="O33" s="41"/>
      <c r="P33" s="38"/>
      <c r="Q33" s="39" t="str">
        <f>IF(O35&lt;&gt;0,C35/(VLOOKUP(O35,#REF!,2,FALSE)),"")</f>
        <v/>
      </c>
      <c r="R33" s="38"/>
      <c r="S33" s="38"/>
      <c r="T33" s="37">
        <f>IF(COUNTIF(P33,"*érogation*"),C35,0)</f>
        <v>0</v>
      </c>
    </row>
    <row r="34" spans="2:20" x14ac:dyDescent="0.2">
      <c r="B34" s="29" t="s">
        <v>15</v>
      </c>
      <c r="C34" s="30">
        <f>SUBTOTAL(109,Liste1_737578185102118131_6152_4169_14199_2221_4242_2257_182993203633864114144214264324394474564754864982345678910234567891112131415234567891011121314161718172021222323456789101112131415161718192122242526272[Nombre de pièces])</f>
        <v>15873</v>
      </c>
      <c r="D34" s="30">
        <f>SUBTOTAL(109,Liste1_737578185102118131_6152_4169_14199_2221_4242_2257_182993203633864114144214264324394474564754864982345678910234567891112131415234567891011121314161718172021222323456789101112131415161718192122242526272[[Nombre de bacs ]])</f>
        <v>25</v>
      </c>
      <c r="E34" s="30"/>
      <c r="F34" s="30"/>
      <c r="G34" s="30"/>
      <c r="H34" s="30"/>
      <c r="I34" s="30"/>
      <c r="J34" s="30"/>
      <c r="K34" s="31"/>
      <c r="L34" s="30"/>
      <c r="M34" s="30">
        <f>SUBTOTAL(109,Liste1_737578185102118131_6152_4169_14199_2221_4242_2257_182993203633864114144214264324394474564754864982345678910234567891112131415234567891011121314161718172021222323456789101112131415161718192122242526272[Débloquées])</f>
        <v>4232</v>
      </c>
      <c r="N34" s="30">
        <f>SUBTOTAL(109,Liste1_737578185102118131_6152_4169_14199_2221_4242_2257_182993203633864114144214264324394474564754864982345678910234567891112131415234567891011121314161718172021222323456789101112131415161718192122242526272[[Rebutées ]])</f>
        <v>7</v>
      </c>
      <c r="O34" s="30"/>
      <c r="P34" s="30"/>
      <c r="Q34" s="32" t="e">
        <f>SUBTOTAL(109,Liste1_737578185102118131_6152_4169_14199_2221_4242_2257_182993203633864114144214264324394474564754864982345678910234567891112131415234567891011121314161718172021222323456789101112131415161718192122242526272[Durée de tri (h)])</f>
        <v>#REF!</v>
      </c>
      <c r="R34" s="30"/>
      <c r="S34" s="32">
        <f>SUBTOTAL(109,Liste1_737578185102118131_6152_4169_14199_2221_4242_2257_182993203633864114144214264324394474564754864982345678910234567891112131415234567891011121314161718172021222323456789101112131415161718192122242526272[Efficience tri])</f>
        <v>0</v>
      </c>
      <c r="T34" s="30">
        <f>SUBTOTAL(109,Liste1_737578185102118131_6152_4169_14199_2221_4242_2257_182993203633864114144214264324394474564754864982345678910234567891112131415234567891011121314161718172021222323456789101112131415161718192122242526272[Attente Dérogation])</f>
        <v>1000</v>
      </c>
    </row>
    <row r="41" spans="2:20" x14ac:dyDescent="0.2">
      <c r="D41" s="54"/>
      <c r="E41" s="16" t="s">
        <v>165</v>
      </c>
    </row>
    <row r="43" spans="2:20" ht="12" customHeight="1" x14ac:dyDescent="0.2">
      <c r="D43" s="47"/>
      <c r="E43" s="16"/>
    </row>
    <row r="47" spans="2:20" x14ac:dyDescent="0.2">
      <c r="E47" s="47"/>
    </row>
    <row r="49" spans="5:5" x14ac:dyDescent="0.2">
      <c r="E49" s="47"/>
    </row>
  </sheetData>
  <conditionalFormatting sqref="B1:B3 K1:K3 B35:B65482 K35:K65482">
    <cfRule type="expression" dxfId="2" priority="1" stopIfTrue="1">
      <formula>VLOOKUP(LEFT($B1,8),#REF!,1,0)=LEFT($B1,8)</formula>
    </cfRule>
  </conditionalFormatting>
  <dataValidations count="2">
    <dataValidation type="list" allowBlank="1" showInputMessage="1" showErrorMessage="1" sqref="O4:O33">
      <formula1>"Montage,Montage + Visuel,Visuel"</formula1>
    </dataValidation>
    <dataValidation type="list" allowBlank="1" showInputMessage="1" showErrorMessage="1" sqref="P4:P33">
      <formula1>"Dérogation (décision client),Attente décision interne,OK QUA"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T60"/>
  <sheetViews>
    <sheetView zoomScale="80" zoomScaleNormal="80" workbookViewId="0">
      <selection activeCell="G23" sqref="G23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42" t="s">
        <v>161</v>
      </c>
      <c r="C4" s="11"/>
      <c r="D4" s="11"/>
      <c r="E4" s="11">
        <v>8</v>
      </c>
      <c r="F4" s="57">
        <v>42433</v>
      </c>
      <c r="G4" s="57">
        <v>42433</v>
      </c>
      <c r="H4" s="55" t="s">
        <v>12</v>
      </c>
      <c r="I4" s="55" t="s">
        <v>114</v>
      </c>
      <c r="J4" s="56">
        <v>1028029</v>
      </c>
      <c r="K4" s="61" t="s">
        <v>180</v>
      </c>
      <c r="L4" s="58">
        <v>80</v>
      </c>
      <c r="M4" s="69">
        <v>948</v>
      </c>
      <c r="N4" s="69">
        <v>2</v>
      </c>
      <c r="O4" s="41" t="s">
        <v>13</v>
      </c>
      <c r="P4" s="38"/>
      <c r="Q4" s="39" t="str">
        <f>IF(O13&lt;&gt;0,C13/(VLOOKUP(O13,#REF!,2,FALSE)),"")</f>
        <v/>
      </c>
      <c r="R4" s="38"/>
      <c r="S4" s="38"/>
      <c r="T4" s="37">
        <f>IF(COUNTIF(P4,"*érogation*"),C13,0)</f>
        <v>0</v>
      </c>
    </row>
    <row r="5" spans="1:20" s="2" customFormat="1" x14ac:dyDescent="0.2">
      <c r="B5" s="42" t="s">
        <v>161</v>
      </c>
      <c r="C5" s="11"/>
      <c r="D5" s="11"/>
      <c r="E5" s="11">
        <v>11</v>
      </c>
      <c r="F5" s="57">
        <v>42433</v>
      </c>
      <c r="G5" s="57">
        <v>42433</v>
      </c>
      <c r="H5" s="11" t="s">
        <v>12</v>
      </c>
      <c r="I5" s="55" t="s">
        <v>114</v>
      </c>
      <c r="J5" s="56">
        <v>1028029</v>
      </c>
      <c r="K5" s="61" t="s">
        <v>180</v>
      </c>
      <c r="L5" s="58">
        <v>80</v>
      </c>
      <c r="M5" s="40">
        <v>950</v>
      </c>
      <c r="N5" s="40"/>
      <c r="O5" s="41" t="s">
        <v>13</v>
      </c>
      <c r="P5" s="43"/>
      <c r="Q5" s="39" t="str">
        <f>IF(O14&lt;&gt;0,C14/(VLOOKUP(O14,#REF!,2,FALSE)),"")</f>
        <v/>
      </c>
      <c r="R5" s="43"/>
      <c r="S5" s="43"/>
      <c r="T5" s="37">
        <f>IF(COUNTIF(P5,"*érogation*"),C14,0)</f>
        <v>0</v>
      </c>
    </row>
    <row r="6" spans="1:20" s="2" customFormat="1" x14ac:dyDescent="0.2">
      <c r="B6" s="27" t="s">
        <v>192</v>
      </c>
      <c r="C6" s="20">
        <v>1000</v>
      </c>
      <c r="D6" s="20">
        <v>1</v>
      </c>
      <c r="E6" s="11">
        <v>5</v>
      </c>
      <c r="F6" s="65">
        <v>42438</v>
      </c>
      <c r="G6" s="65">
        <v>42436</v>
      </c>
      <c r="H6" s="11" t="s">
        <v>12</v>
      </c>
      <c r="I6" s="66" t="s">
        <v>207</v>
      </c>
      <c r="J6" s="67">
        <v>1028091</v>
      </c>
      <c r="K6" s="34" t="s">
        <v>194</v>
      </c>
      <c r="L6" s="68">
        <v>80</v>
      </c>
      <c r="M6" s="40"/>
      <c r="N6" s="40"/>
      <c r="O6" s="41"/>
      <c r="P6" s="38"/>
      <c r="Q6" s="39" t="str">
        <f>IF(O15&lt;&gt;0,C15/(VLOOKUP(O15,#REF!,2,FALSE)),"")</f>
        <v/>
      </c>
      <c r="R6" s="38"/>
      <c r="S6" s="38"/>
      <c r="T6" s="37">
        <f>IF(COUNTIF(P6,"*érogation*"),C15,0)</f>
        <v>0</v>
      </c>
    </row>
    <row r="7" spans="1:20" s="2" customFormat="1" x14ac:dyDescent="0.2">
      <c r="B7" s="27" t="s">
        <v>192</v>
      </c>
      <c r="C7" s="20">
        <v>1000</v>
      </c>
      <c r="D7" s="20">
        <v>1</v>
      </c>
      <c r="E7" s="11">
        <v>1</v>
      </c>
      <c r="F7" s="65">
        <v>42438</v>
      </c>
      <c r="G7" s="65">
        <v>42436</v>
      </c>
      <c r="H7" s="11" t="s">
        <v>12</v>
      </c>
      <c r="I7" s="66" t="s">
        <v>207</v>
      </c>
      <c r="J7" s="67">
        <v>1028091</v>
      </c>
      <c r="K7" s="34" t="s">
        <v>194</v>
      </c>
      <c r="L7" s="68">
        <v>80</v>
      </c>
      <c r="M7" s="40"/>
      <c r="N7" s="40"/>
      <c r="O7" s="41"/>
      <c r="P7" s="38"/>
      <c r="Q7" s="39" t="str">
        <f>IF(O15&lt;&gt;0,C15/(VLOOKUP(O15,#REF!,2,FALSE)),"")</f>
        <v/>
      </c>
      <c r="R7" s="38"/>
      <c r="S7" s="38"/>
      <c r="T7" s="37">
        <f>IF(COUNTIF(P7,"*érogation*"),C15,0)</f>
        <v>0</v>
      </c>
    </row>
    <row r="8" spans="1:20" s="2" customFormat="1" x14ac:dyDescent="0.2">
      <c r="B8" s="27" t="s">
        <v>192</v>
      </c>
      <c r="C8" s="20">
        <v>260</v>
      </c>
      <c r="D8" s="20">
        <v>1</v>
      </c>
      <c r="E8" s="11">
        <v>7</v>
      </c>
      <c r="F8" s="65">
        <v>42438</v>
      </c>
      <c r="G8" s="65">
        <v>42436</v>
      </c>
      <c r="H8" s="11" t="s">
        <v>12</v>
      </c>
      <c r="I8" s="66" t="s">
        <v>207</v>
      </c>
      <c r="J8" s="67">
        <v>1028091</v>
      </c>
      <c r="K8" s="34" t="s">
        <v>194</v>
      </c>
      <c r="L8" s="68">
        <v>80</v>
      </c>
      <c r="M8" s="40"/>
      <c r="N8" s="40"/>
      <c r="O8" s="41"/>
      <c r="P8" s="38"/>
      <c r="Q8" s="39" t="str">
        <f>IF(O15&lt;&gt;0,C15/(VLOOKUP(O15,#REF!,2,FALSE)),"")</f>
        <v/>
      </c>
      <c r="R8" s="38"/>
      <c r="S8" s="38"/>
      <c r="T8" s="37">
        <f>IF(COUNTIF(P8,"*érogation*"),C15,0)</f>
        <v>0</v>
      </c>
    </row>
    <row r="9" spans="1:20" s="2" customFormat="1" x14ac:dyDescent="0.2">
      <c r="B9" s="27" t="s">
        <v>192</v>
      </c>
      <c r="C9" s="20">
        <v>1000</v>
      </c>
      <c r="D9" s="20">
        <v>1</v>
      </c>
      <c r="E9" s="11">
        <v>6</v>
      </c>
      <c r="F9" s="65">
        <v>42438</v>
      </c>
      <c r="G9" s="65">
        <v>42436</v>
      </c>
      <c r="H9" s="11" t="s">
        <v>12</v>
      </c>
      <c r="I9" s="66" t="s">
        <v>207</v>
      </c>
      <c r="J9" s="67">
        <v>1028091</v>
      </c>
      <c r="K9" s="34" t="s">
        <v>194</v>
      </c>
      <c r="L9" s="68">
        <v>80</v>
      </c>
      <c r="M9" s="40"/>
      <c r="N9" s="40"/>
      <c r="O9" s="41"/>
      <c r="P9" s="38"/>
      <c r="Q9" s="39" t="str">
        <f>IF(O15&lt;&gt;0,C15/(VLOOKUP(O15,#REF!,2,FALSE)),"")</f>
        <v/>
      </c>
      <c r="R9" s="38"/>
      <c r="S9" s="38"/>
      <c r="T9" s="37">
        <f>IF(COUNTIF(P9,"*érogation*"),C15,0)</f>
        <v>0</v>
      </c>
    </row>
    <row r="10" spans="1:20" s="2" customFormat="1" x14ac:dyDescent="0.2">
      <c r="B10" s="27" t="s">
        <v>192</v>
      </c>
      <c r="C10" s="20">
        <v>842</v>
      </c>
      <c r="D10" s="20">
        <v>1</v>
      </c>
      <c r="E10" s="11">
        <v>12</v>
      </c>
      <c r="F10" s="65">
        <v>42436</v>
      </c>
      <c r="G10" s="65">
        <v>42436</v>
      </c>
      <c r="H10" s="11" t="s">
        <v>12</v>
      </c>
      <c r="I10" s="66" t="s">
        <v>193</v>
      </c>
      <c r="J10" s="67">
        <v>1028091</v>
      </c>
      <c r="K10" s="34" t="s">
        <v>194</v>
      </c>
      <c r="L10" s="68">
        <v>80</v>
      </c>
      <c r="M10" s="40"/>
      <c r="N10" s="40"/>
      <c r="O10" s="41"/>
      <c r="P10" s="38"/>
      <c r="Q10" s="39" t="str">
        <f>IF(O15&lt;&gt;0,C15/(VLOOKUP(O15,#REF!,2,FALSE)),"")</f>
        <v/>
      </c>
      <c r="R10" s="38"/>
      <c r="S10" s="38"/>
      <c r="T10" s="37">
        <f>IF(COUNTIF(P10,"*érogation*"),C15,0)</f>
        <v>0</v>
      </c>
    </row>
    <row r="11" spans="1:20" s="2" customFormat="1" x14ac:dyDescent="0.2">
      <c r="B11" s="27" t="s">
        <v>192</v>
      </c>
      <c r="C11" s="20">
        <v>1000</v>
      </c>
      <c r="D11" s="20">
        <v>1</v>
      </c>
      <c r="E11" s="11">
        <v>4</v>
      </c>
      <c r="F11" s="65">
        <v>42436</v>
      </c>
      <c r="G11" s="65">
        <v>42436</v>
      </c>
      <c r="H11" s="11" t="s">
        <v>12</v>
      </c>
      <c r="I11" s="66" t="s">
        <v>203</v>
      </c>
      <c r="J11" s="67">
        <v>1028091</v>
      </c>
      <c r="K11" s="34" t="s">
        <v>194</v>
      </c>
      <c r="L11" s="68">
        <v>80</v>
      </c>
      <c r="M11" s="40"/>
      <c r="N11" s="40"/>
      <c r="O11" s="41"/>
      <c r="P11" s="43"/>
      <c r="Q11" s="44" t="str">
        <f>IF(O16&lt;&gt;0,C16/(VLOOKUP(O16,#REF!,2,FALSE)),"")</f>
        <v/>
      </c>
      <c r="R11" s="43"/>
      <c r="S11" s="43"/>
      <c r="T11" s="37">
        <f>IF(COUNTIF(P11,"*érogation*"),C16,0)</f>
        <v>0</v>
      </c>
    </row>
    <row r="12" spans="1:20" s="2" customFormat="1" x14ac:dyDescent="0.2">
      <c r="B12" s="27" t="s">
        <v>196</v>
      </c>
      <c r="C12" s="11">
        <v>624</v>
      </c>
      <c r="D12" s="11">
        <v>1</v>
      </c>
      <c r="E12" s="11">
        <v>11</v>
      </c>
      <c r="F12" s="65">
        <v>42433</v>
      </c>
      <c r="G12" s="65">
        <v>42433</v>
      </c>
      <c r="H12" s="11" t="s">
        <v>12</v>
      </c>
      <c r="I12" s="66" t="s">
        <v>52</v>
      </c>
      <c r="J12" s="67">
        <v>1028089</v>
      </c>
      <c r="K12" s="34" t="s">
        <v>189</v>
      </c>
      <c r="L12" s="68">
        <v>80</v>
      </c>
      <c r="M12" s="40"/>
      <c r="N12" s="40"/>
      <c r="O12" s="41"/>
      <c r="P12" s="43"/>
      <c r="Q12" s="44" t="str">
        <f>IF(O20&lt;&gt;0,C20/(VLOOKUP(O20,#REF!,2,FALSE)),"")</f>
        <v/>
      </c>
      <c r="R12" s="43"/>
      <c r="S12" s="43"/>
      <c r="T12" s="37">
        <f>IF(COUNTIF(P12,"*érogation*"),C20,0)</f>
        <v>0</v>
      </c>
    </row>
    <row r="13" spans="1:20" s="2" customFormat="1" ht="25.5" x14ac:dyDescent="0.2">
      <c r="B13" s="27" t="s">
        <v>46</v>
      </c>
      <c r="C13" s="20">
        <v>800</v>
      </c>
      <c r="D13" s="20">
        <v>1</v>
      </c>
      <c r="E13" s="1">
        <v>2</v>
      </c>
      <c r="F13" s="7">
        <v>42268</v>
      </c>
      <c r="G13" s="7">
        <v>42376</v>
      </c>
      <c r="H13" s="11" t="s">
        <v>12</v>
      </c>
      <c r="I13" s="11" t="s">
        <v>56</v>
      </c>
      <c r="J13" s="1">
        <v>1023105</v>
      </c>
      <c r="K13" s="13" t="s">
        <v>55</v>
      </c>
      <c r="L13" s="9">
        <v>80</v>
      </c>
      <c r="M13" s="40"/>
      <c r="N13" s="40"/>
      <c r="O13" s="41"/>
      <c r="P13" s="43" t="s">
        <v>31</v>
      </c>
      <c r="Q13" s="39" t="str">
        <f>IF(O15&lt;&gt;0,C15/(VLOOKUP(O15,#REF!,2,FALSE)),"")</f>
        <v/>
      </c>
      <c r="R13" s="38"/>
      <c r="S13" s="38"/>
      <c r="T13" s="37">
        <f>IF(COUNTIF(P13,"*érogation*"),C15,0)</f>
        <v>0</v>
      </c>
    </row>
    <row r="14" spans="1:20" s="2" customFormat="1" ht="25.5" x14ac:dyDescent="0.2">
      <c r="B14" s="27" t="s">
        <v>46</v>
      </c>
      <c r="C14" s="20">
        <v>504</v>
      </c>
      <c r="D14" s="20">
        <v>1</v>
      </c>
      <c r="E14" s="1">
        <v>1</v>
      </c>
      <c r="F14" s="7">
        <v>42268</v>
      </c>
      <c r="G14" s="7">
        <v>42376</v>
      </c>
      <c r="H14" s="11" t="s">
        <v>12</v>
      </c>
      <c r="I14" s="11" t="s">
        <v>56</v>
      </c>
      <c r="J14" s="1">
        <v>1023105</v>
      </c>
      <c r="K14" s="13" t="s">
        <v>55</v>
      </c>
      <c r="L14" s="9">
        <v>80</v>
      </c>
      <c r="M14" s="40"/>
      <c r="N14" s="40"/>
      <c r="O14" s="41"/>
      <c r="P14" s="43" t="s">
        <v>31</v>
      </c>
      <c r="Q14" s="39" t="e">
        <f>IF(#REF!&lt;&gt;0,#REF!/(VLOOKUP(#REF!,#REF!,2,FALSE)),"")</f>
        <v>#REF!</v>
      </c>
      <c r="R14" s="38"/>
      <c r="S14" s="38"/>
      <c r="T14" s="37">
        <f>IF(COUNTIF(P14,"*érogation*"),#REF!,0)</f>
        <v>0</v>
      </c>
    </row>
    <row r="15" spans="1:20" s="2" customFormat="1" x14ac:dyDescent="0.2">
      <c r="B15" s="27" t="s">
        <v>187</v>
      </c>
      <c r="C15" s="11">
        <v>362</v>
      </c>
      <c r="D15" s="11">
        <v>1</v>
      </c>
      <c r="E15" s="1">
        <v>4</v>
      </c>
      <c r="F15" s="7">
        <v>42436</v>
      </c>
      <c r="G15" s="7">
        <v>42436</v>
      </c>
      <c r="H15" s="11" t="s">
        <v>12</v>
      </c>
      <c r="I15" s="11" t="s">
        <v>188</v>
      </c>
      <c r="J15" s="1">
        <v>1028089</v>
      </c>
      <c r="K15" s="34" t="s">
        <v>189</v>
      </c>
      <c r="L15" s="9">
        <v>80</v>
      </c>
      <c r="M15" s="40"/>
      <c r="N15" s="40"/>
      <c r="O15" s="41"/>
      <c r="P15" s="43"/>
      <c r="Q15" s="39" t="str">
        <f>IF(O20&lt;&gt;0,C20/(VLOOKUP(O20,#REF!,2,FALSE)),"")</f>
        <v/>
      </c>
      <c r="R15" s="43"/>
      <c r="S15" s="43"/>
      <c r="T15" s="37">
        <f>IF(COUNTIF(P15,"*érogation*"),C20,0)</f>
        <v>0</v>
      </c>
    </row>
    <row r="16" spans="1:20" s="2" customFormat="1" x14ac:dyDescent="0.2">
      <c r="B16" s="27" t="s">
        <v>200</v>
      </c>
      <c r="C16" s="11">
        <v>626</v>
      </c>
      <c r="D16" s="11">
        <v>1</v>
      </c>
      <c r="E16" s="1">
        <v>7</v>
      </c>
      <c r="F16" s="7">
        <v>42437</v>
      </c>
      <c r="G16" s="7">
        <v>42437</v>
      </c>
      <c r="H16" s="11" t="s">
        <v>12</v>
      </c>
      <c r="I16" s="66" t="s">
        <v>52</v>
      </c>
      <c r="J16" s="1">
        <v>1028032</v>
      </c>
      <c r="K16" s="34" t="s">
        <v>202</v>
      </c>
      <c r="L16" s="9">
        <v>80</v>
      </c>
      <c r="M16" s="40"/>
      <c r="N16" s="40"/>
      <c r="O16" s="41"/>
      <c r="P16" s="43"/>
      <c r="Q16" s="44" t="str">
        <f>IF(O21&lt;&gt;0,C21/(VLOOKUP(O21,#REF!,2,FALSE)),"")</f>
        <v/>
      </c>
      <c r="R16" s="43"/>
      <c r="S16" s="43"/>
      <c r="T16" s="37">
        <f>IF(COUNTIF(P16,"*érogation*"),C21,0)</f>
        <v>0</v>
      </c>
    </row>
    <row r="17" spans="2:20" s="2" customFormat="1" x14ac:dyDescent="0.2">
      <c r="B17" s="42" t="s">
        <v>200</v>
      </c>
      <c r="C17" s="11"/>
      <c r="D17" s="11"/>
      <c r="E17" s="1">
        <v>12</v>
      </c>
      <c r="F17" s="7">
        <v>42437</v>
      </c>
      <c r="G17" s="7">
        <v>42437</v>
      </c>
      <c r="H17" s="11" t="s">
        <v>12</v>
      </c>
      <c r="I17" s="11" t="s">
        <v>201</v>
      </c>
      <c r="J17" s="1">
        <v>1028032</v>
      </c>
      <c r="K17" s="34" t="s">
        <v>202</v>
      </c>
      <c r="L17" s="9">
        <v>80</v>
      </c>
      <c r="M17" s="40">
        <v>1000</v>
      </c>
      <c r="N17" s="40"/>
      <c r="O17" s="41"/>
      <c r="P17" s="43"/>
      <c r="Q17" s="44" t="str">
        <f>IF(O21&lt;&gt;0,C21/(VLOOKUP(O21,#REF!,2,FALSE)),"")</f>
        <v/>
      </c>
      <c r="R17" s="43"/>
      <c r="S17" s="43"/>
      <c r="T17" s="37">
        <f>IF(COUNTIF(P17,"*érogation*"),C21,0)</f>
        <v>0</v>
      </c>
    </row>
    <row r="18" spans="2:20" s="2" customFormat="1" x14ac:dyDescent="0.2">
      <c r="B18" s="42" t="s">
        <v>117</v>
      </c>
      <c r="C18" s="11"/>
      <c r="D18" s="11"/>
      <c r="E18" s="1">
        <v>19</v>
      </c>
      <c r="F18" s="7">
        <v>42437</v>
      </c>
      <c r="G18" s="7">
        <v>42437</v>
      </c>
      <c r="H18" s="11" t="s">
        <v>12</v>
      </c>
      <c r="I18" s="11" t="s">
        <v>197</v>
      </c>
      <c r="J18" s="1">
        <v>1028214</v>
      </c>
      <c r="K18" s="34" t="s">
        <v>199</v>
      </c>
      <c r="L18" s="9">
        <v>80</v>
      </c>
      <c r="M18" s="40">
        <v>1100</v>
      </c>
      <c r="N18" s="40"/>
      <c r="O18" s="41"/>
      <c r="P18" s="43"/>
      <c r="Q18" s="44" t="e">
        <f>IF(O23&lt;&gt;0,C23/(VLOOKUP(O23,#REF!,2,FALSE)),"")</f>
        <v>#REF!</v>
      </c>
      <c r="R18" s="43"/>
      <c r="S18" s="43"/>
      <c r="T18" s="37">
        <f>IF(COUNTIF(P18,"*érogation*"),C23,0)</f>
        <v>0</v>
      </c>
    </row>
    <row r="19" spans="2:20" s="2" customFormat="1" x14ac:dyDescent="0.2">
      <c r="B19" s="42" t="s">
        <v>117</v>
      </c>
      <c r="C19" s="11"/>
      <c r="D19" s="11"/>
      <c r="E19" s="1">
        <v>20</v>
      </c>
      <c r="F19" s="7">
        <v>42437</v>
      </c>
      <c r="G19" s="7">
        <v>42437</v>
      </c>
      <c r="H19" s="11" t="s">
        <v>12</v>
      </c>
      <c r="I19" s="11" t="s">
        <v>198</v>
      </c>
      <c r="J19" s="1">
        <v>1028214</v>
      </c>
      <c r="K19" s="34" t="s">
        <v>199</v>
      </c>
      <c r="L19" s="9">
        <v>80</v>
      </c>
      <c r="M19" s="40">
        <v>1100</v>
      </c>
      <c r="N19" s="40"/>
      <c r="O19" s="41"/>
      <c r="P19" s="43"/>
      <c r="Q19" s="44" t="e">
        <f>IF(O23&lt;&gt;0,C23/(VLOOKUP(O23,#REF!,2,FALSE)),"")</f>
        <v>#REF!</v>
      </c>
      <c r="R19" s="43"/>
      <c r="S19" s="43"/>
      <c r="T19" s="37">
        <f>IF(COUNTIF(P19,"*érogation*"),C23,0)</f>
        <v>0</v>
      </c>
    </row>
    <row r="20" spans="2:20" s="2" customFormat="1" x14ac:dyDescent="0.2">
      <c r="B20" s="27" t="s">
        <v>34</v>
      </c>
      <c r="C20" s="11">
        <v>500</v>
      </c>
      <c r="D20" s="11">
        <v>1</v>
      </c>
      <c r="E20" s="11">
        <v>20</v>
      </c>
      <c r="F20" s="7">
        <v>42433</v>
      </c>
      <c r="G20" s="7">
        <v>42433</v>
      </c>
      <c r="H20" s="11" t="s">
        <v>12</v>
      </c>
      <c r="I20" s="11" t="s">
        <v>190</v>
      </c>
      <c r="J20" s="1">
        <v>1027036</v>
      </c>
      <c r="K20" s="34" t="s">
        <v>191</v>
      </c>
      <c r="L20" s="9">
        <v>80</v>
      </c>
      <c r="M20" s="40"/>
      <c r="N20" s="40"/>
      <c r="O20" s="41"/>
      <c r="P20" s="43"/>
      <c r="Q20" s="39" t="e">
        <f>IF(O23&lt;&gt;0,C23/(VLOOKUP(O23,#REF!,2,FALSE)),"")</f>
        <v>#REF!</v>
      </c>
      <c r="R20" s="43"/>
      <c r="S20" s="43"/>
      <c r="T20" s="37">
        <f t="shared" ref="T20:T41" si="0">IF(COUNTIF(P20,"*érogation*"),C23,0)</f>
        <v>0</v>
      </c>
    </row>
    <row r="21" spans="2:20" s="2" customFormat="1" ht="25.5" x14ac:dyDescent="0.2">
      <c r="B21" s="27" t="s">
        <v>34</v>
      </c>
      <c r="C21" s="20">
        <v>326</v>
      </c>
      <c r="D21" s="20">
        <v>1</v>
      </c>
      <c r="E21" s="11">
        <v>5</v>
      </c>
      <c r="F21" s="7">
        <v>42244</v>
      </c>
      <c r="G21" s="7">
        <v>42244</v>
      </c>
      <c r="H21" s="11" t="s">
        <v>12</v>
      </c>
      <c r="I21" s="11" t="s">
        <v>38</v>
      </c>
      <c r="J21" s="1">
        <v>1025060</v>
      </c>
      <c r="K21" s="13" t="s">
        <v>35</v>
      </c>
      <c r="L21" s="9">
        <v>80</v>
      </c>
      <c r="M21" s="40"/>
      <c r="N21" s="40"/>
      <c r="O21" s="41"/>
      <c r="P21" s="38" t="s">
        <v>22</v>
      </c>
      <c r="Q21" s="39" t="e">
        <f>IF(O24&lt;&gt;0,C24/(VLOOKUP(O24,#REF!,2,FALSE)),"")</f>
        <v>#REF!</v>
      </c>
      <c r="R21" s="38"/>
      <c r="S21" s="38"/>
      <c r="T21" s="37">
        <f t="shared" si="0"/>
        <v>0</v>
      </c>
    </row>
    <row r="22" spans="2:20" s="2" customFormat="1" ht="25.5" x14ac:dyDescent="0.2">
      <c r="B22" s="27" t="s">
        <v>34</v>
      </c>
      <c r="C22" s="20">
        <v>500</v>
      </c>
      <c r="D22" s="20">
        <v>1</v>
      </c>
      <c r="E22" s="11">
        <v>5</v>
      </c>
      <c r="F22" s="7">
        <v>42263</v>
      </c>
      <c r="G22" s="7">
        <v>42263</v>
      </c>
      <c r="H22" s="11" t="s">
        <v>12</v>
      </c>
      <c r="I22" s="11" t="s">
        <v>38</v>
      </c>
      <c r="J22" s="1">
        <v>1025490</v>
      </c>
      <c r="K22" s="13" t="s">
        <v>37</v>
      </c>
      <c r="L22" s="9">
        <v>80</v>
      </c>
      <c r="M22" s="40"/>
      <c r="N22" s="40"/>
      <c r="O22" s="41"/>
      <c r="P22" s="38" t="s">
        <v>22</v>
      </c>
      <c r="Q22" s="39" t="e">
        <f>IF(O25&lt;&gt;0,C25/(VLOOKUP(O25,#REF!,2,FALSE)),"")</f>
        <v>#REF!</v>
      </c>
      <c r="R22" s="43"/>
      <c r="S22" s="43"/>
      <c r="T22" s="37">
        <f t="shared" si="0"/>
        <v>500</v>
      </c>
    </row>
    <row r="23" spans="2:20" s="2" customFormat="1" x14ac:dyDescent="0.2">
      <c r="B23" s="42" t="s">
        <v>176</v>
      </c>
      <c r="C23" s="11"/>
      <c r="D23" s="11"/>
      <c r="E23" s="1">
        <v>3</v>
      </c>
      <c r="F23" s="7">
        <v>42431</v>
      </c>
      <c r="G23" s="7">
        <v>42431</v>
      </c>
      <c r="H23" s="11" t="s">
        <v>12</v>
      </c>
      <c r="I23" s="11" t="s">
        <v>177</v>
      </c>
      <c r="J23" s="1">
        <v>1027882</v>
      </c>
      <c r="K23" s="34" t="s">
        <v>178</v>
      </c>
      <c r="L23" s="9">
        <v>80</v>
      </c>
      <c r="M23" s="40">
        <v>465</v>
      </c>
      <c r="N23" s="40">
        <v>35</v>
      </c>
      <c r="O23" s="41" t="s">
        <v>13</v>
      </c>
      <c r="P23" s="43"/>
      <c r="Q23" s="39" t="e">
        <f>IF(#REF!&lt;&gt;0,#REF!/(VLOOKUP(#REF!,#REF!,2,FALSE)),"")</f>
        <v>#REF!</v>
      </c>
      <c r="R23" s="43"/>
      <c r="S23" s="43"/>
      <c r="T23" s="37">
        <f>IF(COUNTIF(P23,"*érogation*"),#REF!,0)</f>
        <v>0</v>
      </c>
    </row>
    <row r="24" spans="2:20" s="2" customFormat="1" x14ac:dyDescent="0.2">
      <c r="B24" s="42" t="s">
        <v>176</v>
      </c>
      <c r="C24" s="11"/>
      <c r="D24" s="11"/>
      <c r="E24" s="1">
        <v>4</v>
      </c>
      <c r="F24" s="7">
        <v>42431</v>
      </c>
      <c r="G24" s="7">
        <v>42431</v>
      </c>
      <c r="H24" s="11" t="s">
        <v>12</v>
      </c>
      <c r="I24" s="11" t="s">
        <v>177</v>
      </c>
      <c r="J24" s="1">
        <v>1027882</v>
      </c>
      <c r="K24" s="34" t="s">
        <v>178</v>
      </c>
      <c r="L24" s="9">
        <v>80</v>
      </c>
      <c r="M24" s="40">
        <v>479</v>
      </c>
      <c r="N24" s="40">
        <v>21</v>
      </c>
      <c r="O24" s="41" t="s">
        <v>13</v>
      </c>
      <c r="P24" s="43"/>
      <c r="Q24" s="39" t="e">
        <f>IF(#REF!&lt;&gt;0,#REF!/(VLOOKUP(#REF!,#REF!,2,FALSE)),"")</f>
        <v>#REF!</v>
      </c>
      <c r="R24" s="43"/>
      <c r="S24" s="43"/>
      <c r="T24" s="37">
        <f>IF(COUNTIF(P24,"*érogation*"),#REF!,0)</f>
        <v>0</v>
      </c>
    </row>
    <row r="25" spans="2:20" s="2" customFormat="1" x14ac:dyDescent="0.2">
      <c r="B25" s="27" t="s">
        <v>176</v>
      </c>
      <c r="C25" s="11">
        <v>500</v>
      </c>
      <c r="D25" s="11">
        <v>1</v>
      </c>
      <c r="E25" s="1">
        <v>6</v>
      </c>
      <c r="F25" s="7">
        <v>42431</v>
      </c>
      <c r="G25" s="7">
        <v>42431</v>
      </c>
      <c r="H25" s="11" t="s">
        <v>12</v>
      </c>
      <c r="I25" s="11" t="s">
        <v>177</v>
      </c>
      <c r="J25" s="1">
        <v>1027882</v>
      </c>
      <c r="K25" s="34" t="s">
        <v>178</v>
      </c>
      <c r="L25" s="9">
        <v>80</v>
      </c>
      <c r="M25" s="40"/>
      <c r="N25" s="40"/>
      <c r="O25" s="41" t="s">
        <v>13</v>
      </c>
      <c r="P25" s="43"/>
      <c r="Q25" s="39" t="e">
        <f>IF(#REF!&lt;&gt;0,#REF!/(VLOOKUP(#REF!,#REF!,2,FALSE)),"")</f>
        <v>#REF!</v>
      </c>
      <c r="R25" s="43"/>
      <c r="S25" s="43"/>
      <c r="T25" s="37">
        <f>IF(COUNTIF(P25,"*érogation*"),#REF!,0)</f>
        <v>0</v>
      </c>
    </row>
    <row r="26" spans="2:20" s="2" customFormat="1" x14ac:dyDescent="0.2">
      <c r="B26" s="42" t="s">
        <v>45</v>
      </c>
      <c r="C26" s="11"/>
      <c r="D26" s="11"/>
      <c r="E26" s="1">
        <v>2</v>
      </c>
      <c r="F26" s="7">
        <v>42437</v>
      </c>
      <c r="G26" s="7">
        <v>42437</v>
      </c>
      <c r="H26" s="11" t="s">
        <v>12</v>
      </c>
      <c r="I26" s="11" t="s">
        <v>87</v>
      </c>
      <c r="J26" s="1">
        <v>1028244</v>
      </c>
      <c r="K26" s="34" t="s">
        <v>195</v>
      </c>
      <c r="L26" s="9">
        <v>80</v>
      </c>
      <c r="M26" s="40">
        <v>600</v>
      </c>
      <c r="N26" s="40"/>
      <c r="O26" s="41"/>
      <c r="P26" s="43"/>
      <c r="Q26" s="44" t="e">
        <f>IF(O41&lt;&gt;0,C41/(VLOOKUP(O41,#REF!,2,FALSE)),"")</f>
        <v>#REF!</v>
      </c>
      <c r="R26" s="43"/>
      <c r="S26" s="43"/>
      <c r="T26" s="37">
        <f>IF(COUNTIF(P26,"*érogation*"),C41,0)</f>
        <v>0</v>
      </c>
    </row>
    <row r="27" spans="2:20" s="2" customFormat="1" x14ac:dyDescent="0.2">
      <c r="B27" s="42" t="s">
        <v>181</v>
      </c>
      <c r="C27" s="11"/>
      <c r="D27" s="11"/>
      <c r="E27" s="1">
        <v>3</v>
      </c>
      <c r="F27" s="7">
        <v>42433</v>
      </c>
      <c r="G27" s="7">
        <v>42433</v>
      </c>
      <c r="H27" s="11" t="s">
        <v>12</v>
      </c>
      <c r="I27" s="11" t="s">
        <v>87</v>
      </c>
      <c r="J27" s="1">
        <v>1028094</v>
      </c>
      <c r="K27" s="34" t="s">
        <v>182</v>
      </c>
      <c r="L27" s="9">
        <v>80</v>
      </c>
      <c r="M27" s="40">
        <v>729</v>
      </c>
      <c r="N27" s="40">
        <v>21</v>
      </c>
      <c r="O27" s="41"/>
      <c r="P27" s="43"/>
      <c r="Q27" s="44" t="e">
        <f>IF(O41&lt;&gt;0,C41/(VLOOKUP(O41,#REF!,2,FALSE)),"")</f>
        <v>#REF!</v>
      </c>
      <c r="R27" s="43"/>
      <c r="S27" s="43"/>
      <c r="T27" s="37">
        <f>IF(COUNTIF(P27,"*érogation*"),C41,0)</f>
        <v>0</v>
      </c>
    </row>
    <row r="28" spans="2:20" s="2" customFormat="1" x14ac:dyDescent="0.2">
      <c r="B28" s="42" t="s">
        <v>181</v>
      </c>
      <c r="C28" s="11"/>
      <c r="D28" s="11"/>
      <c r="E28" s="1">
        <v>1</v>
      </c>
      <c r="F28" s="7">
        <v>42433</v>
      </c>
      <c r="G28" s="7">
        <v>42433</v>
      </c>
      <c r="H28" s="11" t="s">
        <v>12</v>
      </c>
      <c r="I28" s="11" t="s">
        <v>87</v>
      </c>
      <c r="J28" s="1">
        <v>1028094</v>
      </c>
      <c r="K28" s="34" t="s">
        <v>182</v>
      </c>
      <c r="L28" s="9">
        <v>80</v>
      </c>
      <c r="M28" s="40">
        <v>745</v>
      </c>
      <c r="N28" s="40">
        <v>5</v>
      </c>
      <c r="O28" s="41"/>
      <c r="P28" s="43"/>
      <c r="Q28" s="44" t="e">
        <f>IF(O42&lt;&gt;0,C42/(VLOOKUP(O42,#REF!,2,FALSE)),"")</f>
        <v>#REF!</v>
      </c>
      <c r="R28" s="43"/>
      <c r="S28" s="43"/>
      <c r="T28" s="37">
        <f>IF(COUNTIF(P28,"*érogation*"),C42,0)</f>
        <v>0</v>
      </c>
    </row>
    <row r="29" spans="2:20" s="2" customFormat="1" x14ac:dyDescent="0.2">
      <c r="B29" s="42" t="s">
        <v>181</v>
      </c>
      <c r="C29" s="11"/>
      <c r="D29" s="11"/>
      <c r="E29" s="1">
        <v>5</v>
      </c>
      <c r="F29" s="7">
        <v>42433</v>
      </c>
      <c r="G29" s="7">
        <v>42433</v>
      </c>
      <c r="H29" s="11" t="s">
        <v>12</v>
      </c>
      <c r="I29" s="11" t="s">
        <v>87</v>
      </c>
      <c r="J29" s="1">
        <v>1028094</v>
      </c>
      <c r="K29" s="34" t="s">
        <v>182</v>
      </c>
      <c r="L29" s="9">
        <v>80</v>
      </c>
      <c r="M29" s="40">
        <v>747</v>
      </c>
      <c r="N29" s="40">
        <v>3</v>
      </c>
      <c r="O29" s="41"/>
      <c r="P29" s="43"/>
      <c r="Q29" s="44" t="str">
        <f>IF(O43&lt;&gt;0,C43/(VLOOKUP(O43,#REF!,2,FALSE)),"")</f>
        <v/>
      </c>
      <c r="R29" s="43"/>
      <c r="S29" s="43"/>
      <c r="T29" s="37">
        <f>IF(COUNTIF(P29,"*érogation*"),C43,0)</f>
        <v>0</v>
      </c>
    </row>
    <row r="30" spans="2:20" s="2" customFormat="1" x14ac:dyDescent="0.2">
      <c r="B30" s="27" t="s">
        <v>45</v>
      </c>
      <c r="C30" s="11">
        <v>600</v>
      </c>
      <c r="D30" s="11">
        <v>1</v>
      </c>
      <c r="E30" s="1">
        <v>3</v>
      </c>
      <c r="F30" s="7">
        <v>42437</v>
      </c>
      <c r="G30" s="7">
        <v>42437</v>
      </c>
      <c r="H30" s="11" t="s">
        <v>12</v>
      </c>
      <c r="I30" s="11" t="s">
        <v>190</v>
      </c>
      <c r="J30" s="1">
        <v>1028244</v>
      </c>
      <c r="K30" s="34" t="s">
        <v>195</v>
      </c>
      <c r="L30" s="9">
        <v>80</v>
      </c>
      <c r="M30" s="40"/>
      <c r="N30" s="40"/>
      <c r="O30" s="41"/>
      <c r="P30" s="43"/>
      <c r="Q30" s="44" t="str">
        <f>IF(O35&lt;&gt;0,C35/(VLOOKUP(O35,#REF!,2,FALSE)),"")</f>
        <v/>
      </c>
      <c r="R30" s="43"/>
      <c r="S30" s="43"/>
      <c r="T30" s="37">
        <f t="shared" ref="T30:T38" si="1">IF(COUNTIF(P30,"*érogation*"),C35,0)</f>
        <v>0</v>
      </c>
    </row>
    <row r="31" spans="2:20" s="2" customFormat="1" x14ac:dyDescent="0.2">
      <c r="B31" s="27" t="s">
        <v>45</v>
      </c>
      <c r="C31" s="11">
        <v>600</v>
      </c>
      <c r="D31" s="11">
        <v>1</v>
      </c>
      <c r="E31" s="1">
        <v>6</v>
      </c>
      <c r="F31" s="7">
        <v>42437</v>
      </c>
      <c r="G31" s="7">
        <v>42437</v>
      </c>
      <c r="H31" s="11" t="s">
        <v>12</v>
      </c>
      <c r="I31" s="11" t="s">
        <v>190</v>
      </c>
      <c r="J31" s="1">
        <v>1028244</v>
      </c>
      <c r="K31" s="34" t="s">
        <v>195</v>
      </c>
      <c r="L31" s="9">
        <v>80</v>
      </c>
      <c r="M31" s="40"/>
      <c r="N31" s="40"/>
      <c r="O31" s="41"/>
      <c r="P31" s="43"/>
      <c r="Q31" s="44" t="str">
        <f>IF(O36&lt;&gt;0,C36/(VLOOKUP(O36,#REF!,2,FALSE)),"")</f>
        <v/>
      </c>
      <c r="R31" s="43"/>
      <c r="S31" s="43"/>
      <c r="T31" s="37">
        <f t="shared" si="1"/>
        <v>0</v>
      </c>
    </row>
    <row r="32" spans="2:20" s="2" customFormat="1" x14ac:dyDescent="0.2">
      <c r="B32" s="27" t="s">
        <v>45</v>
      </c>
      <c r="C32" s="11">
        <v>600</v>
      </c>
      <c r="D32" s="11">
        <v>1</v>
      </c>
      <c r="E32" s="1">
        <v>1</v>
      </c>
      <c r="F32" s="7">
        <v>42437</v>
      </c>
      <c r="G32" s="7">
        <v>42437</v>
      </c>
      <c r="H32" s="11" t="s">
        <v>12</v>
      </c>
      <c r="I32" s="11" t="s">
        <v>190</v>
      </c>
      <c r="J32" s="1">
        <v>1028244</v>
      </c>
      <c r="K32" s="34" t="s">
        <v>195</v>
      </c>
      <c r="L32" s="9">
        <v>80</v>
      </c>
      <c r="M32" s="40"/>
      <c r="N32" s="40"/>
      <c r="O32" s="41"/>
      <c r="P32" s="43"/>
      <c r="Q32" s="44" t="str">
        <f>IF(O37&lt;&gt;0,C37/(VLOOKUP(O37,#REF!,2,FALSE)),"")</f>
        <v/>
      </c>
      <c r="R32" s="43"/>
      <c r="S32" s="43"/>
      <c r="T32" s="37">
        <f t="shared" si="1"/>
        <v>0</v>
      </c>
    </row>
    <row r="33" spans="2:20" s="2" customFormat="1" x14ac:dyDescent="0.2">
      <c r="B33" s="27" t="s">
        <v>45</v>
      </c>
      <c r="C33" s="11">
        <v>600</v>
      </c>
      <c r="D33" s="11">
        <v>1</v>
      </c>
      <c r="E33" s="1">
        <v>4</v>
      </c>
      <c r="F33" s="7">
        <v>42437</v>
      </c>
      <c r="G33" s="7">
        <v>42437</v>
      </c>
      <c r="H33" s="11" t="s">
        <v>12</v>
      </c>
      <c r="I33" s="11" t="s">
        <v>190</v>
      </c>
      <c r="J33" s="1">
        <v>1028244</v>
      </c>
      <c r="K33" s="34" t="s">
        <v>195</v>
      </c>
      <c r="L33" s="9">
        <v>80</v>
      </c>
      <c r="M33" s="40"/>
      <c r="N33" s="40"/>
      <c r="O33" s="41"/>
      <c r="P33" s="43"/>
      <c r="Q33" s="44" t="str">
        <f>IF(O38&lt;&gt;0,C38/(VLOOKUP(O38,#REF!,2,FALSE)),"")</f>
        <v/>
      </c>
      <c r="R33" s="43"/>
      <c r="S33" s="43"/>
      <c r="T33" s="37">
        <f t="shared" si="1"/>
        <v>0</v>
      </c>
    </row>
    <row r="34" spans="2:20" s="2" customFormat="1" x14ac:dyDescent="0.2">
      <c r="B34" s="27" t="s">
        <v>45</v>
      </c>
      <c r="C34" s="11">
        <v>550</v>
      </c>
      <c r="D34" s="11">
        <v>1</v>
      </c>
      <c r="E34" s="1">
        <v>17</v>
      </c>
      <c r="F34" s="7">
        <v>42438</v>
      </c>
      <c r="G34" s="7">
        <v>42438</v>
      </c>
      <c r="H34" s="11" t="s">
        <v>12</v>
      </c>
      <c r="I34" s="11" t="s">
        <v>190</v>
      </c>
      <c r="J34" s="1">
        <v>1028244</v>
      </c>
      <c r="K34" s="34" t="s">
        <v>195</v>
      </c>
      <c r="L34" s="9">
        <v>80</v>
      </c>
      <c r="M34" s="40"/>
      <c r="N34" s="40"/>
      <c r="O34" s="41"/>
      <c r="P34" s="43"/>
      <c r="Q34" s="44" t="str">
        <f>IF(O39&lt;&gt;0,C39/(VLOOKUP(O39,#REF!,2,FALSE)),"")</f>
        <v/>
      </c>
      <c r="R34" s="43"/>
      <c r="S34" s="43"/>
      <c r="T34" s="37">
        <f t="shared" si="1"/>
        <v>0</v>
      </c>
    </row>
    <row r="35" spans="2:20" s="2" customFormat="1" x14ac:dyDescent="0.2">
      <c r="B35" s="27" t="s">
        <v>45</v>
      </c>
      <c r="C35" s="11">
        <v>600</v>
      </c>
      <c r="D35" s="11">
        <v>1</v>
      </c>
      <c r="E35" s="1">
        <v>10</v>
      </c>
      <c r="F35" s="7">
        <v>42438</v>
      </c>
      <c r="G35" s="7">
        <v>42438</v>
      </c>
      <c r="H35" s="11" t="s">
        <v>12</v>
      </c>
      <c r="I35" s="11" t="s">
        <v>205</v>
      </c>
      <c r="J35" s="1">
        <v>1028244</v>
      </c>
      <c r="K35" s="34" t="s">
        <v>195</v>
      </c>
      <c r="L35" s="9">
        <v>80</v>
      </c>
      <c r="M35" s="40"/>
      <c r="N35" s="40"/>
      <c r="O35" s="41"/>
      <c r="P35" s="43"/>
      <c r="Q35" s="44" t="e">
        <f>IF(O40&lt;&gt;0,C40/(VLOOKUP(O40,#REF!,2,FALSE)),"")</f>
        <v>#REF!</v>
      </c>
      <c r="R35" s="43"/>
      <c r="S35" s="43"/>
      <c r="T35" s="37">
        <f t="shared" si="1"/>
        <v>0</v>
      </c>
    </row>
    <row r="36" spans="2:20" s="2" customFormat="1" x14ac:dyDescent="0.2">
      <c r="B36" s="27" t="s">
        <v>45</v>
      </c>
      <c r="C36" s="11">
        <v>600</v>
      </c>
      <c r="D36" s="11">
        <v>1</v>
      </c>
      <c r="E36" s="1">
        <v>16</v>
      </c>
      <c r="F36" s="7">
        <v>42438</v>
      </c>
      <c r="G36" s="7">
        <v>42438</v>
      </c>
      <c r="H36" s="11" t="s">
        <v>12</v>
      </c>
      <c r="I36" s="11" t="s">
        <v>205</v>
      </c>
      <c r="J36" s="1">
        <v>1028244</v>
      </c>
      <c r="K36" s="34" t="s">
        <v>195</v>
      </c>
      <c r="L36" s="9">
        <v>80</v>
      </c>
      <c r="M36" s="40"/>
      <c r="N36" s="40"/>
      <c r="O36" s="41"/>
      <c r="P36" s="43"/>
      <c r="Q36" s="44" t="e">
        <f>IF(O41&lt;&gt;0,C41/(VLOOKUP(O41,#REF!,2,FALSE)),"")</f>
        <v>#REF!</v>
      </c>
      <c r="R36" s="43"/>
      <c r="S36" s="43"/>
      <c r="T36" s="37">
        <f t="shared" si="1"/>
        <v>0</v>
      </c>
    </row>
    <row r="37" spans="2:20" s="2" customFormat="1" x14ac:dyDescent="0.2">
      <c r="B37" s="27" t="s">
        <v>45</v>
      </c>
      <c r="C37" s="11">
        <v>600</v>
      </c>
      <c r="D37" s="11">
        <v>1</v>
      </c>
      <c r="E37" s="1">
        <v>12</v>
      </c>
      <c r="F37" s="7">
        <v>42438</v>
      </c>
      <c r="G37" s="7">
        <v>42438</v>
      </c>
      <c r="H37" s="11" t="s">
        <v>12</v>
      </c>
      <c r="I37" s="11" t="s">
        <v>205</v>
      </c>
      <c r="J37" s="1">
        <v>1028244</v>
      </c>
      <c r="K37" s="34" t="s">
        <v>195</v>
      </c>
      <c r="L37" s="9">
        <v>80</v>
      </c>
      <c r="M37" s="40"/>
      <c r="N37" s="40"/>
      <c r="O37" s="41"/>
      <c r="P37" s="43"/>
      <c r="Q37" s="44" t="e">
        <f>IF(O42&lt;&gt;0,C42/(VLOOKUP(O42,#REF!,2,FALSE)),"")</f>
        <v>#REF!</v>
      </c>
      <c r="R37" s="43"/>
      <c r="S37" s="43"/>
      <c r="T37" s="37">
        <f t="shared" si="1"/>
        <v>0</v>
      </c>
    </row>
    <row r="38" spans="2:20" s="2" customFormat="1" x14ac:dyDescent="0.2">
      <c r="B38" s="27" t="s">
        <v>45</v>
      </c>
      <c r="C38" s="11">
        <v>600</v>
      </c>
      <c r="D38" s="11">
        <v>1</v>
      </c>
      <c r="E38" s="1">
        <v>15</v>
      </c>
      <c r="F38" s="7">
        <v>42438</v>
      </c>
      <c r="G38" s="7">
        <v>42438</v>
      </c>
      <c r="H38" s="11" t="s">
        <v>12</v>
      </c>
      <c r="I38" s="11" t="s">
        <v>205</v>
      </c>
      <c r="J38" s="1">
        <v>1028244</v>
      </c>
      <c r="K38" s="34" t="s">
        <v>195</v>
      </c>
      <c r="L38" s="9">
        <v>80</v>
      </c>
      <c r="M38" s="40"/>
      <c r="N38" s="40"/>
      <c r="O38" s="41"/>
      <c r="P38" s="43"/>
      <c r="Q38" s="44" t="str">
        <f>IF(O43&lt;&gt;0,C43/(VLOOKUP(O43,#REF!,2,FALSE)),"")</f>
        <v/>
      </c>
      <c r="R38" s="43"/>
      <c r="S38" s="43"/>
      <c r="T38" s="37">
        <f t="shared" si="1"/>
        <v>0</v>
      </c>
    </row>
    <row r="39" spans="2:20" s="2" customFormat="1" x14ac:dyDescent="0.2">
      <c r="B39" s="42" t="s">
        <v>36</v>
      </c>
      <c r="C39" s="11"/>
      <c r="D39" s="11"/>
      <c r="E39" s="1">
        <v>6</v>
      </c>
      <c r="F39" s="7">
        <v>42432</v>
      </c>
      <c r="G39" s="7">
        <v>42432</v>
      </c>
      <c r="H39" s="11" t="s">
        <v>12</v>
      </c>
      <c r="I39" s="11" t="s">
        <v>111</v>
      </c>
      <c r="J39" s="1">
        <v>1028082</v>
      </c>
      <c r="K39" s="34" t="s">
        <v>173</v>
      </c>
      <c r="L39" s="9">
        <v>80</v>
      </c>
      <c r="M39" s="40">
        <v>421</v>
      </c>
      <c r="N39" s="40">
        <v>29</v>
      </c>
      <c r="O39" s="41"/>
      <c r="P39" s="43"/>
      <c r="Q39" s="39" t="e">
        <f>IF(O42&lt;&gt;0,C42/(VLOOKUP(O42,#REF!,2,FALSE)),"")</f>
        <v>#REF!</v>
      </c>
      <c r="R39" s="43"/>
      <c r="S39" s="43"/>
      <c r="T39" s="37">
        <f t="shared" si="0"/>
        <v>0</v>
      </c>
    </row>
    <row r="40" spans="2:20" s="2" customFormat="1" x14ac:dyDescent="0.2">
      <c r="B40" s="27" t="s">
        <v>36</v>
      </c>
      <c r="C40" s="11">
        <v>450</v>
      </c>
      <c r="D40" s="11">
        <v>1</v>
      </c>
      <c r="E40" s="1">
        <v>1</v>
      </c>
      <c r="F40" s="7">
        <v>42431</v>
      </c>
      <c r="G40" s="7">
        <v>42431</v>
      </c>
      <c r="H40" s="11" t="s">
        <v>12</v>
      </c>
      <c r="I40" s="11" t="s">
        <v>102</v>
      </c>
      <c r="J40" s="1">
        <v>1028081</v>
      </c>
      <c r="K40" s="34" t="s">
        <v>174</v>
      </c>
      <c r="L40" s="9">
        <v>80</v>
      </c>
      <c r="M40" s="40"/>
      <c r="N40" s="40"/>
      <c r="O40" s="41" t="s">
        <v>13</v>
      </c>
      <c r="P40" s="43"/>
      <c r="Q40" s="39" t="str">
        <f>IF(O43&lt;&gt;0,C43/(VLOOKUP(O43,#REF!,2,FALSE)),"")</f>
        <v/>
      </c>
      <c r="R40" s="43"/>
      <c r="S40" s="43"/>
      <c r="T40" s="37">
        <f t="shared" si="0"/>
        <v>0</v>
      </c>
    </row>
    <row r="41" spans="2:20" s="2" customFormat="1" x14ac:dyDescent="0.2">
      <c r="B41" s="42" t="s">
        <v>36</v>
      </c>
      <c r="C41" s="11"/>
      <c r="D41" s="11"/>
      <c r="E41" s="1">
        <v>25</v>
      </c>
      <c r="F41" s="7">
        <v>42425</v>
      </c>
      <c r="G41" s="7">
        <v>42425</v>
      </c>
      <c r="H41" s="11" t="s">
        <v>12</v>
      </c>
      <c r="I41" s="11" t="s">
        <v>151</v>
      </c>
      <c r="J41" s="1">
        <v>1027758</v>
      </c>
      <c r="K41" s="34" t="s">
        <v>146</v>
      </c>
      <c r="L41" s="9">
        <v>80</v>
      </c>
      <c r="M41" s="40">
        <v>450</v>
      </c>
      <c r="N41" s="40"/>
      <c r="O41" s="41" t="s">
        <v>14</v>
      </c>
      <c r="P41" s="43"/>
      <c r="Q41" s="39" t="str">
        <f>IF(O44&lt;&gt;0,C44/(VLOOKUP(O44,#REF!,2,FALSE)),"")</f>
        <v/>
      </c>
      <c r="R41" s="43"/>
      <c r="S41" s="43"/>
      <c r="T41" s="37">
        <f t="shared" si="0"/>
        <v>0</v>
      </c>
    </row>
    <row r="42" spans="2:20" s="2" customFormat="1" x14ac:dyDescent="0.2">
      <c r="B42" s="42" t="s">
        <v>36</v>
      </c>
      <c r="C42" s="11"/>
      <c r="D42" s="11"/>
      <c r="E42" s="1">
        <v>24</v>
      </c>
      <c r="F42" s="7">
        <v>42425</v>
      </c>
      <c r="G42" s="7">
        <v>42425</v>
      </c>
      <c r="H42" s="11" t="s">
        <v>12</v>
      </c>
      <c r="I42" s="11" t="s">
        <v>151</v>
      </c>
      <c r="J42" s="1">
        <v>1027758</v>
      </c>
      <c r="K42" s="34" t="s">
        <v>146</v>
      </c>
      <c r="L42" s="9">
        <v>80</v>
      </c>
      <c r="M42" s="40">
        <v>450</v>
      </c>
      <c r="N42" s="40"/>
      <c r="O42" s="41" t="s">
        <v>14</v>
      </c>
      <c r="P42" s="38"/>
      <c r="Q42" s="39" t="e">
        <f>IF(#REF!&lt;&gt;0,#REF!/(VLOOKUP(#REF!,#REF!,2,FALSE)),"")</f>
        <v>#REF!</v>
      </c>
      <c r="R42" s="38"/>
      <c r="S42" s="38"/>
      <c r="T42" s="37">
        <f>IF(COUNTIF(P42,"*érogation*"),#REF!,0)</f>
        <v>0</v>
      </c>
    </row>
    <row r="43" spans="2:20" s="2" customFormat="1" x14ac:dyDescent="0.2">
      <c r="B43" s="42" t="s">
        <v>36</v>
      </c>
      <c r="C43" s="20"/>
      <c r="D43" s="20"/>
      <c r="E43" s="1">
        <v>2</v>
      </c>
      <c r="F43" s="7">
        <v>42424</v>
      </c>
      <c r="G43" s="7">
        <v>42424</v>
      </c>
      <c r="H43" s="11" t="s">
        <v>12</v>
      </c>
      <c r="I43" s="11" t="s">
        <v>204</v>
      </c>
      <c r="J43" s="1">
        <v>1027758</v>
      </c>
      <c r="K43" s="34" t="s">
        <v>146</v>
      </c>
      <c r="L43" s="9">
        <v>80</v>
      </c>
      <c r="M43" s="40">
        <v>173</v>
      </c>
      <c r="N43" s="40">
        <v>5</v>
      </c>
      <c r="O43" s="41"/>
      <c r="P43" s="43"/>
      <c r="Q43" s="39" t="str">
        <f>IF(O45&lt;&gt;0,C45/(VLOOKUP(O45,#REF!,2,FALSE)),"")</f>
        <v/>
      </c>
      <c r="R43" s="43"/>
      <c r="S43" s="43"/>
      <c r="T43" s="37">
        <f>IF(COUNTIF(P43,"*érogation*"),C45,0)</f>
        <v>0</v>
      </c>
    </row>
    <row r="44" spans="2:20" s="2" customFormat="1" x14ac:dyDescent="0.2">
      <c r="B44" s="42" t="s">
        <v>99</v>
      </c>
      <c r="C44" s="20"/>
      <c r="D44" s="20"/>
      <c r="E44" s="1">
        <v>1</v>
      </c>
      <c r="F44" s="7">
        <v>42436</v>
      </c>
      <c r="G44" s="7">
        <v>42436</v>
      </c>
      <c r="H44" s="11" t="s">
        <v>12</v>
      </c>
      <c r="I44" s="11" t="s">
        <v>131</v>
      </c>
      <c r="J44" s="1">
        <v>1028095</v>
      </c>
      <c r="K44" s="34" t="s">
        <v>186</v>
      </c>
      <c r="L44" s="9">
        <v>80</v>
      </c>
      <c r="M44" s="40">
        <v>1100</v>
      </c>
      <c r="N44" s="40"/>
      <c r="O44" s="41"/>
      <c r="P44" s="38"/>
      <c r="Q44" s="39" t="str">
        <f>IF(O46&lt;&gt;0,C46/(VLOOKUP(O46,#REF!,2,FALSE)),"")</f>
        <v/>
      </c>
      <c r="R44" s="38"/>
      <c r="S44" s="38"/>
      <c r="T44" s="37">
        <f>IF(COUNTIF(P44,"*érogation*"),C46,0)</f>
        <v>0</v>
      </c>
    </row>
    <row r="45" spans="2:20" x14ac:dyDescent="0.2">
      <c r="B45" s="62" t="s">
        <v>15</v>
      </c>
      <c r="C45" s="63">
        <f>SUBTOTAL(109,Liste1_737578185102118131_6152_4169_14199_2221_4242_2257_1829932036338641141442142643243944745647548649823456789102345678911121314152345678910111213141617181720212223234567891011121314151617181921222425262723[Nombre de pièces])</f>
        <v>15644</v>
      </c>
      <c r="D45" s="63">
        <f>SUBTOTAL(109,Liste1_737578185102118131_6152_4169_14199_2221_4242_2257_1829932036338641141442142643243944745647548649823456789102345678911121314152345678910111213141617181720212223234567891011121314151617181921222425262723[[Nombre de bacs ]])</f>
        <v>25</v>
      </c>
      <c r="E45" s="63"/>
      <c r="F45" s="63"/>
      <c r="G45" s="63"/>
      <c r="H45" s="63"/>
      <c r="I45" s="63"/>
      <c r="J45" s="63"/>
      <c r="K45" s="26"/>
      <c r="L45" s="63"/>
      <c r="M45" s="63">
        <f>SUBTOTAL(109,Liste1_737578185102118131_6152_4169_14199_2221_4242_2257_1829932036338641141442142643243944745647548649823456789102345678911121314152345678910111213141617181720212223234567891011121314151617181921222425262723[Débloquées])</f>
        <v>11457</v>
      </c>
      <c r="N45" s="63">
        <f>SUBTOTAL(109,Liste1_737578185102118131_6152_4169_14199_2221_4242_2257_1829932036338641141442142643243944745647548649823456789102345678911121314152345678910111213141617181720212223234567891011121314151617181921222425262723[[Rebutées ]])</f>
        <v>121</v>
      </c>
      <c r="O45" s="63"/>
      <c r="P45" s="63"/>
      <c r="Q45" s="64" t="e">
        <f>SUBTOTAL(109,Liste1_737578185102118131_6152_4169_14199_2221_4242_2257_1829932036338641141442142643243944745647548649823456789102345678911121314152345678910111213141617181720212223234567891011121314151617181921222425262723[Durée de tri (h)])</f>
        <v>#REF!</v>
      </c>
      <c r="R45" s="63"/>
      <c r="S45" s="64">
        <f>SUBTOTAL(109,Liste1_737578185102118131_6152_4169_14199_2221_4242_2257_1829932036338641141442142643243944745647548649823456789102345678911121314152345678910111213141617181720212223234567891011121314151617181921222425262723[Efficience tri])</f>
        <v>0</v>
      </c>
      <c r="T45" s="63">
        <f>SUBTOTAL(109,Liste1_737578185102118131_6152_4169_14199_2221_4242_2257_1829932036338641141442142643243944745647548649823456789102345678911121314152345678910111213141617181720212223234567891011121314151617181921222425262723[Attente Dérogation])</f>
        <v>500</v>
      </c>
    </row>
    <row r="52" spans="4:5" x14ac:dyDescent="0.2">
      <c r="D52" s="54"/>
      <c r="E52" s="16" t="s">
        <v>165</v>
      </c>
    </row>
    <row r="54" spans="4:5" ht="12" customHeight="1" x14ac:dyDescent="0.2">
      <c r="D54" s="47"/>
      <c r="E54" s="16"/>
    </row>
    <row r="58" spans="4:5" x14ac:dyDescent="0.2">
      <c r="E58" s="47"/>
    </row>
    <row r="60" spans="4:5" x14ac:dyDescent="0.2">
      <c r="E60" s="47"/>
    </row>
  </sheetData>
  <conditionalFormatting sqref="B1:B3 K1:K3 B46:B65493 K46:K65493">
    <cfRule type="expression" dxfId="1" priority="1" stopIfTrue="1">
      <formula>VLOOKUP(LEFT($B1,8),#REF!,1,0)=LEFT($B1,8)</formula>
    </cfRule>
  </conditionalFormatting>
  <dataValidations count="2">
    <dataValidation type="list" allowBlank="1" showInputMessage="1" showErrorMessage="1" sqref="P4:P44">
      <formula1>"Dérogation (décision client),Attente décision interne,OK QUA"</formula1>
    </dataValidation>
    <dataValidation type="list" allowBlank="1" showInputMessage="1" showErrorMessage="1" sqref="O4:O44">
      <formula1>"Montage,Montage + Visuel,Visuel"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T57"/>
  <sheetViews>
    <sheetView topLeftCell="A16" zoomScale="80" zoomScaleNormal="80" workbookViewId="0">
      <selection activeCell="I58" sqref="I58"/>
    </sheetView>
  </sheetViews>
  <sheetFormatPr baseColWidth="10" defaultRowHeight="12.75" x14ac:dyDescent="0.2"/>
  <cols>
    <col min="1" max="1" width="2.140625" style="3" customWidth="1"/>
    <col min="2" max="2" width="19" style="3" customWidth="1"/>
    <col min="3" max="3" width="11.42578125" style="3" customWidth="1"/>
    <col min="4" max="4" width="10" style="3" customWidth="1"/>
    <col min="5" max="5" width="9.28515625" style="3" bestFit="1" customWidth="1"/>
    <col min="6" max="6" width="11.7109375" style="3" customWidth="1"/>
    <col min="7" max="7" width="12.140625" style="3" customWidth="1"/>
    <col min="8" max="8" width="12.7109375" style="3" customWidth="1"/>
    <col min="9" max="9" width="67.5703125" style="3" customWidth="1"/>
    <col min="10" max="10" width="11.5703125" style="3" customWidth="1"/>
    <col min="11" max="11" width="12.5703125" style="3" bestFit="1" customWidth="1"/>
    <col min="12" max="12" width="10" style="3" bestFit="1" customWidth="1"/>
    <col min="13" max="13" width="10" style="3" customWidth="1"/>
    <col min="14" max="14" width="8.7109375" style="3" customWidth="1"/>
    <col min="15" max="15" width="14.5703125" style="3" customWidth="1"/>
    <col min="16" max="16" width="20.5703125" style="3" customWidth="1"/>
    <col min="17" max="17" width="8.5703125" style="3" customWidth="1"/>
    <col min="18" max="18" width="15.28515625" style="3" customWidth="1"/>
    <col min="19" max="19" width="10.28515625" style="3" customWidth="1"/>
    <col min="20" max="22" width="11.42578125" style="3"/>
    <col min="23" max="23" width="16.7109375" style="3" customWidth="1"/>
    <col min="24" max="16384" width="11.42578125" style="3"/>
  </cols>
  <sheetData>
    <row r="1" spans="1:20" x14ac:dyDescent="0.2">
      <c r="A1" s="8" t="s">
        <v>30</v>
      </c>
      <c r="B1" s="8"/>
      <c r="C1" s="8"/>
      <c r="J1" s="10"/>
      <c r="K1" s="14"/>
    </row>
    <row r="2" spans="1:20" x14ac:dyDescent="0.2">
      <c r="K2" s="14"/>
    </row>
    <row r="3" spans="1:20" s="2" customFormat="1" ht="26.25" customHeight="1" x14ac:dyDescent="0.2">
      <c r="B3" s="23" t="s">
        <v>0</v>
      </c>
      <c r="C3" s="22" t="s">
        <v>1</v>
      </c>
      <c r="D3" s="22" t="s">
        <v>2</v>
      </c>
      <c r="E3" s="22" t="s">
        <v>3</v>
      </c>
      <c r="F3" s="22" t="s">
        <v>4</v>
      </c>
      <c r="G3" s="22" t="s">
        <v>5</v>
      </c>
      <c r="H3" s="22" t="s">
        <v>6</v>
      </c>
      <c r="I3" s="23" t="s">
        <v>7</v>
      </c>
      <c r="J3" s="23" t="s">
        <v>8</v>
      </c>
      <c r="K3" s="24" t="s">
        <v>29</v>
      </c>
      <c r="L3" s="23" t="s">
        <v>9</v>
      </c>
      <c r="M3" s="23" t="s">
        <v>10</v>
      </c>
      <c r="N3" s="23" t="s">
        <v>11</v>
      </c>
      <c r="O3" s="23" t="s">
        <v>17</v>
      </c>
      <c r="P3" s="23" t="s">
        <v>20</v>
      </c>
      <c r="Q3" s="23" t="s">
        <v>18</v>
      </c>
      <c r="R3" s="23" t="s">
        <v>19</v>
      </c>
      <c r="S3" s="23" t="s">
        <v>25</v>
      </c>
      <c r="T3" s="23" t="s">
        <v>24</v>
      </c>
    </row>
    <row r="4" spans="1:20" s="2" customFormat="1" x14ac:dyDescent="0.2">
      <c r="B4" s="27" t="s">
        <v>192</v>
      </c>
      <c r="C4" s="20">
        <v>1000</v>
      </c>
      <c r="D4" s="20">
        <v>1</v>
      </c>
      <c r="E4" s="11">
        <v>5</v>
      </c>
      <c r="F4" s="65">
        <v>42438</v>
      </c>
      <c r="G4" s="65">
        <v>42436</v>
      </c>
      <c r="H4" s="11" t="s">
        <v>12</v>
      </c>
      <c r="I4" s="66" t="s">
        <v>207</v>
      </c>
      <c r="J4" s="67">
        <v>1028091</v>
      </c>
      <c r="K4" s="34" t="s">
        <v>194</v>
      </c>
      <c r="L4" s="68">
        <v>80</v>
      </c>
      <c r="M4" s="40"/>
      <c r="N4" s="40"/>
      <c r="O4" s="41" t="s">
        <v>13</v>
      </c>
      <c r="P4" s="43"/>
      <c r="Q4" s="39" t="e">
        <f>IF(O9&lt;&gt;0,C9/(VLOOKUP(O9,#REF!,2,FALSE)),"")</f>
        <v>#REF!</v>
      </c>
      <c r="R4" s="43"/>
      <c r="S4" s="43"/>
      <c r="T4" s="37">
        <f t="shared" ref="T4:T41" si="0">IF(COUNTIF(P4,"*érogation*"),C9,0)</f>
        <v>0</v>
      </c>
    </row>
    <row r="5" spans="1:20" s="2" customFormat="1" x14ac:dyDescent="0.2">
      <c r="B5" s="27" t="s">
        <v>192</v>
      </c>
      <c r="C5" s="20">
        <v>1000</v>
      </c>
      <c r="D5" s="20">
        <v>1</v>
      </c>
      <c r="E5" s="11">
        <v>1</v>
      </c>
      <c r="F5" s="65">
        <v>42438</v>
      </c>
      <c r="G5" s="65">
        <v>42436</v>
      </c>
      <c r="H5" s="11" t="s">
        <v>12</v>
      </c>
      <c r="I5" s="66" t="s">
        <v>207</v>
      </c>
      <c r="J5" s="67">
        <v>1028091</v>
      </c>
      <c r="K5" s="34" t="s">
        <v>194</v>
      </c>
      <c r="L5" s="68">
        <v>80</v>
      </c>
      <c r="M5" s="40"/>
      <c r="N5" s="40"/>
      <c r="O5" s="41" t="s">
        <v>13</v>
      </c>
      <c r="P5" s="43"/>
      <c r="Q5" s="39" t="e">
        <f>IF(O10&lt;&gt;0,C10/(VLOOKUP(O10,#REF!,2,FALSE)),"")</f>
        <v>#REF!</v>
      </c>
      <c r="R5" s="43"/>
      <c r="S5" s="43"/>
      <c r="T5" s="37">
        <f t="shared" si="0"/>
        <v>0</v>
      </c>
    </row>
    <row r="6" spans="1:20" s="2" customFormat="1" x14ac:dyDescent="0.2">
      <c r="B6" s="42" t="s">
        <v>192</v>
      </c>
      <c r="C6" s="20"/>
      <c r="D6" s="20"/>
      <c r="E6" s="11">
        <v>7</v>
      </c>
      <c r="F6" s="65">
        <v>42438</v>
      </c>
      <c r="G6" s="65">
        <v>42436</v>
      </c>
      <c r="H6" s="11" t="s">
        <v>12</v>
      </c>
      <c r="I6" s="66" t="s">
        <v>207</v>
      </c>
      <c r="J6" s="67">
        <v>1028091</v>
      </c>
      <c r="K6" s="34" t="s">
        <v>194</v>
      </c>
      <c r="L6" s="68">
        <v>80</v>
      </c>
      <c r="M6" s="40">
        <v>260</v>
      </c>
      <c r="N6" s="40"/>
      <c r="O6" s="41" t="s">
        <v>13</v>
      </c>
      <c r="P6" s="43"/>
      <c r="Q6" s="39" t="str">
        <f>IF(O11&lt;&gt;0,C11/(VLOOKUP(O11,#REF!,2,FALSE)),"")</f>
        <v/>
      </c>
      <c r="R6" s="43"/>
      <c r="S6" s="43"/>
      <c r="T6" s="37">
        <f t="shared" si="0"/>
        <v>0</v>
      </c>
    </row>
    <row r="7" spans="1:20" s="2" customFormat="1" x14ac:dyDescent="0.2">
      <c r="B7" s="42" t="s">
        <v>192</v>
      </c>
      <c r="C7" s="20"/>
      <c r="D7" s="20"/>
      <c r="E7" s="11">
        <v>6</v>
      </c>
      <c r="F7" s="65">
        <v>42438</v>
      </c>
      <c r="G7" s="65">
        <v>42436</v>
      </c>
      <c r="H7" s="11" t="s">
        <v>12</v>
      </c>
      <c r="I7" s="66" t="s">
        <v>207</v>
      </c>
      <c r="J7" s="67">
        <v>1028091</v>
      </c>
      <c r="K7" s="34" t="s">
        <v>194</v>
      </c>
      <c r="L7" s="68">
        <v>80</v>
      </c>
      <c r="M7" s="40">
        <v>999</v>
      </c>
      <c r="N7" s="40">
        <v>1</v>
      </c>
      <c r="O7" s="41" t="s">
        <v>13</v>
      </c>
      <c r="P7" s="43"/>
      <c r="Q7" s="39" t="str">
        <f>IF(O12&lt;&gt;0,C12/(VLOOKUP(O12,#REF!,2,FALSE)),"")</f>
        <v/>
      </c>
      <c r="R7" s="43"/>
      <c r="S7" s="43"/>
      <c r="T7" s="37">
        <f t="shared" si="0"/>
        <v>0</v>
      </c>
    </row>
    <row r="8" spans="1:20" s="2" customFormat="1" x14ac:dyDescent="0.2">
      <c r="B8" s="27" t="s">
        <v>192</v>
      </c>
      <c r="C8" s="20">
        <v>842</v>
      </c>
      <c r="D8" s="20">
        <v>1</v>
      </c>
      <c r="E8" s="11">
        <v>12</v>
      </c>
      <c r="F8" s="65">
        <v>42436</v>
      </c>
      <c r="G8" s="65">
        <v>42436</v>
      </c>
      <c r="H8" s="11" t="s">
        <v>12</v>
      </c>
      <c r="I8" s="66" t="s">
        <v>193</v>
      </c>
      <c r="J8" s="67">
        <v>1028091</v>
      </c>
      <c r="K8" s="34" t="s">
        <v>194</v>
      </c>
      <c r="L8" s="68">
        <v>80</v>
      </c>
      <c r="M8" s="40"/>
      <c r="N8" s="40"/>
      <c r="O8" s="41" t="s">
        <v>14</v>
      </c>
      <c r="P8" s="38"/>
      <c r="Q8" s="39" t="e">
        <f>IF(O13&lt;&gt;0,C13/(VLOOKUP(O13,#REF!,2,FALSE)),"")</f>
        <v>#REF!</v>
      </c>
      <c r="R8" s="38"/>
      <c r="S8" s="38"/>
      <c r="T8" s="37">
        <f t="shared" si="0"/>
        <v>0</v>
      </c>
    </row>
    <row r="9" spans="1:20" s="2" customFormat="1" x14ac:dyDescent="0.2">
      <c r="B9" s="27" t="s">
        <v>192</v>
      </c>
      <c r="C9" s="20">
        <v>1000</v>
      </c>
      <c r="D9" s="20">
        <v>1</v>
      </c>
      <c r="E9" s="11">
        <v>4</v>
      </c>
      <c r="F9" s="65">
        <v>42436</v>
      </c>
      <c r="G9" s="65">
        <v>42436</v>
      </c>
      <c r="H9" s="11" t="s">
        <v>12</v>
      </c>
      <c r="I9" s="66" t="s">
        <v>203</v>
      </c>
      <c r="J9" s="67">
        <v>1028091</v>
      </c>
      <c r="K9" s="34" t="s">
        <v>194</v>
      </c>
      <c r="L9" s="68">
        <v>80</v>
      </c>
      <c r="M9" s="40"/>
      <c r="N9" s="40"/>
      <c r="O9" s="41" t="s">
        <v>13</v>
      </c>
      <c r="P9" s="43"/>
      <c r="Q9" s="39" t="e">
        <f>IF(O14&lt;&gt;0,C14/(VLOOKUP(O14,#REF!,2,FALSE)),"")</f>
        <v>#REF!</v>
      </c>
      <c r="R9" s="43"/>
      <c r="S9" s="43"/>
      <c r="T9" s="37">
        <f t="shared" si="0"/>
        <v>0</v>
      </c>
    </row>
    <row r="10" spans="1:20" s="2" customFormat="1" x14ac:dyDescent="0.2">
      <c r="B10" s="27" t="s">
        <v>196</v>
      </c>
      <c r="C10" s="11">
        <v>624</v>
      </c>
      <c r="D10" s="11">
        <v>1</v>
      </c>
      <c r="E10" s="11">
        <v>11</v>
      </c>
      <c r="F10" s="65">
        <v>42433</v>
      </c>
      <c r="G10" s="65">
        <v>42433</v>
      </c>
      <c r="H10" s="11" t="s">
        <v>12</v>
      </c>
      <c r="I10" s="66" t="s">
        <v>52</v>
      </c>
      <c r="J10" s="67">
        <v>1028089</v>
      </c>
      <c r="K10" s="34" t="s">
        <v>189</v>
      </c>
      <c r="L10" s="68">
        <v>80</v>
      </c>
      <c r="M10" s="40"/>
      <c r="N10" s="40"/>
      <c r="O10" s="41" t="s">
        <v>13</v>
      </c>
      <c r="P10" s="43"/>
      <c r="Q10" s="39" t="e">
        <f>IF(O15&lt;&gt;0,C15/(VLOOKUP(O15,#REF!,2,FALSE)),"")</f>
        <v>#REF!</v>
      </c>
      <c r="R10" s="43"/>
      <c r="S10" s="43"/>
      <c r="T10" s="37">
        <f t="shared" si="0"/>
        <v>0</v>
      </c>
    </row>
    <row r="11" spans="1:20" s="2" customFormat="1" ht="25.5" x14ac:dyDescent="0.2">
      <c r="B11" s="27" t="s">
        <v>46</v>
      </c>
      <c r="C11" s="20">
        <v>800</v>
      </c>
      <c r="D11" s="20">
        <v>1</v>
      </c>
      <c r="E11" s="1">
        <v>2</v>
      </c>
      <c r="F11" s="7">
        <v>42268</v>
      </c>
      <c r="G11" s="7">
        <v>42376</v>
      </c>
      <c r="H11" s="11" t="s">
        <v>12</v>
      </c>
      <c r="I11" s="11" t="s">
        <v>56</v>
      </c>
      <c r="J11" s="1">
        <v>1023105</v>
      </c>
      <c r="K11" s="13" t="s">
        <v>55</v>
      </c>
      <c r="L11" s="9">
        <v>80</v>
      </c>
      <c r="M11" s="40"/>
      <c r="N11" s="40"/>
      <c r="O11" s="41"/>
      <c r="P11" s="43" t="s">
        <v>31</v>
      </c>
      <c r="Q11" s="39" t="e">
        <f>IF(O16&lt;&gt;0,C16/(VLOOKUP(O16,#REF!,2,FALSE)),"")</f>
        <v>#REF!</v>
      </c>
      <c r="R11" s="38"/>
      <c r="S11" s="38"/>
      <c r="T11" s="37">
        <f t="shared" si="0"/>
        <v>0</v>
      </c>
    </row>
    <row r="12" spans="1:20" s="2" customFormat="1" ht="25.5" x14ac:dyDescent="0.2">
      <c r="B12" s="27" t="s">
        <v>46</v>
      </c>
      <c r="C12" s="20">
        <v>504</v>
      </c>
      <c r="D12" s="20">
        <v>1</v>
      </c>
      <c r="E12" s="1">
        <v>1</v>
      </c>
      <c r="F12" s="7">
        <v>42268</v>
      </c>
      <c r="G12" s="7">
        <v>42376</v>
      </c>
      <c r="H12" s="11" t="s">
        <v>12</v>
      </c>
      <c r="I12" s="11" t="s">
        <v>56</v>
      </c>
      <c r="J12" s="1">
        <v>1023105</v>
      </c>
      <c r="K12" s="13" t="s">
        <v>55</v>
      </c>
      <c r="L12" s="9">
        <v>80</v>
      </c>
      <c r="M12" s="40"/>
      <c r="N12" s="40"/>
      <c r="O12" s="41"/>
      <c r="P12" s="43" t="s">
        <v>31</v>
      </c>
      <c r="Q12" s="39" t="e">
        <f>IF(O17&lt;&gt;0,C17/(VLOOKUP(O17,#REF!,2,FALSE)),"")</f>
        <v>#REF!</v>
      </c>
      <c r="R12" s="38"/>
      <c r="S12" s="38"/>
      <c r="T12" s="37">
        <f t="shared" si="0"/>
        <v>0</v>
      </c>
    </row>
    <row r="13" spans="1:20" s="2" customFormat="1" x14ac:dyDescent="0.2">
      <c r="B13" s="27" t="s">
        <v>187</v>
      </c>
      <c r="C13" s="11">
        <v>362</v>
      </c>
      <c r="D13" s="11">
        <v>1</v>
      </c>
      <c r="E13" s="1">
        <v>4</v>
      </c>
      <c r="F13" s="7">
        <v>42436</v>
      </c>
      <c r="G13" s="7">
        <v>42436</v>
      </c>
      <c r="H13" s="11" t="s">
        <v>12</v>
      </c>
      <c r="I13" s="11" t="s">
        <v>188</v>
      </c>
      <c r="J13" s="1">
        <v>1028089</v>
      </c>
      <c r="K13" s="34" t="s">
        <v>189</v>
      </c>
      <c r="L13" s="9">
        <v>80</v>
      </c>
      <c r="M13" s="40"/>
      <c r="N13" s="40"/>
      <c r="O13" s="41" t="s">
        <v>13</v>
      </c>
      <c r="P13" s="43"/>
      <c r="Q13" s="39" t="str">
        <f>IF(O18&lt;&gt;0,C18/(VLOOKUP(O18,#REF!,2,FALSE)),"")</f>
        <v/>
      </c>
      <c r="R13" s="43"/>
      <c r="S13" s="43"/>
      <c r="T13" s="37">
        <f t="shared" si="0"/>
        <v>0</v>
      </c>
    </row>
    <row r="14" spans="1:20" s="2" customFormat="1" ht="25.5" x14ac:dyDescent="0.2">
      <c r="B14" s="27" t="s">
        <v>133</v>
      </c>
      <c r="C14" s="11">
        <v>59</v>
      </c>
      <c r="D14" s="11">
        <v>1</v>
      </c>
      <c r="E14" s="1">
        <v>4</v>
      </c>
      <c r="F14" s="7">
        <v>42438</v>
      </c>
      <c r="G14" s="7">
        <v>42438</v>
      </c>
      <c r="H14" s="11" t="s">
        <v>12</v>
      </c>
      <c r="I14" s="11" t="s">
        <v>52</v>
      </c>
      <c r="J14" s="1">
        <v>1028034</v>
      </c>
      <c r="K14" s="34" t="s">
        <v>208</v>
      </c>
      <c r="L14" s="9">
        <v>80</v>
      </c>
      <c r="M14" s="40"/>
      <c r="N14" s="40"/>
      <c r="O14" s="41" t="s">
        <v>16</v>
      </c>
      <c r="P14" s="43"/>
      <c r="Q14" s="39" t="str">
        <f>IF(O19&lt;&gt;0,C19/(VLOOKUP(O19,#REF!,2,FALSE)),"")</f>
        <v/>
      </c>
      <c r="R14" s="43"/>
      <c r="S14" s="43"/>
      <c r="T14" s="37">
        <f t="shared" si="0"/>
        <v>0</v>
      </c>
    </row>
    <row r="15" spans="1:20" s="2" customFormat="1" ht="25.5" x14ac:dyDescent="0.2">
      <c r="B15" s="27" t="s">
        <v>133</v>
      </c>
      <c r="C15" s="11">
        <v>850</v>
      </c>
      <c r="D15" s="11">
        <v>1</v>
      </c>
      <c r="E15" s="1">
        <v>7</v>
      </c>
      <c r="F15" s="7">
        <v>42438</v>
      </c>
      <c r="G15" s="7">
        <v>42438</v>
      </c>
      <c r="H15" s="11" t="s">
        <v>12</v>
      </c>
      <c r="I15" s="11" t="s">
        <v>52</v>
      </c>
      <c r="J15" s="1">
        <v>1028034</v>
      </c>
      <c r="K15" s="34" t="s">
        <v>208</v>
      </c>
      <c r="L15" s="9">
        <v>80</v>
      </c>
      <c r="M15" s="40"/>
      <c r="N15" s="40"/>
      <c r="O15" s="41" t="s">
        <v>16</v>
      </c>
      <c r="P15" s="43"/>
      <c r="Q15" s="39" t="e">
        <f>IF(O20&lt;&gt;0,C20/(VLOOKUP(O20,#REF!,2,FALSE)),"")</f>
        <v>#REF!</v>
      </c>
      <c r="R15" s="43"/>
      <c r="S15" s="43"/>
      <c r="T15" s="37">
        <f t="shared" si="0"/>
        <v>0</v>
      </c>
    </row>
    <row r="16" spans="1:20" s="2" customFormat="1" x14ac:dyDescent="0.2">
      <c r="B16" s="27" t="s">
        <v>200</v>
      </c>
      <c r="C16" s="11">
        <v>626</v>
      </c>
      <c r="D16" s="11">
        <v>1</v>
      </c>
      <c r="E16" s="1">
        <v>7</v>
      </c>
      <c r="F16" s="7">
        <v>42437</v>
      </c>
      <c r="G16" s="7">
        <v>42437</v>
      </c>
      <c r="H16" s="11" t="s">
        <v>12</v>
      </c>
      <c r="I16" s="66" t="s">
        <v>52</v>
      </c>
      <c r="J16" s="1">
        <v>1028032</v>
      </c>
      <c r="K16" s="34" t="s">
        <v>202</v>
      </c>
      <c r="L16" s="9">
        <v>80</v>
      </c>
      <c r="M16" s="40"/>
      <c r="N16" s="40"/>
      <c r="O16" s="41" t="s">
        <v>13</v>
      </c>
      <c r="P16" s="43"/>
      <c r="Q16" s="39" t="e">
        <f>IF(O21&lt;&gt;0,C21/(VLOOKUP(O21,#REF!,2,FALSE)),"")</f>
        <v>#REF!</v>
      </c>
      <c r="R16" s="43"/>
      <c r="S16" s="43"/>
      <c r="T16" s="37">
        <f t="shared" si="0"/>
        <v>0</v>
      </c>
    </row>
    <row r="17" spans="2:20" s="2" customFormat="1" x14ac:dyDescent="0.2">
      <c r="B17" s="27" t="s">
        <v>34</v>
      </c>
      <c r="C17" s="11">
        <v>500</v>
      </c>
      <c r="D17" s="11">
        <v>1</v>
      </c>
      <c r="E17" s="11">
        <v>20</v>
      </c>
      <c r="F17" s="7">
        <v>42433</v>
      </c>
      <c r="G17" s="7">
        <v>42433</v>
      </c>
      <c r="H17" s="11" t="s">
        <v>12</v>
      </c>
      <c r="I17" s="11" t="s">
        <v>190</v>
      </c>
      <c r="J17" s="1">
        <v>1027036</v>
      </c>
      <c r="K17" s="34" t="s">
        <v>191</v>
      </c>
      <c r="L17" s="9">
        <v>80</v>
      </c>
      <c r="M17" s="40"/>
      <c r="N17" s="40"/>
      <c r="O17" s="41" t="s">
        <v>14</v>
      </c>
      <c r="P17" s="43"/>
      <c r="Q17" s="39" t="e">
        <f>IF(O22&lt;&gt;0,C22/(VLOOKUP(O22,#REF!,2,FALSE)),"")</f>
        <v>#REF!</v>
      </c>
      <c r="R17" s="43"/>
      <c r="S17" s="43"/>
      <c r="T17" s="37">
        <f t="shared" si="0"/>
        <v>0</v>
      </c>
    </row>
    <row r="18" spans="2:20" s="2" customFormat="1" ht="25.5" x14ac:dyDescent="0.2">
      <c r="B18" s="27" t="s">
        <v>34</v>
      </c>
      <c r="C18" s="20">
        <v>326</v>
      </c>
      <c r="D18" s="20">
        <v>1</v>
      </c>
      <c r="E18" s="11">
        <v>5</v>
      </c>
      <c r="F18" s="7">
        <v>42244</v>
      </c>
      <c r="G18" s="7">
        <v>42244</v>
      </c>
      <c r="H18" s="11" t="s">
        <v>12</v>
      </c>
      <c r="I18" s="11" t="s">
        <v>38</v>
      </c>
      <c r="J18" s="1">
        <v>1025060</v>
      </c>
      <c r="K18" s="13" t="s">
        <v>35</v>
      </c>
      <c r="L18" s="9">
        <v>80</v>
      </c>
      <c r="M18" s="40"/>
      <c r="N18" s="40"/>
      <c r="O18" s="41"/>
      <c r="P18" s="38" t="s">
        <v>22</v>
      </c>
      <c r="Q18" s="39" t="e">
        <f>IF(O23&lt;&gt;0,C23/(VLOOKUP(O23,#REF!,2,FALSE)),"")</f>
        <v>#REF!</v>
      </c>
      <c r="R18" s="38"/>
      <c r="S18" s="38"/>
      <c r="T18" s="37">
        <f t="shared" si="0"/>
        <v>600</v>
      </c>
    </row>
    <row r="19" spans="2:20" s="2" customFormat="1" ht="25.5" x14ac:dyDescent="0.2">
      <c r="B19" s="27" t="s">
        <v>34</v>
      </c>
      <c r="C19" s="20">
        <v>500</v>
      </c>
      <c r="D19" s="20">
        <v>1</v>
      </c>
      <c r="E19" s="11">
        <v>5</v>
      </c>
      <c r="F19" s="7">
        <v>42263</v>
      </c>
      <c r="G19" s="7">
        <v>42263</v>
      </c>
      <c r="H19" s="11" t="s">
        <v>12</v>
      </c>
      <c r="I19" s="11" t="s">
        <v>38</v>
      </c>
      <c r="J19" s="1">
        <v>1025490</v>
      </c>
      <c r="K19" s="13" t="s">
        <v>37</v>
      </c>
      <c r="L19" s="9">
        <v>80</v>
      </c>
      <c r="M19" s="40"/>
      <c r="N19" s="40"/>
      <c r="O19" s="41"/>
      <c r="P19" s="38" t="s">
        <v>22</v>
      </c>
      <c r="Q19" s="39" t="e">
        <f>IF(O24&lt;&gt;0,C24/(VLOOKUP(O24,#REF!,2,FALSE)),"")</f>
        <v>#REF!</v>
      </c>
      <c r="R19" s="43"/>
      <c r="S19" s="43"/>
      <c r="T19" s="37">
        <f t="shared" si="0"/>
        <v>600</v>
      </c>
    </row>
    <row r="20" spans="2:20" s="2" customFormat="1" x14ac:dyDescent="0.2">
      <c r="B20" s="27" t="s">
        <v>176</v>
      </c>
      <c r="C20" s="11">
        <v>500</v>
      </c>
      <c r="D20" s="11">
        <v>1</v>
      </c>
      <c r="E20" s="1">
        <v>6</v>
      </c>
      <c r="F20" s="7">
        <v>42431</v>
      </c>
      <c r="G20" s="7">
        <v>42431</v>
      </c>
      <c r="H20" s="11" t="s">
        <v>12</v>
      </c>
      <c r="I20" s="11" t="s">
        <v>177</v>
      </c>
      <c r="J20" s="1">
        <v>1027882</v>
      </c>
      <c r="K20" s="34" t="s">
        <v>178</v>
      </c>
      <c r="L20" s="9">
        <v>80</v>
      </c>
      <c r="M20" s="40"/>
      <c r="N20" s="40"/>
      <c r="O20" s="41" t="s">
        <v>13</v>
      </c>
      <c r="P20" s="43"/>
      <c r="Q20" s="39" t="e">
        <f>IF(O25&lt;&gt;0,C25/(VLOOKUP(O25,#REF!,2,FALSE)),"")</f>
        <v>#REF!</v>
      </c>
      <c r="R20" s="43"/>
      <c r="S20" s="43"/>
      <c r="T20" s="37">
        <f t="shared" si="0"/>
        <v>0</v>
      </c>
    </row>
    <row r="21" spans="2:20" s="2" customFormat="1" x14ac:dyDescent="0.2">
      <c r="B21" s="27" t="s">
        <v>101</v>
      </c>
      <c r="C21" s="11">
        <v>600</v>
      </c>
      <c r="D21" s="11">
        <v>1</v>
      </c>
      <c r="E21" s="1">
        <v>3</v>
      </c>
      <c r="F21" s="7">
        <v>42439</v>
      </c>
      <c r="G21" s="7">
        <v>42439</v>
      </c>
      <c r="H21" s="11" t="s">
        <v>12</v>
      </c>
      <c r="I21" s="11" t="s">
        <v>87</v>
      </c>
      <c r="J21" s="1">
        <v>1028217</v>
      </c>
      <c r="K21" s="34" t="s">
        <v>212</v>
      </c>
      <c r="L21" s="9">
        <v>80</v>
      </c>
      <c r="M21" s="40"/>
      <c r="N21" s="40"/>
      <c r="O21" s="41" t="s">
        <v>13</v>
      </c>
      <c r="P21" s="43"/>
      <c r="Q21" s="39" t="e">
        <f>IF(O26&lt;&gt;0,C26/(VLOOKUP(O26,#REF!,2,FALSE)),"")</f>
        <v>#REF!</v>
      </c>
      <c r="R21" s="43"/>
      <c r="S21" s="43"/>
      <c r="T21" s="37">
        <f t="shared" si="0"/>
        <v>0</v>
      </c>
    </row>
    <row r="22" spans="2:20" s="2" customFormat="1" x14ac:dyDescent="0.2">
      <c r="B22" s="27" t="s">
        <v>101</v>
      </c>
      <c r="C22" s="11">
        <v>600</v>
      </c>
      <c r="D22" s="11">
        <v>1</v>
      </c>
      <c r="E22" s="1">
        <v>20</v>
      </c>
      <c r="F22" s="7">
        <v>42438</v>
      </c>
      <c r="G22" s="7">
        <v>42438</v>
      </c>
      <c r="H22" s="11" t="s">
        <v>12</v>
      </c>
      <c r="I22" s="11" t="s">
        <v>87</v>
      </c>
      <c r="J22" s="1">
        <v>1028217</v>
      </c>
      <c r="K22" s="34" t="s">
        <v>212</v>
      </c>
      <c r="L22" s="9">
        <v>80</v>
      </c>
      <c r="M22" s="40"/>
      <c r="N22" s="40"/>
      <c r="O22" s="41" t="s">
        <v>13</v>
      </c>
      <c r="P22" s="43"/>
      <c r="Q22" s="39" t="e">
        <f>IF(O27&lt;&gt;0,C27/(VLOOKUP(O27,#REF!,2,FALSE)),"")</f>
        <v>#REF!</v>
      </c>
      <c r="R22" s="43"/>
      <c r="S22" s="43"/>
      <c r="T22" s="37">
        <f t="shared" si="0"/>
        <v>0</v>
      </c>
    </row>
    <row r="23" spans="2:20" s="2" customFormat="1" x14ac:dyDescent="0.2">
      <c r="B23" s="27" t="s">
        <v>101</v>
      </c>
      <c r="C23" s="11">
        <v>600</v>
      </c>
      <c r="D23" s="11">
        <v>1</v>
      </c>
      <c r="E23" s="1">
        <v>18</v>
      </c>
      <c r="F23" s="7">
        <v>42438</v>
      </c>
      <c r="G23" s="7">
        <v>42438</v>
      </c>
      <c r="H23" s="11" t="s">
        <v>12</v>
      </c>
      <c r="I23" s="11" t="s">
        <v>87</v>
      </c>
      <c r="J23" s="1">
        <v>1028217</v>
      </c>
      <c r="K23" s="34" t="s">
        <v>212</v>
      </c>
      <c r="L23" s="9">
        <v>80</v>
      </c>
      <c r="M23" s="40"/>
      <c r="N23" s="40"/>
      <c r="O23" s="41" t="s">
        <v>13</v>
      </c>
      <c r="P23" s="43"/>
      <c r="Q23" s="39" t="e">
        <f>IF(O28&lt;&gt;0,C28/(VLOOKUP(O28,#REF!,2,FALSE)),"")</f>
        <v>#REF!</v>
      </c>
      <c r="R23" s="43"/>
      <c r="S23" s="43"/>
      <c r="T23" s="37">
        <f t="shared" si="0"/>
        <v>0</v>
      </c>
    </row>
    <row r="24" spans="2:20" s="2" customFormat="1" x14ac:dyDescent="0.2">
      <c r="B24" s="27" t="s">
        <v>101</v>
      </c>
      <c r="C24" s="11">
        <v>600</v>
      </c>
      <c r="D24" s="11">
        <v>1</v>
      </c>
      <c r="E24" s="1">
        <v>19</v>
      </c>
      <c r="F24" s="7">
        <v>42438</v>
      </c>
      <c r="G24" s="7">
        <v>42438</v>
      </c>
      <c r="H24" s="11" t="s">
        <v>12</v>
      </c>
      <c r="I24" s="11" t="s">
        <v>87</v>
      </c>
      <c r="J24" s="1">
        <v>1028217</v>
      </c>
      <c r="K24" s="34" t="s">
        <v>212</v>
      </c>
      <c r="L24" s="9">
        <v>80</v>
      </c>
      <c r="M24" s="40"/>
      <c r="N24" s="40"/>
      <c r="O24" s="41" t="s">
        <v>13</v>
      </c>
      <c r="P24" s="43"/>
      <c r="Q24" s="39" t="e">
        <f>IF(O29&lt;&gt;0,C29/(VLOOKUP(O29,#REF!,2,FALSE)),"")</f>
        <v>#REF!</v>
      </c>
      <c r="R24" s="43"/>
      <c r="S24" s="43"/>
      <c r="T24" s="37">
        <f t="shared" si="0"/>
        <v>0</v>
      </c>
    </row>
    <row r="25" spans="2:20" s="2" customFormat="1" x14ac:dyDescent="0.2">
      <c r="B25" s="27" t="s">
        <v>101</v>
      </c>
      <c r="C25" s="11">
        <v>600</v>
      </c>
      <c r="D25" s="11">
        <v>1</v>
      </c>
      <c r="E25" s="1">
        <v>16</v>
      </c>
      <c r="F25" s="7">
        <v>42438</v>
      </c>
      <c r="G25" s="7">
        <v>42438</v>
      </c>
      <c r="H25" s="11" t="s">
        <v>12</v>
      </c>
      <c r="I25" s="11" t="s">
        <v>87</v>
      </c>
      <c r="J25" s="1">
        <v>1028217</v>
      </c>
      <c r="K25" s="34" t="s">
        <v>212</v>
      </c>
      <c r="L25" s="9">
        <v>80</v>
      </c>
      <c r="M25" s="40"/>
      <c r="N25" s="40"/>
      <c r="O25" s="41" t="s">
        <v>13</v>
      </c>
      <c r="P25" s="43"/>
      <c r="Q25" s="39" t="e">
        <f>IF(O30&lt;&gt;0,C30/(VLOOKUP(O30,#REF!,2,FALSE)),"")</f>
        <v>#REF!</v>
      </c>
      <c r="R25" s="43"/>
      <c r="S25" s="43"/>
      <c r="T25" s="37">
        <f t="shared" si="0"/>
        <v>0</v>
      </c>
    </row>
    <row r="26" spans="2:20" s="2" customFormat="1" x14ac:dyDescent="0.2">
      <c r="B26" s="27" t="s">
        <v>101</v>
      </c>
      <c r="C26" s="11">
        <v>600</v>
      </c>
      <c r="D26" s="11">
        <v>1</v>
      </c>
      <c r="E26" s="1">
        <v>15</v>
      </c>
      <c r="F26" s="7">
        <v>42438</v>
      </c>
      <c r="G26" s="7">
        <v>42438</v>
      </c>
      <c r="H26" s="11" t="s">
        <v>12</v>
      </c>
      <c r="I26" s="11" t="s">
        <v>87</v>
      </c>
      <c r="J26" s="1">
        <v>1028217</v>
      </c>
      <c r="K26" s="34" t="s">
        <v>212</v>
      </c>
      <c r="L26" s="9">
        <v>80</v>
      </c>
      <c r="M26" s="40"/>
      <c r="N26" s="40"/>
      <c r="O26" s="41" t="s">
        <v>13</v>
      </c>
      <c r="P26" s="43"/>
      <c r="Q26" s="39" t="e">
        <f>IF(O31&lt;&gt;0,C31/(VLOOKUP(O31,#REF!,2,FALSE)),"")</f>
        <v>#REF!</v>
      </c>
      <c r="R26" s="43"/>
      <c r="S26" s="43"/>
      <c r="T26" s="37">
        <f t="shared" si="0"/>
        <v>0</v>
      </c>
    </row>
    <row r="27" spans="2:20" s="2" customFormat="1" x14ac:dyDescent="0.2">
      <c r="B27" s="27" t="s">
        <v>101</v>
      </c>
      <c r="C27" s="11">
        <v>600</v>
      </c>
      <c r="D27" s="11">
        <v>1</v>
      </c>
      <c r="E27" s="1">
        <v>9</v>
      </c>
      <c r="F27" s="7">
        <v>42439</v>
      </c>
      <c r="G27" s="7">
        <v>42439</v>
      </c>
      <c r="H27" s="11" t="s">
        <v>12</v>
      </c>
      <c r="I27" s="11" t="s">
        <v>87</v>
      </c>
      <c r="J27" s="1">
        <v>1028217</v>
      </c>
      <c r="K27" s="34" t="s">
        <v>212</v>
      </c>
      <c r="L27" s="9">
        <v>80</v>
      </c>
      <c r="M27" s="40"/>
      <c r="N27" s="40"/>
      <c r="O27" s="41" t="s">
        <v>13</v>
      </c>
      <c r="P27" s="43"/>
      <c r="Q27" s="39" t="e">
        <f>IF(O32&lt;&gt;0,C32/(VLOOKUP(O32,#REF!,2,FALSE)),"")</f>
        <v>#REF!</v>
      </c>
      <c r="R27" s="43"/>
      <c r="S27" s="43"/>
      <c r="T27" s="37">
        <f t="shared" si="0"/>
        <v>0</v>
      </c>
    </row>
    <row r="28" spans="2:20" s="2" customFormat="1" x14ac:dyDescent="0.2">
      <c r="B28" s="27" t="s">
        <v>101</v>
      </c>
      <c r="C28" s="11">
        <v>600</v>
      </c>
      <c r="D28" s="11">
        <v>1</v>
      </c>
      <c r="E28" s="1">
        <v>22</v>
      </c>
      <c r="F28" s="7">
        <v>42439</v>
      </c>
      <c r="G28" s="7">
        <v>42439</v>
      </c>
      <c r="H28" s="11" t="s">
        <v>12</v>
      </c>
      <c r="I28" s="11" t="s">
        <v>87</v>
      </c>
      <c r="J28" s="1">
        <v>1028217</v>
      </c>
      <c r="K28" s="34" t="s">
        <v>212</v>
      </c>
      <c r="L28" s="9">
        <v>80</v>
      </c>
      <c r="M28" s="40"/>
      <c r="N28" s="40"/>
      <c r="O28" s="41" t="s">
        <v>13</v>
      </c>
      <c r="P28" s="43"/>
      <c r="Q28" s="39" t="e">
        <f>IF(O33&lt;&gt;0,C33/(VLOOKUP(O33,#REF!,2,FALSE)),"")</f>
        <v>#REF!</v>
      </c>
      <c r="R28" s="43"/>
      <c r="S28" s="43"/>
      <c r="T28" s="37">
        <f t="shared" si="0"/>
        <v>0</v>
      </c>
    </row>
    <row r="29" spans="2:20" s="2" customFormat="1" x14ac:dyDescent="0.2">
      <c r="B29" s="27" t="s">
        <v>101</v>
      </c>
      <c r="C29" s="11">
        <v>600</v>
      </c>
      <c r="D29" s="11">
        <v>1</v>
      </c>
      <c r="E29" s="1">
        <v>17</v>
      </c>
      <c r="F29" s="7">
        <v>42439</v>
      </c>
      <c r="G29" s="7">
        <v>42439</v>
      </c>
      <c r="H29" s="11" t="s">
        <v>12</v>
      </c>
      <c r="I29" s="11" t="s">
        <v>87</v>
      </c>
      <c r="J29" s="1">
        <v>1028217</v>
      </c>
      <c r="K29" s="34" t="s">
        <v>212</v>
      </c>
      <c r="L29" s="9">
        <v>80</v>
      </c>
      <c r="M29" s="40"/>
      <c r="N29" s="40"/>
      <c r="O29" s="41" t="s">
        <v>13</v>
      </c>
      <c r="P29" s="43"/>
      <c r="Q29" s="39" t="e">
        <f>IF(O34&lt;&gt;0,C34/(VLOOKUP(O34,#REF!,2,FALSE)),"")</f>
        <v>#REF!</v>
      </c>
      <c r="R29" s="43"/>
      <c r="S29" s="43"/>
      <c r="T29" s="37">
        <f t="shared" si="0"/>
        <v>0</v>
      </c>
    </row>
    <row r="30" spans="2:20" s="2" customFormat="1" x14ac:dyDescent="0.2">
      <c r="B30" s="27" t="s">
        <v>101</v>
      </c>
      <c r="C30" s="11">
        <v>600</v>
      </c>
      <c r="D30" s="11">
        <v>1</v>
      </c>
      <c r="E30" s="1">
        <v>1</v>
      </c>
      <c r="F30" s="7">
        <v>42439</v>
      </c>
      <c r="G30" s="7">
        <v>42439</v>
      </c>
      <c r="H30" s="11" t="s">
        <v>12</v>
      </c>
      <c r="I30" s="11" t="s">
        <v>87</v>
      </c>
      <c r="J30" s="1">
        <v>1028217</v>
      </c>
      <c r="K30" s="34" t="s">
        <v>212</v>
      </c>
      <c r="L30" s="9">
        <v>80</v>
      </c>
      <c r="M30" s="40"/>
      <c r="N30" s="40"/>
      <c r="O30" s="41" t="s">
        <v>13</v>
      </c>
      <c r="P30" s="43"/>
      <c r="Q30" s="39" t="e">
        <f>IF(O35&lt;&gt;0,C35/(VLOOKUP(O35,#REF!,2,FALSE)),"")</f>
        <v>#REF!</v>
      </c>
      <c r="R30" s="43"/>
      <c r="S30" s="43"/>
      <c r="T30" s="37">
        <f t="shared" si="0"/>
        <v>0</v>
      </c>
    </row>
    <row r="31" spans="2:20" s="2" customFormat="1" x14ac:dyDescent="0.2">
      <c r="B31" s="27" t="s">
        <v>45</v>
      </c>
      <c r="C31" s="11">
        <v>600</v>
      </c>
      <c r="D31" s="11">
        <v>1</v>
      </c>
      <c r="E31" s="1">
        <v>3</v>
      </c>
      <c r="F31" s="7">
        <v>42437</v>
      </c>
      <c r="G31" s="7">
        <v>42437</v>
      </c>
      <c r="H31" s="11" t="s">
        <v>12</v>
      </c>
      <c r="I31" s="11" t="s">
        <v>190</v>
      </c>
      <c r="J31" s="1">
        <v>1028244</v>
      </c>
      <c r="K31" s="34" t="s">
        <v>195</v>
      </c>
      <c r="L31" s="9">
        <v>80</v>
      </c>
      <c r="M31" s="40"/>
      <c r="N31" s="40"/>
      <c r="O31" s="41" t="s">
        <v>14</v>
      </c>
      <c r="P31" s="43"/>
      <c r="Q31" s="39" t="e">
        <f>IF(O36&lt;&gt;0,C36/(VLOOKUP(O36,#REF!,2,FALSE)),"")</f>
        <v>#REF!</v>
      </c>
      <c r="R31" s="43"/>
      <c r="S31" s="43"/>
      <c r="T31" s="37">
        <f t="shared" si="0"/>
        <v>0</v>
      </c>
    </row>
    <row r="32" spans="2:20" s="2" customFormat="1" x14ac:dyDescent="0.2">
      <c r="B32" s="42" t="s">
        <v>45</v>
      </c>
      <c r="C32" s="11"/>
      <c r="D32" s="11"/>
      <c r="E32" s="1">
        <v>6</v>
      </c>
      <c r="F32" s="7">
        <v>42437</v>
      </c>
      <c r="G32" s="7">
        <v>42437</v>
      </c>
      <c r="H32" s="11" t="s">
        <v>12</v>
      </c>
      <c r="I32" s="11" t="s">
        <v>190</v>
      </c>
      <c r="J32" s="1">
        <v>1028244</v>
      </c>
      <c r="K32" s="34" t="s">
        <v>195</v>
      </c>
      <c r="L32" s="9">
        <v>80</v>
      </c>
      <c r="M32" s="40">
        <v>600</v>
      </c>
      <c r="N32" s="40"/>
      <c r="O32" s="41" t="s">
        <v>14</v>
      </c>
      <c r="P32" s="43"/>
      <c r="Q32" s="39" t="e">
        <f>IF(O37&lt;&gt;0,C37/(VLOOKUP(O37,#REF!,2,FALSE)),"")</f>
        <v>#REF!</v>
      </c>
      <c r="R32" s="43"/>
      <c r="S32" s="43"/>
      <c r="T32" s="37">
        <f t="shared" si="0"/>
        <v>0</v>
      </c>
    </row>
    <row r="33" spans="2:20" s="2" customFormat="1" x14ac:dyDescent="0.2">
      <c r="B33" s="27" t="s">
        <v>45</v>
      </c>
      <c r="C33" s="11">
        <v>600</v>
      </c>
      <c r="D33" s="11">
        <v>1</v>
      </c>
      <c r="E33" s="1">
        <v>1</v>
      </c>
      <c r="F33" s="7">
        <v>42437</v>
      </c>
      <c r="G33" s="7">
        <v>42437</v>
      </c>
      <c r="H33" s="11" t="s">
        <v>12</v>
      </c>
      <c r="I33" s="11" t="s">
        <v>190</v>
      </c>
      <c r="J33" s="1">
        <v>1028244</v>
      </c>
      <c r="K33" s="34" t="s">
        <v>195</v>
      </c>
      <c r="L33" s="9">
        <v>80</v>
      </c>
      <c r="M33" s="40"/>
      <c r="N33" s="40"/>
      <c r="O33" s="41" t="s">
        <v>14</v>
      </c>
      <c r="P33" s="43"/>
      <c r="Q33" s="39" t="e">
        <f>IF(O38&lt;&gt;0,C38/(VLOOKUP(O38,#REF!,2,FALSE)),"")</f>
        <v>#REF!</v>
      </c>
      <c r="R33" s="43"/>
      <c r="S33" s="43"/>
      <c r="T33" s="37">
        <f t="shared" si="0"/>
        <v>0</v>
      </c>
    </row>
    <row r="34" spans="2:20" s="2" customFormat="1" x14ac:dyDescent="0.2">
      <c r="B34" s="27" t="s">
        <v>45</v>
      </c>
      <c r="C34" s="11">
        <v>600</v>
      </c>
      <c r="D34" s="11">
        <v>1</v>
      </c>
      <c r="E34" s="1">
        <v>4</v>
      </c>
      <c r="F34" s="7">
        <v>42437</v>
      </c>
      <c r="G34" s="7">
        <v>42437</v>
      </c>
      <c r="H34" s="11" t="s">
        <v>12</v>
      </c>
      <c r="I34" s="11" t="s">
        <v>190</v>
      </c>
      <c r="J34" s="1">
        <v>1028244</v>
      </c>
      <c r="K34" s="34" t="s">
        <v>195</v>
      </c>
      <c r="L34" s="9">
        <v>80</v>
      </c>
      <c r="M34" s="40"/>
      <c r="N34" s="40"/>
      <c r="O34" s="41" t="s">
        <v>14</v>
      </c>
      <c r="P34" s="43"/>
      <c r="Q34" s="39" t="e">
        <f>IF(O39&lt;&gt;0,C39/(VLOOKUP(O39,#REF!,2,FALSE)),"")</f>
        <v>#REF!</v>
      </c>
      <c r="R34" s="43"/>
      <c r="S34" s="43"/>
      <c r="T34" s="37">
        <f t="shared" si="0"/>
        <v>0</v>
      </c>
    </row>
    <row r="35" spans="2:20" s="2" customFormat="1" x14ac:dyDescent="0.2">
      <c r="B35" s="27" t="s">
        <v>45</v>
      </c>
      <c r="C35" s="11">
        <v>550</v>
      </c>
      <c r="D35" s="11">
        <v>1</v>
      </c>
      <c r="E35" s="1">
        <v>17</v>
      </c>
      <c r="F35" s="7">
        <v>42438</v>
      </c>
      <c r="G35" s="7">
        <v>42438</v>
      </c>
      <c r="H35" s="11" t="s">
        <v>12</v>
      </c>
      <c r="I35" s="11" t="s">
        <v>190</v>
      </c>
      <c r="J35" s="1">
        <v>1028244</v>
      </c>
      <c r="K35" s="34" t="s">
        <v>195</v>
      </c>
      <c r="L35" s="9">
        <v>80</v>
      </c>
      <c r="M35" s="40"/>
      <c r="N35" s="40"/>
      <c r="O35" s="41" t="s">
        <v>14</v>
      </c>
      <c r="P35" s="43"/>
      <c r="Q35" s="39" t="e">
        <f>IF(O40&lt;&gt;0,C40/(VLOOKUP(O40,#REF!,2,FALSE)),"")</f>
        <v>#REF!</v>
      </c>
      <c r="R35" s="43"/>
      <c r="S35" s="43"/>
      <c r="T35" s="37">
        <f t="shared" si="0"/>
        <v>0</v>
      </c>
    </row>
    <row r="36" spans="2:20" s="2" customFormat="1" x14ac:dyDescent="0.2">
      <c r="B36" s="27" t="s">
        <v>45</v>
      </c>
      <c r="C36" s="11">
        <v>600</v>
      </c>
      <c r="D36" s="11">
        <v>1</v>
      </c>
      <c r="E36" s="1">
        <v>10</v>
      </c>
      <c r="F36" s="7">
        <v>42438</v>
      </c>
      <c r="G36" s="7">
        <v>42438</v>
      </c>
      <c r="H36" s="11" t="s">
        <v>12</v>
      </c>
      <c r="I36" s="11" t="s">
        <v>206</v>
      </c>
      <c r="J36" s="1">
        <v>1028244</v>
      </c>
      <c r="K36" s="34" t="s">
        <v>195</v>
      </c>
      <c r="L36" s="9">
        <v>80</v>
      </c>
      <c r="M36" s="40"/>
      <c r="N36" s="40"/>
      <c r="O36" s="41" t="s">
        <v>13</v>
      </c>
      <c r="P36" s="43"/>
      <c r="Q36" s="39" t="e">
        <f>IF(O41&lt;&gt;0,C41/(VLOOKUP(O41,#REF!,2,FALSE)),"")</f>
        <v>#REF!</v>
      </c>
      <c r="R36" s="43"/>
      <c r="S36" s="43"/>
      <c r="T36" s="37">
        <f t="shared" si="0"/>
        <v>0</v>
      </c>
    </row>
    <row r="37" spans="2:20" x14ac:dyDescent="0.2">
      <c r="B37" s="27" t="s">
        <v>45</v>
      </c>
      <c r="C37" s="11">
        <v>600</v>
      </c>
      <c r="D37" s="11">
        <v>1</v>
      </c>
      <c r="E37" s="1">
        <v>16</v>
      </c>
      <c r="F37" s="7">
        <v>42438</v>
      </c>
      <c r="G37" s="7">
        <v>42438</v>
      </c>
      <c r="H37" s="11" t="s">
        <v>12</v>
      </c>
      <c r="I37" s="11" t="s">
        <v>206</v>
      </c>
      <c r="J37" s="1">
        <v>1028244</v>
      </c>
      <c r="K37" s="34" t="s">
        <v>195</v>
      </c>
      <c r="L37" s="9">
        <v>80</v>
      </c>
      <c r="M37" s="40"/>
      <c r="N37" s="40"/>
      <c r="O37" s="41" t="s">
        <v>13</v>
      </c>
      <c r="P37" s="43"/>
      <c r="Q37" s="39" t="str">
        <f>IF(O42&lt;&gt;0,C42/(VLOOKUP(O42,#REF!,2,FALSE)),"")</f>
        <v/>
      </c>
      <c r="R37" s="43"/>
      <c r="S37" s="43"/>
      <c r="T37" s="37">
        <f t="shared" si="0"/>
        <v>0</v>
      </c>
    </row>
    <row r="38" spans="2:20" x14ac:dyDescent="0.2">
      <c r="B38" s="27" t="s">
        <v>45</v>
      </c>
      <c r="C38" s="11">
        <v>600</v>
      </c>
      <c r="D38" s="11">
        <v>1</v>
      </c>
      <c r="E38" s="1">
        <v>12</v>
      </c>
      <c r="F38" s="7">
        <v>42438</v>
      </c>
      <c r="G38" s="7">
        <v>42438</v>
      </c>
      <c r="H38" s="11" t="s">
        <v>12</v>
      </c>
      <c r="I38" s="11" t="s">
        <v>206</v>
      </c>
      <c r="J38" s="1">
        <v>1028244</v>
      </c>
      <c r="K38" s="34" t="s">
        <v>195</v>
      </c>
      <c r="L38" s="9">
        <v>80</v>
      </c>
      <c r="M38" s="40"/>
      <c r="N38" s="40"/>
      <c r="O38" s="41" t="s">
        <v>13</v>
      </c>
      <c r="P38" s="43"/>
      <c r="Q38" s="39" t="str">
        <f>IF(O43&lt;&gt;0,C43/(VLOOKUP(O43,#REF!,2,FALSE)),"")</f>
        <v/>
      </c>
      <c r="R38" s="43"/>
      <c r="S38" s="43"/>
      <c r="T38" s="37">
        <f t="shared" si="0"/>
        <v>0</v>
      </c>
    </row>
    <row r="39" spans="2:20" x14ac:dyDescent="0.2">
      <c r="B39" s="27" t="s">
        <v>45</v>
      </c>
      <c r="C39" s="11">
        <v>600</v>
      </c>
      <c r="D39" s="11">
        <v>1</v>
      </c>
      <c r="E39" s="1">
        <v>15</v>
      </c>
      <c r="F39" s="7">
        <v>42438</v>
      </c>
      <c r="G39" s="7">
        <v>42438</v>
      </c>
      <c r="H39" s="11" t="s">
        <v>12</v>
      </c>
      <c r="I39" s="11" t="s">
        <v>206</v>
      </c>
      <c r="J39" s="1">
        <v>1028244</v>
      </c>
      <c r="K39" s="34" t="s">
        <v>195</v>
      </c>
      <c r="L39" s="9">
        <v>80</v>
      </c>
      <c r="M39" s="40"/>
      <c r="N39" s="40"/>
      <c r="O39" s="41" t="s">
        <v>13</v>
      </c>
      <c r="P39" s="43"/>
      <c r="Q39" s="39" t="str">
        <f>IF(O44&lt;&gt;0,C44/(VLOOKUP(O44,#REF!,2,FALSE)),"")</f>
        <v/>
      </c>
      <c r="R39" s="43"/>
      <c r="S39" s="43"/>
      <c r="T39" s="37">
        <f t="shared" si="0"/>
        <v>0</v>
      </c>
    </row>
    <row r="40" spans="2:20" x14ac:dyDescent="0.2">
      <c r="B40" s="27" t="s">
        <v>36</v>
      </c>
      <c r="C40" s="11">
        <v>450</v>
      </c>
      <c r="D40" s="11">
        <v>1</v>
      </c>
      <c r="E40" s="1">
        <v>1</v>
      </c>
      <c r="F40" s="7">
        <v>42431</v>
      </c>
      <c r="G40" s="7">
        <v>42431</v>
      </c>
      <c r="H40" s="11" t="s">
        <v>12</v>
      </c>
      <c r="I40" s="11" t="s">
        <v>102</v>
      </c>
      <c r="J40" s="1">
        <v>1028081</v>
      </c>
      <c r="K40" s="34" t="s">
        <v>174</v>
      </c>
      <c r="L40" s="9">
        <v>80</v>
      </c>
      <c r="M40" s="40"/>
      <c r="N40" s="40"/>
      <c r="O40" s="41" t="s">
        <v>13</v>
      </c>
      <c r="P40" s="43"/>
      <c r="Q40" s="39" t="str">
        <f>IF(O45&lt;&gt;0,C45/(VLOOKUP(O45,#REF!,2,FALSE)),"")</f>
        <v/>
      </c>
      <c r="R40" s="43"/>
      <c r="S40" s="43"/>
      <c r="T40" s="37">
        <f t="shared" si="0"/>
        <v>0</v>
      </c>
    </row>
    <row r="41" spans="2:20" x14ac:dyDescent="0.2">
      <c r="B41" s="27" t="s">
        <v>209</v>
      </c>
      <c r="C41" s="11">
        <v>75</v>
      </c>
      <c r="D41" s="11">
        <v>1</v>
      </c>
      <c r="E41" s="1">
        <v>16</v>
      </c>
      <c r="F41" s="7">
        <v>42438</v>
      </c>
      <c r="G41" s="7">
        <v>42438</v>
      </c>
      <c r="H41" s="11" t="s">
        <v>12</v>
      </c>
      <c r="I41" s="11" t="s">
        <v>210</v>
      </c>
      <c r="J41" s="1">
        <v>1028058</v>
      </c>
      <c r="K41" s="34" t="s">
        <v>211</v>
      </c>
      <c r="L41" s="9">
        <v>80</v>
      </c>
      <c r="M41" s="40"/>
      <c r="N41" s="40"/>
      <c r="O41" s="41" t="s">
        <v>13</v>
      </c>
      <c r="P41" s="43"/>
      <c r="Q41" s="39" t="str">
        <f>IF(O46&lt;&gt;0,C46/(VLOOKUP(O46,#REF!,2,FALSE)),"")</f>
        <v/>
      </c>
      <c r="R41" s="43"/>
      <c r="S41" s="43"/>
      <c r="T41" s="37">
        <f t="shared" si="0"/>
        <v>0</v>
      </c>
    </row>
    <row r="42" spans="2:20" x14ac:dyDescent="0.2">
      <c r="B42" s="29" t="s">
        <v>15</v>
      </c>
      <c r="C42" s="30">
        <f>SUBTOTAL(109,Liste1_737578185102118131_6152_4169_14199_2221_4242_2257_18299320363386411414421426432439447456475486498234567891023456789111213141523456789101112131416171817202122232345678910111213141516171819212224252627234[Nombre de pièces])</f>
        <v>20768</v>
      </c>
      <c r="D42" s="30">
        <f>SUBTOTAL(109,Liste1_737578185102118131_6152_4169_14199_2221_4242_2257_18299320363386411414421426432439447456475486498234567891023456789111213141523456789101112131416171817202122232345678910111213141516171819212224252627234[[Nombre de bacs ]])</f>
        <v>35</v>
      </c>
      <c r="E42" s="30"/>
      <c r="F42" s="30"/>
      <c r="G42" s="30"/>
      <c r="H42" s="30"/>
      <c r="I42" s="30"/>
      <c r="J42" s="30"/>
      <c r="K42" s="31"/>
      <c r="L42" s="30"/>
      <c r="M42" s="30">
        <f>SUBTOTAL(109,Liste1_737578185102118131_6152_4169_14199_2221_4242_2257_18299320363386411414421426432439447456475486498234567891023456789111213141523456789101112131416171817202122232345678910111213141516171819212224252627234[Débloquées])</f>
        <v>1859</v>
      </c>
      <c r="N42" s="30">
        <f>SUBTOTAL(109,Liste1_737578185102118131_6152_4169_14199_2221_4242_2257_18299320363386411414421426432439447456475486498234567891023456789111213141523456789101112131416171817202122232345678910111213141516171819212224252627234[[Rebutées ]])</f>
        <v>1</v>
      </c>
      <c r="O42" s="30"/>
      <c r="P42" s="30"/>
      <c r="Q42" s="32" t="e">
        <f>SUBTOTAL(109,Liste1_737578185102118131_6152_4169_14199_2221_4242_2257_18299320363386411414421426432439447456475486498234567891023456789111213141523456789101112131416171817202122232345678910111213141516171819212224252627234[Durée de tri (h)])</f>
        <v>#REF!</v>
      </c>
      <c r="R42" s="30"/>
      <c r="S42" s="32">
        <f>SUBTOTAL(109,Liste1_737578185102118131_6152_4169_14199_2221_4242_2257_18299320363386411414421426432439447456475486498234567891023456789111213141523456789101112131416171817202122232345678910111213141516171819212224252627234[Efficience tri])</f>
        <v>0</v>
      </c>
      <c r="T42" s="30">
        <f>SUBTOTAL(109,Liste1_737578185102118131_6152_4169_14199_2221_4242_2257_18299320363386411414421426432439447456475486498234567891023456789111213141523456789101112131416171817202122232345678910111213141516171819212224252627234[Attente Dérogation])</f>
        <v>1200</v>
      </c>
    </row>
    <row r="46" spans="2:20" ht="12" customHeight="1" x14ac:dyDescent="0.2"/>
    <row r="49" spans="4:5" x14ac:dyDescent="0.2">
      <c r="D49" s="54"/>
      <c r="E49" s="16" t="s">
        <v>165</v>
      </c>
    </row>
    <row r="51" spans="4:5" x14ac:dyDescent="0.2">
      <c r="D51" s="47"/>
      <c r="E51" s="16"/>
    </row>
    <row r="55" spans="4:5" x14ac:dyDescent="0.2">
      <c r="E55" s="47"/>
    </row>
    <row r="57" spans="4:5" x14ac:dyDescent="0.2">
      <c r="E57" s="47"/>
    </row>
  </sheetData>
  <conditionalFormatting sqref="B43:B65490 K43:K65490 B1:B3 K1:K3">
    <cfRule type="expression" dxfId="0" priority="1" stopIfTrue="1">
      <formula>VLOOKUP(LEFT($B1,8),#REF!,1,0)=LEFT($B1,8)</formula>
    </cfRule>
  </conditionalFormatting>
  <dataValidations count="2">
    <dataValidation type="list" allowBlank="1" showInputMessage="1" showErrorMessage="1" sqref="O4:O41">
      <formula1>"Montage,Montage + Visuel,Visuel"</formula1>
    </dataValidation>
    <dataValidation type="list" allowBlank="1" showInputMessage="1" showErrorMessage="1" sqref="P4:P41">
      <formula1>"Dérogation (décision client),Attente décision interne,OK QUA"</formula1>
    </dataValidation>
  </dataValidations>
  <pageMargins left="0" right="0" top="0" bottom="0" header="0" footer="0"/>
  <pageSetup paperSize="8" scale="70" fitToHeight="3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18</vt:i4>
      </vt:variant>
    </vt:vector>
  </HeadingPairs>
  <TitlesOfParts>
    <vt:vector size="28" baseType="lpstr">
      <vt:lpstr>Recherche</vt:lpstr>
      <vt:lpstr>280116anc</vt:lpstr>
      <vt:lpstr>010316</vt:lpstr>
      <vt:lpstr>020316</vt:lpstr>
      <vt:lpstr>030316</vt:lpstr>
      <vt:lpstr>040316</vt:lpstr>
      <vt:lpstr>070316</vt:lpstr>
      <vt:lpstr>080316</vt:lpstr>
      <vt:lpstr>090316</vt:lpstr>
      <vt:lpstr>100316</vt:lpstr>
      <vt:lpstr>'010316'!Impression_des_titres</vt:lpstr>
      <vt:lpstr>'020316'!Impression_des_titres</vt:lpstr>
      <vt:lpstr>'030316'!Impression_des_titres</vt:lpstr>
      <vt:lpstr>'040316'!Impression_des_titres</vt:lpstr>
      <vt:lpstr>'070316'!Impression_des_titres</vt:lpstr>
      <vt:lpstr>'080316'!Impression_des_titres</vt:lpstr>
      <vt:lpstr>'090316'!Impression_des_titres</vt:lpstr>
      <vt:lpstr>'100316'!Impression_des_titres</vt:lpstr>
      <vt:lpstr>'280116anc'!Impression_des_titres</vt:lpstr>
      <vt:lpstr>'010316'!Zone_d_impression</vt:lpstr>
      <vt:lpstr>'020316'!Zone_d_impression</vt:lpstr>
      <vt:lpstr>'030316'!Zone_d_impression</vt:lpstr>
      <vt:lpstr>'040316'!Zone_d_impression</vt:lpstr>
      <vt:lpstr>'070316'!Zone_d_impression</vt:lpstr>
      <vt:lpstr>'080316'!Zone_d_impression</vt:lpstr>
      <vt:lpstr>'090316'!Zone_d_impression</vt:lpstr>
      <vt:lpstr>'100316'!Zone_d_impression</vt:lpstr>
      <vt:lpstr>'280116anc'!Zone_d_impression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DESAUBRY</dc:creator>
  <cp:lastModifiedBy>BASTIEN BENET</cp:lastModifiedBy>
  <cp:lastPrinted>2016-03-17T08:46:24Z</cp:lastPrinted>
  <dcterms:created xsi:type="dcterms:W3CDTF">2015-08-25T14:23:02Z</dcterms:created>
  <dcterms:modified xsi:type="dcterms:W3CDTF">2016-03-22T13:52:15Z</dcterms:modified>
</cp:coreProperties>
</file>